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FF33B549-944C-4C31-B3A4-775CDCB30B4F}" xr6:coauthVersionLast="47" xr6:coauthVersionMax="47" xr10:uidLastSave="{00000000-0000-0000-0000-000000000000}"/>
  <bookViews>
    <workbookView xWindow="3615" yWindow="660" windowWidth="22065" windowHeight="19845" xr2:uid="{11162701-9D55-420E-BB41-83989B1E3105}"/>
  </bookViews>
  <sheets>
    <sheet name="Appendix D.3" sheetId="204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Table 3 WD_.PX.BDG._.PTC.2029" sheetId="139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PV_.PX.NTN._.PTC.2031" sheetId="201" state="hidden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1'!$I$50</definedName>
    <definedName name="Inflation" localSheetId="0">'[1]Table 1'!$J$45</definedName>
    <definedName name="Inflation">'Table 1'!$J$52</definedName>
    <definedName name="IRP23_Infl_Rate" localSheetId="0">'[1]Table 1'!$K$47</definedName>
    <definedName name="OATT" localSheetId="0">#REF!</definedName>
    <definedName name="OATT">#REF!</definedName>
    <definedName name="_xlnm.Print_Area" localSheetId="0">'Appendix D.3'!$A$1:$R$40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3">'PV_.PX.NTN._.PTC.2031'!$A$1:$O$61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7">'Table 3 WD_.PX.BDG._.PTC.2029'!$A$1:$O$61</definedName>
    <definedName name="_xlnm.Print_Area" localSheetId="4">'Table 5'!$A$1:$H$312</definedName>
    <definedName name="Real_Discount_Rate" localSheetId="0">'[1]Table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 localSheetId="0">#REF!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9" i="204" l="1"/>
  <c r="O31" i="204"/>
  <c r="N31" i="204"/>
  <c r="M31" i="204"/>
  <c r="H31" i="204"/>
  <c r="G31" i="204"/>
  <c r="F31" i="204"/>
  <c r="O29" i="204"/>
  <c r="N29" i="204"/>
  <c r="M29" i="204"/>
  <c r="H29" i="204"/>
  <c r="G29" i="204"/>
  <c r="F29" i="204"/>
  <c r="O11" i="204"/>
  <c r="B11" i="204"/>
  <c r="N11" i="204" s="1"/>
  <c r="O10" i="204"/>
  <c r="N10" i="204"/>
  <c r="M10" i="204"/>
  <c r="H10" i="204"/>
  <c r="G10" i="204"/>
  <c r="F10" i="204"/>
  <c r="O7" i="204"/>
  <c r="N7" i="204"/>
  <c r="H7" i="204"/>
  <c r="G7" i="204"/>
  <c r="E7" i="204"/>
  <c r="D7" i="204"/>
  <c r="AB14" i="3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253" i="31"/>
  <c r="AB254" i="31"/>
  <c r="AB255" i="31"/>
  <c r="AB256" i="31"/>
  <c r="AB257" i="31"/>
  <c r="AB258" i="31"/>
  <c r="AB259" i="31"/>
  <c r="AB260" i="31"/>
  <c r="AB261" i="31"/>
  <c r="AB262" i="31"/>
  <c r="AB263" i="31"/>
  <c r="AB264" i="31"/>
  <c r="AB265" i="31"/>
  <c r="AB266" i="31"/>
  <c r="AB267" i="31"/>
  <c r="AB268" i="31"/>
  <c r="AB269" i="31"/>
  <c r="AB270" i="31"/>
  <c r="AB271" i="31"/>
  <c r="AB272" i="31"/>
  <c r="AB273" i="31"/>
  <c r="AB274" i="31"/>
  <c r="AB275" i="31"/>
  <c r="AB276" i="31"/>
  <c r="AB277" i="31"/>
  <c r="AB278" i="31"/>
  <c r="AB279" i="31"/>
  <c r="AB280" i="31"/>
  <c r="AB281" i="31"/>
  <c r="AB282" i="31"/>
  <c r="AB283" i="31"/>
  <c r="AB284" i="31"/>
  <c r="AB285" i="31"/>
  <c r="AB286" i="31"/>
  <c r="AB287" i="31"/>
  <c r="AB288" i="31"/>
  <c r="AB289" i="31"/>
  <c r="AB290" i="31"/>
  <c r="AB291" i="31"/>
  <c r="AB292" i="31"/>
  <c r="AB293" i="31"/>
  <c r="AB294" i="31"/>
  <c r="AB295" i="31"/>
  <c r="AB296" i="31"/>
  <c r="AB297" i="31"/>
  <c r="AB298" i="31"/>
  <c r="AB299" i="31"/>
  <c r="AB300" i="31"/>
  <c r="AB301" i="31"/>
  <c r="AB302" i="31"/>
  <c r="AB303" i="31"/>
  <c r="AB304" i="31"/>
  <c r="AB305" i="31"/>
  <c r="AB306" i="31"/>
  <c r="AB307" i="31"/>
  <c r="AB308" i="31"/>
  <c r="AB309" i="31"/>
  <c r="AB310" i="31"/>
  <c r="AB311" i="31"/>
  <c r="AB312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Q5" i="31"/>
  <c r="Q6" i="31" s="1"/>
  <c r="S6" i="31"/>
  <c r="G11" i="204" l="1"/>
  <c r="B12" i="204"/>
  <c r="H11" i="204"/>
  <c r="F11" i="204"/>
  <c r="M11" i="204"/>
  <c r="N12" i="204" l="1"/>
  <c r="M12" i="204"/>
  <c r="B13" i="204"/>
  <c r="H12" i="204"/>
  <c r="G12" i="204"/>
  <c r="F12" i="204"/>
  <c r="O12" i="204"/>
  <c r="N13" i="204" l="1"/>
  <c r="F13" i="204"/>
  <c r="M13" i="204"/>
  <c r="O13" i="204"/>
  <c r="B14" i="204"/>
  <c r="H13" i="204"/>
  <c r="G13" i="204"/>
  <c r="X42" i="31"/>
  <c r="X43" i="31"/>
  <c r="X44" i="31"/>
  <c r="X45" i="31"/>
  <c r="X46" i="31"/>
  <c r="X47" i="31"/>
  <c r="X48" i="31"/>
  <c r="X49" i="31"/>
  <c r="X50" i="31"/>
  <c r="V312" i="31"/>
  <c r="N14" i="204" l="1"/>
  <c r="B15" i="204"/>
  <c r="M14" i="204"/>
  <c r="H14" i="204"/>
  <c r="F14" i="204"/>
  <c r="O14" i="204"/>
  <c r="G14" i="204"/>
  <c r="ET41" i="25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N15" i="204" l="1"/>
  <c r="M15" i="204"/>
  <c r="F15" i="204"/>
  <c r="O15" i="204"/>
  <c r="H15" i="204"/>
  <c r="B16" i="204"/>
  <c r="G15" i="204"/>
  <c r="I13" i="31"/>
  <c r="N16" i="204" l="1"/>
  <c r="O16" i="204"/>
  <c r="M16" i="204"/>
  <c r="B17" i="204"/>
  <c r="F16" i="204"/>
  <c r="H16" i="204"/>
  <c r="G16" i="204"/>
  <c r="B58" i="202"/>
  <c r="N17" i="204" l="1"/>
  <c r="M17" i="204"/>
  <c r="O17" i="204"/>
  <c r="H17" i="204"/>
  <c r="G17" i="204"/>
  <c r="F17" i="204"/>
  <c r="B18" i="204"/>
  <c r="B58" i="199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N18" i="204" l="1"/>
  <c r="M18" i="204"/>
  <c r="B19" i="204"/>
  <c r="H18" i="204"/>
  <c r="G18" i="204"/>
  <c r="F18" i="204"/>
  <c r="O18" i="204"/>
  <c r="FE33" i="25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N19" i="204" l="1"/>
  <c r="M19" i="204"/>
  <c r="O19" i="204"/>
  <c r="F19" i="204"/>
  <c r="B20" i="204"/>
  <c r="H19" i="204"/>
  <c r="G19" i="204"/>
  <c r="I73" i="202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B36" i="201" s="1"/>
  <c r="B37" i="201" s="1"/>
  <c r="B38" i="201" s="1"/>
  <c r="B39" i="201" s="1"/>
  <c r="B40" i="201" s="1"/>
  <c r="B41" i="201" s="1"/>
  <c r="B42" i="201" s="1"/>
  <c r="B43" i="201" s="1"/>
  <c r="B44" i="201" s="1"/>
  <c r="B45" i="201" s="1"/>
  <c r="B46" i="201" s="1"/>
  <c r="H73" i="201"/>
  <c r="H72" i="201"/>
  <c r="H71" i="201"/>
  <c r="H70" i="201"/>
  <c r="H69" i="201"/>
  <c r="H68" i="201"/>
  <c r="H67" i="201"/>
  <c r="H66" i="201"/>
  <c r="H65" i="201"/>
  <c r="H64" i="201"/>
  <c r="N20" i="204" l="1"/>
  <c r="M20" i="204"/>
  <c r="O20" i="204"/>
  <c r="H20" i="204"/>
  <c r="B21" i="204"/>
  <c r="G20" i="204"/>
  <c r="F20" i="204"/>
  <c r="H73" i="200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N21" i="204" l="1"/>
  <c r="M21" i="204"/>
  <c r="B22" i="204"/>
  <c r="F21" i="204"/>
  <c r="H21" i="204"/>
  <c r="O21" i="204"/>
  <c r="G21" i="204"/>
  <c r="H73" i="176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N22" i="204" l="1"/>
  <c r="M22" i="204"/>
  <c r="B23" i="204"/>
  <c r="O22" i="204"/>
  <c r="H22" i="204"/>
  <c r="G22" i="204"/>
  <c r="F22" i="204"/>
  <c r="S359" i="167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N23" i="204" l="1"/>
  <c r="F23" i="204"/>
  <c r="M23" i="204"/>
  <c r="B24" i="204"/>
  <c r="H23" i="204"/>
  <c r="G23" i="204"/>
  <c r="O23" i="204"/>
  <c r="J69" i="202"/>
  <c r="I65" i="201"/>
  <c r="J65" i="202"/>
  <c r="I68" i="201"/>
  <c r="J73" i="202"/>
  <c r="I71" i="200"/>
  <c r="I23" i="200" s="1"/>
  <c r="I66" i="176"/>
  <c r="I67" i="201"/>
  <c r="I69" i="200"/>
  <c r="I21" i="200" s="1"/>
  <c r="I67" i="176"/>
  <c r="I70" i="176"/>
  <c r="I71" i="197"/>
  <c r="I64" i="176"/>
  <c r="I69" i="201"/>
  <c r="I69" i="199"/>
  <c r="I65" i="176"/>
  <c r="I71" i="176"/>
  <c r="J64" i="202"/>
  <c r="I68" i="176"/>
  <c r="I69" i="176"/>
  <c r="I70" i="197"/>
  <c r="I71" i="198"/>
  <c r="I71" i="201"/>
  <c r="I64" i="199"/>
  <c r="I73" i="200"/>
  <c r="I25" i="200" s="1"/>
  <c r="I72" i="201"/>
  <c r="I73" i="176"/>
  <c r="I70" i="201"/>
  <c r="I72" i="176"/>
  <c r="J66" i="202"/>
  <c r="I66" i="201"/>
  <c r="J67" i="202"/>
  <c r="I73" i="201"/>
  <c r="J68" i="202"/>
  <c r="J70" i="202"/>
  <c r="J72" i="202"/>
  <c r="I64" i="201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B40" i="204" l="1"/>
  <c r="N24" i="204"/>
  <c r="M24" i="204"/>
  <c r="F24" i="204"/>
  <c r="O24" i="204"/>
  <c r="H24" i="204"/>
  <c r="B25" i="204"/>
  <c r="G24" i="204"/>
  <c r="K67" i="202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J66" i="201"/>
  <c r="I18" i="201"/>
  <c r="I24" i="196"/>
  <c r="J72" i="196"/>
  <c r="J64" i="198"/>
  <c r="I16" i="198"/>
  <c r="J73" i="198"/>
  <c r="I25" i="198"/>
  <c r="K66" i="202"/>
  <c r="J18" i="202"/>
  <c r="J69" i="201"/>
  <c r="I21" i="201"/>
  <c r="I14" i="176"/>
  <c r="J64" i="176"/>
  <c r="I22" i="176"/>
  <c r="J72" i="176"/>
  <c r="J71" i="196"/>
  <c r="I23" i="196"/>
  <c r="J65" i="197"/>
  <c r="I16" i="197"/>
  <c r="J70" i="201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J72" i="201"/>
  <c r="I24" i="201"/>
  <c r="I17" i="176"/>
  <c r="J67" i="176"/>
  <c r="J67" i="196"/>
  <c r="I19" i="196"/>
  <c r="J69" i="198"/>
  <c r="I21" i="198"/>
  <c r="J67" i="201"/>
  <c r="I19" i="201"/>
  <c r="K71" i="202"/>
  <c r="J23" i="202"/>
  <c r="J64" i="199"/>
  <c r="I16" i="199"/>
  <c r="J66" i="195"/>
  <c r="I17" i="195"/>
  <c r="J64" i="197"/>
  <c r="I15" i="197"/>
  <c r="J71" i="199"/>
  <c r="I23" i="199"/>
  <c r="J71" i="201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J64" i="201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J68" i="201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J65" i="201"/>
  <c r="I17" i="201"/>
  <c r="J67" i="199"/>
  <c r="I19" i="199"/>
  <c r="J73" i="201"/>
  <c r="I25" i="201"/>
  <c r="I21" i="176"/>
  <c r="J71" i="176"/>
  <c r="K69" i="202"/>
  <c r="J21" i="202"/>
  <c r="I14" i="139"/>
  <c r="J64" i="139"/>
  <c r="N25" i="204" l="1"/>
  <c r="M25" i="204"/>
  <c r="B26" i="204"/>
  <c r="H25" i="204"/>
  <c r="F25" i="204"/>
  <c r="O25" i="204"/>
  <c r="G25" i="204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N26" i="204" l="1"/>
  <c r="M26" i="204"/>
  <c r="F26" i="204"/>
  <c r="O26" i="204"/>
  <c r="H26" i="204"/>
  <c r="G26" i="204"/>
  <c r="K41" i="13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E36" i="201" s="1"/>
  <c r="E37" i="201" s="1"/>
  <c r="E38" i="201" s="1"/>
  <c r="E39" i="201" s="1"/>
  <c r="E40" i="201" s="1"/>
  <c r="E41" i="201" s="1"/>
  <c r="E42" i="201" s="1"/>
  <c r="E43" i="201" s="1"/>
  <c r="E44" i="201" s="1"/>
  <c r="E45" i="201" s="1"/>
  <c r="E46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J76" i="201" s="1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306" i="31"/>
  <c r="AA290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294" i="31"/>
  <c r="AA70" i="31"/>
  <c r="AA101" i="31"/>
  <c r="AA148" i="31"/>
  <c r="AA195" i="31"/>
  <c r="AA353" i="31"/>
  <c r="AA337" i="31"/>
  <c r="AA321" i="31"/>
  <c r="AA305" i="31"/>
  <c r="AA289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310" i="31"/>
  <c r="AA149" i="31"/>
  <c r="AA180" i="31"/>
  <c r="AA275" i="31"/>
  <c r="AA67" i="31"/>
  <c r="AA352" i="31"/>
  <c r="AA336" i="31"/>
  <c r="AA320" i="31"/>
  <c r="AA304" i="31"/>
  <c r="AA288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79" i="31"/>
  <c r="AA262" i="31"/>
  <c r="AA22" i="31"/>
  <c r="AA85" i="31"/>
  <c r="AA212" i="31"/>
  <c r="AA339" i="31"/>
  <c r="AA131" i="31"/>
  <c r="AA367" i="31"/>
  <c r="AA351" i="31"/>
  <c r="AA335" i="31"/>
  <c r="AA319" i="31"/>
  <c r="AA303" i="31"/>
  <c r="AA287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302" i="31"/>
  <c r="AA286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77" i="31"/>
  <c r="AA21" i="31"/>
  <c r="AA20" i="31"/>
  <c r="AA291" i="31"/>
  <c r="AA115" i="31"/>
  <c r="AA365" i="31"/>
  <c r="AA349" i="31"/>
  <c r="AA333" i="31"/>
  <c r="AA317" i="31"/>
  <c r="AA301" i="31"/>
  <c r="AA285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300" i="31"/>
  <c r="AA284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95" i="31"/>
  <c r="AA246" i="31"/>
  <c r="AA54" i="31"/>
  <c r="AA165" i="31"/>
  <c r="AA100" i="31"/>
  <c r="AA243" i="31"/>
  <c r="AA19" i="31"/>
  <c r="AA363" i="31"/>
  <c r="AA347" i="31"/>
  <c r="AA331" i="31"/>
  <c r="AA315" i="31"/>
  <c r="AA299" i="31"/>
  <c r="AA283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98" i="31"/>
  <c r="AA282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97" i="31"/>
  <c r="AA281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278" i="31"/>
  <c r="AA134" i="31"/>
  <c r="AA197" i="31"/>
  <c r="AA69" i="31"/>
  <c r="AA132" i="31"/>
  <c r="AA83" i="31"/>
  <c r="AA360" i="31"/>
  <c r="AA344" i="31"/>
  <c r="AA328" i="31"/>
  <c r="AA312" i="31"/>
  <c r="AA296" i="31"/>
  <c r="AA280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311" i="31"/>
  <c r="AA263" i="31"/>
  <c r="AA103" i="31"/>
  <c r="AA198" i="31"/>
  <c r="AA38" i="31"/>
  <c r="AA181" i="31"/>
  <c r="AA84" i="31"/>
  <c r="AA307" i="31"/>
  <c r="AA51" i="31"/>
  <c r="AA182" i="31"/>
  <c r="AA357" i="31"/>
  <c r="AA341" i="31"/>
  <c r="AA325" i="31"/>
  <c r="AA309" i="31"/>
  <c r="AA293" i="31"/>
  <c r="AA261" i="31"/>
  <c r="AA53" i="31"/>
  <c r="AA36" i="31"/>
  <c r="AA99" i="31"/>
  <c r="AA356" i="31"/>
  <c r="AA340" i="31"/>
  <c r="AA324" i="31"/>
  <c r="AA308" i="31"/>
  <c r="AA292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20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D36" i="201" s="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G36" i="201"/>
  <c r="D37" i="201"/>
  <c r="L36" i="20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G37" i="201"/>
  <c r="D38" i="201"/>
  <c r="L37" i="20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1"/>
  <c r="G38" i="201"/>
  <c r="L38" i="20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D40" i="201"/>
  <c r="G39" i="201"/>
  <c r="L39" i="201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D41" i="201"/>
  <c r="L40" i="201"/>
  <c r="L48" i="201" s="1"/>
  <c r="G40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G41" i="201"/>
  <c r="D42" i="201"/>
  <c r="L41" i="201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G42" i="201"/>
  <c r="D43" i="201"/>
  <c r="L42" i="201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G43" i="201"/>
  <c r="L43" i="201"/>
  <c r="D44" i="201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G44" i="201"/>
  <c r="D45" i="201"/>
  <c r="D46" i="201" s="1"/>
  <c r="L44" i="201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1"/>
  <c r="G46" i="201"/>
  <c r="L45" i="201"/>
  <c r="G45" i="201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E3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E3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G35" i="139"/>
  <c r="J35" i="139" s="1"/>
  <c r="K35" i="139" s="1"/>
  <c r="L35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B33" i="131"/>
  <c r="J35" i="176"/>
  <c r="K35" i="176" s="1"/>
  <c r="L22" i="139"/>
  <c r="B19" i="131" s="1"/>
  <c r="G22" i="139"/>
  <c r="J22" i="139" s="1"/>
  <c r="K22" i="139" s="1"/>
  <c r="K36" i="202" l="1"/>
  <c r="L36" i="202" s="1"/>
  <c r="J36" i="201"/>
  <c r="K36" i="201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B34" i="131"/>
  <c r="J36" i="176"/>
  <c r="K36" i="176" s="1"/>
  <c r="G23" i="139"/>
  <c r="J23" i="139" s="1"/>
  <c r="K23" i="139" s="1"/>
  <c r="L23" i="139"/>
  <c r="B20" i="131" s="1"/>
  <c r="K37" i="202" l="1"/>
  <c r="L37" i="202" s="1"/>
  <c r="J37" i="201"/>
  <c r="K37" i="201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B35" i="131"/>
  <c r="J37" i="176"/>
  <c r="K37" i="176" s="1"/>
  <c r="G24" i="139"/>
  <c r="J24" i="139" s="1"/>
  <c r="K24" i="139" s="1"/>
  <c r="L24" i="139"/>
  <c r="B21" i="131" s="1"/>
  <c r="K38" i="202" l="1"/>
  <c r="L38" i="202" s="1"/>
  <c r="J38" i="201"/>
  <c r="K38" i="201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B36" i="131"/>
  <c r="J38" i="176"/>
  <c r="K38" i="176" s="1"/>
  <c r="G25" i="139"/>
  <c r="J25" i="139" s="1"/>
  <c r="K25" i="139" s="1"/>
  <c r="L25" i="139"/>
  <c r="B22" i="131" s="1"/>
  <c r="K39" i="202" l="1"/>
  <c r="L39" i="202" s="1"/>
  <c r="J39" i="201"/>
  <c r="K39" i="201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B37" i="131"/>
  <c r="J39" i="176"/>
  <c r="K39" i="176" s="1"/>
  <c r="G26" i="139"/>
  <c r="J26" i="139" s="1"/>
  <c r="K26" i="139" s="1"/>
  <c r="L26" i="139"/>
  <c r="B23" i="131" s="1"/>
  <c r="K40" i="202" l="1"/>
  <c r="J40" i="201"/>
  <c r="J40" i="200"/>
  <c r="J40" i="199"/>
  <c r="J40" i="198"/>
  <c r="K40" i="198" s="1"/>
  <c r="J40" i="197"/>
  <c r="K40" i="197" s="1"/>
  <c r="J40" i="196"/>
  <c r="K40" i="196" s="1"/>
  <c r="J40" i="195"/>
  <c r="K40" i="195" s="1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0" i="201"/>
  <c r="K48" i="201" s="1"/>
  <c r="J48" i="201"/>
  <c r="L40" i="202"/>
  <c r="L48" i="202" s="1"/>
  <c r="K48" i="202"/>
  <c r="K41" i="202"/>
  <c r="L41" i="202" s="1"/>
  <c r="J41" i="201"/>
  <c r="K41" i="201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J41" i="176"/>
  <c r="K41" i="176" s="1"/>
  <c r="G28" i="139"/>
  <c r="J28" i="139" s="1"/>
  <c r="L28" i="139"/>
  <c r="K42" i="202" l="1"/>
  <c r="L42" i="202" s="1"/>
  <c r="J42" i="201"/>
  <c r="K42" i="201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202" l="1"/>
  <c r="L43" i="202" s="1"/>
  <c r="J43" i="201"/>
  <c r="K43" i="201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32" i="13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1"/>
  <c r="K44" i="201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1"/>
  <c r="K45" i="201" s="1"/>
  <c r="J46" i="201"/>
  <c r="K46" i="201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77" i="31" s="1"/>
  <c r="I289" i="31" s="1"/>
  <c r="I301" i="31" s="1"/>
  <c r="I209" i="31"/>
  <c r="I143" i="31"/>
  <c r="I176" i="31"/>
  <c r="I187" i="31"/>
  <c r="I132" i="31"/>
  <c r="I243" i="31" l="1"/>
  <c r="I254" i="31"/>
  <c r="I210" i="31"/>
  <c r="I177" i="31"/>
  <c r="I144" i="31"/>
  <c r="I266" i="31"/>
  <c r="I278" i="31" s="1"/>
  <c r="I290" i="31" s="1"/>
  <c r="I302" i="31" s="1"/>
  <c r="I155" i="31"/>
  <c r="I232" i="31"/>
  <c r="I199" i="31"/>
  <c r="I188" i="31"/>
  <c r="I221" i="31"/>
  <c r="I166" i="31"/>
  <c r="I244" i="31" l="1"/>
  <c r="I255" i="31"/>
  <c r="I267" i="31" s="1"/>
  <c r="I279" i="31" s="1"/>
  <c r="I291" i="31" s="1"/>
  <c r="I303" i="31" s="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80" i="31" s="1"/>
  <c r="I292" i="31" s="1"/>
  <c r="I304" i="31" s="1"/>
  <c r="I201" i="31"/>
  <c r="I212" i="31"/>
  <c r="I179" i="31"/>
  <c r="I190" i="31"/>
  <c r="I234" i="31"/>
  <c r="I223" i="31"/>
  <c r="I168" i="31"/>
  <c r="I246" i="31" l="1"/>
  <c r="I257" i="31"/>
  <c r="I269" i="31" s="1"/>
  <c r="I281" i="31" s="1"/>
  <c r="I293" i="31" s="1"/>
  <c r="I305" i="31" s="1"/>
  <c r="I224" i="31"/>
  <c r="I213" i="31"/>
  <c r="I235" i="31"/>
  <c r="I202" i="31"/>
  <c r="I180" i="31"/>
  <c r="I191" i="31"/>
  <c r="I247" i="31" l="1"/>
  <c r="I258" i="31"/>
  <c r="I270" i="31" s="1"/>
  <c r="I282" i="31" s="1"/>
  <c r="I294" i="31" s="1"/>
  <c r="I306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I283" i="31" s="1"/>
  <c r="I295" i="31" s="1"/>
  <c r="I307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84" i="31" s="1"/>
  <c r="I296" i="31" s="1"/>
  <c r="I308" i="31" s="1"/>
  <c r="I250" i="31" l="1"/>
  <c r="I261" i="31"/>
  <c r="I273" i="31"/>
  <c r="I285" i="31" s="1"/>
  <c r="I297" i="31" s="1"/>
  <c r="I309" i="31" s="1"/>
  <c r="I228" i="31"/>
  <c r="I239" i="31"/>
  <c r="I251" i="31" l="1"/>
  <c r="I262" i="31"/>
  <c r="I240" i="31"/>
  <c r="I274" i="31"/>
  <c r="I286" i="31" s="1"/>
  <c r="I298" i="31" s="1"/>
  <c r="I310" i="31" s="1"/>
  <c r="I252" i="31" l="1"/>
  <c r="I263" i="31"/>
  <c r="I275" i="31" s="1"/>
  <c r="I287" i="31" s="1"/>
  <c r="I299" i="31" s="1"/>
  <c r="I311" i="31" s="1"/>
  <c r="I264" i="31" l="1"/>
  <c r="I276" i="31" s="1"/>
  <c r="I288" i="31" s="1"/>
  <c r="I300" i="31" s="1"/>
  <c r="I312" i="31" s="1"/>
  <c r="J13" i="31" l="1"/>
  <c r="L16" i="31"/>
  <c r="B14" i="31"/>
  <c r="B13" i="25" l="1"/>
  <c r="O13" i="25" s="1"/>
  <c r="J14" i="31"/>
  <c r="B15" i="31"/>
  <c r="L17" i="31"/>
  <c r="B14" i="25" l="1"/>
  <c r="K13" i="31"/>
  <c r="O14" i="25"/>
  <c r="B15" i="25"/>
  <c r="FC13" i="25"/>
  <c r="CG13" i="25"/>
  <c r="L18" i="31"/>
  <c r="B16" i="31"/>
  <c r="J15" i="31"/>
  <c r="K14" i="31" l="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AY33" i="25" l="1"/>
  <c r="BG33" i="25"/>
  <c r="BE33" i="25"/>
  <c r="BD33" i="25"/>
  <c r="BC33" i="25"/>
  <c r="BB33" i="25"/>
  <c r="BF33" i="25"/>
  <c r="K31" i="31"/>
  <c r="BA33" i="25"/>
  <c r="AZ33" i="25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BD32" i="25" l="1"/>
  <c r="BC32" i="25"/>
  <c r="BB32" i="25"/>
  <c r="BA32" i="25"/>
  <c r="AZ32" i="25"/>
  <c r="AY32" i="25"/>
  <c r="BF32" i="25"/>
  <c r="K32" i="31"/>
  <c r="BE32" i="25"/>
  <c r="CH33" i="25"/>
  <c r="CJ33" i="25"/>
  <c r="CI33" i="25"/>
  <c r="CQ33" i="25"/>
  <c r="CP33" i="25"/>
  <c r="CO33" i="25"/>
  <c r="CN33" i="25"/>
  <c r="CL33" i="25"/>
  <c r="CM33" i="25"/>
  <c r="CK33" i="25"/>
  <c r="BG32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BG35" i="25" l="1"/>
  <c r="BE35" i="25"/>
  <c r="BD35" i="25"/>
  <c r="BC35" i="25"/>
  <c r="BB35" i="25"/>
  <c r="BA35" i="25"/>
  <c r="AY35" i="25"/>
  <c r="AX35" i="25"/>
  <c r="BF35" i="25"/>
  <c r="BG34" i="25"/>
  <c r="BE34" i="25"/>
  <c r="BD34" i="25"/>
  <c r="BC34" i="25"/>
  <c r="BF34" i="25"/>
  <c r="BA34" i="25"/>
  <c r="AY34" i="25"/>
  <c r="BB34" i="25"/>
  <c r="AZ34" i="25"/>
  <c r="K34" i="31"/>
  <c r="AZ35" i="25"/>
  <c r="O36" i="25"/>
  <c r="B37" i="25"/>
  <c r="FC35" i="25"/>
  <c r="CG35" i="25"/>
  <c r="CG34" i="25"/>
  <c r="FC34" i="25"/>
  <c r="B37" i="31"/>
  <c r="J36" i="31"/>
  <c r="L39" i="31"/>
  <c r="BG36" i="25" l="1"/>
  <c r="BD36" i="25"/>
  <c r="BC36" i="25"/>
  <c r="BF36" i="25"/>
  <c r="AY36" i="25"/>
  <c r="BB36" i="25"/>
  <c r="AZ36" i="25"/>
  <c r="AX36" i="25"/>
  <c r="BA36" i="25"/>
  <c r="K35" i="31"/>
  <c r="BE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AX37" i="25" l="1"/>
  <c r="BG37" i="25"/>
  <c r="BE37" i="25"/>
  <c r="BC37" i="25"/>
  <c r="BB37" i="25"/>
  <c r="BA37" i="25"/>
  <c r="BF37" i="25"/>
  <c r="BD37" i="25"/>
  <c r="AY37" i="25"/>
  <c r="K36" i="31"/>
  <c r="AZ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BD38" i="25" l="1"/>
  <c r="BC38" i="25"/>
  <c r="BB38" i="25"/>
  <c r="BA38" i="25"/>
  <c r="AY38" i="25"/>
  <c r="BG38" i="25"/>
  <c r="BE38" i="25"/>
  <c r="BF38" i="25"/>
  <c r="AX38" i="25"/>
  <c r="AZ38" i="25"/>
  <c r="K37" i="31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BG39" i="25" l="1"/>
  <c r="BE39" i="25"/>
  <c r="AX39" i="25"/>
  <c r="BF39" i="25"/>
  <c r="AZ39" i="25"/>
  <c r="BA39" i="25"/>
  <c r="BB39" i="25"/>
  <c r="AY39" i="25"/>
  <c r="BC39" i="25"/>
  <c r="BD39" i="25"/>
  <c r="K38" i="31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BC40" i="25" l="1"/>
  <c r="BB40" i="25"/>
  <c r="BA40" i="25"/>
  <c r="AZ40" i="25"/>
  <c r="AY40" i="25"/>
  <c r="AX40" i="25"/>
  <c r="BG40" i="25"/>
  <c r="BF40" i="25"/>
  <c r="BD40" i="25"/>
  <c r="K39" i="31"/>
  <c r="BE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BF41" i="25" l="1"/>
  <c r="AY41" i="25"/>
  <c r="BC41" i="25"/>
  <c r="BE41" i="25"/>
  <c r="BA41" i="25"/>
  <c r="BG41" i="25"/>
  <c r="BD41" i="25"/>
  <c r="AZ41" i="25"/>
  <c r="BB41" i="25"/>
  <c r="AX41" i="25"/>
  <c r="K40" i="31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F10" i="31"/>
  <c r="K191" i="31" l="1"/>
  <c r="B194" i="31"/>
  <c r="J193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F8" i="31"/>
  <c r="K203" i="31" l="1"/>
  <c r="J205" i="31"/>
  <c r="B206" i="31"/>
  <c r="C8" i="31"/>
  <c r="K204" i="31" l="1"/>
  <c r="J206" i="31"/>
  <c r="B207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F7" i="31"/>
  <c r="K215" i="31" l="1"/>
  <c r="O215" i="31"/>
  <c r="B218" i="31"/>
  <c r="J217" i="31"/>
  <c r="C7" i="31"/>
  <c r="K216" i="31" l="1"/>
  <c r="O216" i="31"/>
  <c r="B219" i="31"/>
  <c r="J218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B254" i="31"/>
  <c r="K252" i="31" l="1"/>
  <c r="O252" i="31"/>
  <c r="J254" i="31"/>
  <c r="B255" i="31"/>
  <c r="K253" i="31" l="1"/>
  <c r="O253" i="31"/>
  <c r="J255" i="31"/>
  <c r="B256" i="31"/>
  <c r="O254" i="31" l="1"/>
  <c r="K254" i="31"/>
  <c r="J256" i="31"/>
  <c r="B257" i="31"/>
  <c r="O255" i="31" l="1"/>
  <c r="K255" i="31"/>
  <c r="J257" i="31"/>
  <c r="B258" i="31"/>
  <c r="O256" i="31" l="1"/>
  <c r="K256" i="31"/>
  <c r="J258" i="31"/>
  <c r="B259" i="31"/>
  <c r="O257" i="31" l="1"/>
  <c r="K257" i="31"/>
  <c r="J259" i="31"/>
  <c r="B260" i="31"/>
  <c r="K258" i="31" l="1"/>
  <c r="O258" i="31"/>
  <c r="J260" i="31"/>
  <c r="B261" i="31"/>
  <c r="K259" i="31" l="1"/>
  <c r="O259" i="31"/>
  <c r="J261" i="31"/>
  <c r="B262" i="31"/>
  <c r="O260" i="31" l="1"/>
  <c r="K260" i="31"/>
  <c r="J262" i="31"/>
  <c r="B263" i="31"/>
  <c r="O261" i="31" l="1"/>
  <c r="K261" i="31"/>
  <c r="J263" i="31"/>
  <c r="B264" i="31"/>
  <c r="O262" i="31" l="1"/>
  <c r="K262" i="31"/>
  <c r="J264" i="31"/>
  <c r="B265" i="31"/>
  <c r="O263" i="31" l="1"/>
  <c r="K263" i="31"/>
  <c r="J265" i="31"/>
  <c r="B266" i="31"/>
  <c r="O264" i="31" l="1"/>
  <c r="K264" i="31"/>
  <c r="B267" i="31"/>
  <c r="J266" i="31"/>
  <c r="K265" i="31" l="1"/>
  <c r="O265" i="31"/>
  <c r="B268" i="31"/>
  <c r="J267" i="31"/>
  <c r="O266" i="31" l="1"/>
  <c r="K266" i="31"/>
  <c r="J268" i="31"/>
  <c r="B269" i="31"/>
  <c r="K267" i="31" l="1"/>
  <c r="O267" i="31"/>
  <c r="J269" i="31"/>
  <c r="B270" i="31"/>
  <c r="K268" i="31" l="1"/>
  <c r="O268" i="31"/>
  <c r="B271" i="31"/>
  <c r="J270" i="31"/>
  <c r="K269" i="31" l="1"/>
  <c r="O269" i="31"/>
  <c r="B272" i="31"/>
  <c r="J271" i="31"/>
  <c r="O270" i="31" l="1"/>
  <c r="K270" i="31"/>
  <c r="B273" i="31"/>
  <c r="J272" i="31"/>
  <c r="K271" i="31" l="1"/>
  <c r="O271" i="31"/>
  <c r="J273" i="31"/>
  <c r="B274" i="31"/>
  <c r="K272" i="31" l="1"/>
  <c r="O272" i="31"/>
  <c r="J274" i="31"/>
  <c r="B275" i="31"/>
  <c r="K273" i="31" l="1"/>
  <c r="O273" i="31"/>
  <c r="J275" i="31"/>
  <c r="B276" i="31"/>
  <c r="B277" i="31" s="1"/>
  <c r="K274" i="31" l="1"/>
  <c r="O274" i="31"/>
  <c r="J277" i="31"/>
  <c r="B278" i="31"/>
  <c r="J276" i="31"/>
  <c r="O275" i="31" l="1"/>
  <c r="K275" i="31"/>
  <c r="J278" i="31"/>
  <c r="B279" i="31"/>
  <c r="U40" i="31"/>
  <c r="U39" i="31"/>
  <c r="U41" i="31"/>
  <c r="K277" i="31" l="1"/>
  <c r="O277" i="31"/>
  <c r="K276" i="31"/>
  <c r="O276" i="31"/>
  <c r="J279" i="31"/>
  <c r="B280" i="31"/>
  <c r="U38" i="31"/>
  <c r="K278" i="31" l="1"/>
  <c r="O278" i="31"/>
  <c r="J280" i="31"/>
  <c r="B281" i="31"/>
  <c r="EO31" i="25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O279" i="31" l="1"/>
  <c r="K279" i="31"/>
  <c r="B282" i="31"/>
  <c r="J281" i="31"/>
  <c r="EB13" i="25"/>
  <c r="EB14" i="25"/>
  <c r="K280" i="31" l="1"/>
  <c r="O280" i="31"/>
  <c r="B283" i="31"/>
  <c r="J282" i="31"/>
  <c r="ED13" i="25"/>
  <c r="EC14" i="25"/>
  <c r="EC13" i="25"/>
  <c r="ED14" i="25"/>
  <c r="K281" i="31" l="1"/>
  <c r="O281" i="31"/>
  <c r="B284" i="31"/>
  <c r="J283" i="31"/>
  <c r="EN13" i="25"/>
  <c r="EB15" i="25"/>
  <c r="EN14" i="25"/>
  <c r="O282" i="31" l="1"/>
  <c r="K282" i="31"/>
  <c r="J284" i="31"/>
  <c r="B285" i="31"/>
  <c r="EG13" i="25"/>
  <c r="EI13" i="25"/>
  <c r="EI14" i="25"/>
  <c r="O283" i="31" l="1"/>
  <c r="K283" i="31"/>
  <c r="B286" i="31"/>
  <c r="J285" i="31"/>
  <c r="EC15" i="25"/>
  <c r="K284" i="31" l="1"/>
  <c r="O284" i="31"/>
  <c r="B287" i="31"/>
  <c r="J286" i="31"/>
  <c r="EG14" i="25"/>
  <c r="EM13" i="25"/>
  <c r="ED15" i="25"/>
  <c r="K285" i="31" l="1"/>
  <c r="O285" i="31"/>
  <c r="B288" i="31"/>
  <c r="J287" i="31"/>
  <c r="EF13" i="25"/>
  <c r="K286" i="31" l="1"/>
  <c r="O286" i="31"/>
  <c r="B289" i="31"/>
  <c r="J288" i="31"/>
  <c r="EK13" i="25"/>
  <c r="EM14" i="25"/>
  <c r="EN15" i="25"/>
  <c r="O287" i="31" l="1"/>
  <c r="K287" i="31"/>
  <c r="J289" i="31"/>
  <c r="B290" i="31"/>
  <c r="EF14" i="25"/>
  <c r="EE13" i="25"/>
  <c r="EI15" i="25"/>
  <c r="K288" i="31" l="1"/>
  <c r="O288" i="31"/>
  <c r="B291" i="31"/>
  <c r="J290" i="31"/>
  <c r="EK14" i="25"/>
  <c r="EL13" i="25"/>
  <c r="EG15" i="25"/>
  <c r="O289" i="31" l="1"/>
  <c r="K289" i="31"/>
  <c r="J291" i="31"/>
  <c r="B292" i="31"/>
  <c r="EE14" i="25"/>
  <c r="O290" i="31" l="1"/>
  <c r="K290" i="31"/>
  <c r="B293" i="31"/>
  <c r="J292" i="31"/>
  <c r="EL14" i="25"/>
  <c r="EM15" i="25"/>
  <c r="K291" i="31" l="1"/>
  <c r="O291" i="31"/>
  <c r="B294" i="31"/>
  <c r="J293" i="31"/>
  <c r="EF15" i="25"/>
  <c r="K292" i="31" l="1"/>
  <c r="O292" i="31"/>
  <c r="J294" i="31"/>
  <c r="B295" i="31"/>
  <c r="EK15" i="25"/>
  <c r="O293" i="31" l="1"/>
  <c r="K293" i="31"/>
  <c r="B296" i="31"/>
  <c r="J295" i="31"/>
  <c r="EE15" i="25"/>
  <c r="O294" i="31" l="1"/>
  <c r="K294" i="31"/>
  <c r="B297" i="31"/>
  <c r="J296" i="31"/>
  <c r="EL15" i="25"/>
  <c r="K295" i="31" l="1"/>
  <c r="O295" i="31"/>
  <c r="J297" i="31"/>
  <c r="B298" i="31"/>
  <c r="EB16" i="25"/>
  <c r="O296" i="31" l="1"/>
  <c r="K296" i="31"/>
  <c r="B299" i="31"/>
  <c r="J298" i="31"/>
  <c r="EB17" i="25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O297" i="31" l="1"/>
  <c r="K297" i="31"/>
  <c r="B300" i="31"/>
  <c r="J299" i="31"/>
  <c r="EC16" i="25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K298" i="31" l="1"/>
  <c r="O298" i="31"/>
  <c r="B301" i="31"/>
  <c r="J300" i="31"/>
  <c r="ED26" i="25"/>
  <c r="ED18" i="25"/>
  <c r="O299" i="31" l="1"/>
  <c r="K299" i="31"/>
  <c r="J301" i="31"/>
  <c r="B302" i="31"/>
  <c r="ED16" i="25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O300" i="31" l="1"/>
  <c r="K300" i="31"/>
  <c r="B303" i="31"/>
  <c r="J302" i="31"/>
  <c r="EN28" i="25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O301" i="31" l="1"/>
  <c r="K301" i="31"/>
  <c r="B304" i="31"/>
  <c r="J303" i="31"/>
  <c r="EI16" i="25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O302" i="31" l="1"/>
  <c r="K302" i="31"/>
  <c r="J304" i="31"/>
  <c r="B305" i="31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K303" i="31" l="1"/>
  <c r="O303" i="31"/>
  <c r="J305" i="31"/>
  <c r="B306" i="31"/>
  <c r="EM21" i="25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O304" i="31" l="1"/>
  <c r="K304" i="31"/>
  <c r="B307" i="31"/>
  <c r="J306" i="31"/>
  <c r="EB32" i="25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O305" i="31" l="1"/>
  <c r="K305" i="31"/>
  <c r="B308" i="31"/>
  <c r="J307" i="31"/>
  <c r="EC34" i="25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O306" i="31" l="1"/>
  <c r="K306" i="31"/>
  <c r="J308" i="31"/>
  <c r="B309" i="31"/>
  <c r="ED31" i="25"/>
  <c r="ED32" i="25"/>
  <c r="ED34" i="25"/>
  <c r="O307" i="31" l="1"/>
  <c r="K307" i="31"/>
  <c r="B310" i="31"/>
  <c r="J309" i="31"/>
  <c r="EI31" i="25"/>
  <c r="EI32" i="25"/>
  <c r="EI34" i="25"/>
  <c r="EN34" i="25"/>
  <c r="EN31" i="25"/>
  <c r="EN32" i="25"/>
  <c r="O308" i="31" l="1"/>
  <c r="K308" i="31"/>
  <c r="J310" i="31"/>
  <c r="B311" i="31"/>
  <c r="EK34" i="25"/>
  <c r="EK31" i="25"/>
  <c r="EK32" i="25"/>
  <c r="EM31" i="25"/>
  <c r="EM34" i="25"/>
  <c r="EM32" i="25"/>
  <c r="EF34" i="25"/>
  <c r="EF31" i="25"/>
  <c r="EF32" i="25"/>
  <c r="EG34" i="25"/>
  <c r="EG32" i="25"/>
  <c r="EG31" i="25"/>
  <c r="O309" i="31" l="1"/>
  <c r="K309" i="31"/>
  <c r="B312" i="31"/>
  <c r="J311" i="31"/>
  <c r="EE34" i="25"/>
  <c r="EE32" i="25"/>
  <c r="EE31" i="25"/>
  <c r="O310" i="31" l="1"/>
  <c r="K310" i="31"/>
  <c r="J312" i="31"/>
  <c r="EL34" i="25"/>
  <c r="EL32" i="25"/>
  <c r="EL31" i="25"/>
  <c r="O311" i="31" l="1"/>
  <c r="K311" i="31"/>
  <c r="O18" i="3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O312" i="31" l="1"/>
  <c r="K312" i="31"/>
  <c r="X41" i="3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E24" i="25"/>
  <c r="E41" i="25"/>
  <c r="B5" i="25" l="1"/>
  <c r="B5" i="28" s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G39" i="25"/>
  <c r="E40" i="25"/>
  <c r="G41" i="25"/>
  <c r="E39" i="25"/>
  <c r="E38" i="25"/>
  <c r="G40" i="25"/>
  <c r="B4" i="31" l="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22" i="25"/>
  <c r="E15" i="25"/>
  <c r="E14" i="25"/>
  <c r="E18" i="25"/>
  <c r="E19" i="25"/>
  <c r="E21" i="25"/>
  <c r="E17" i="25"/>
  <c r="E20" i="25"/>
  <c r="E13" i="25"/>
  <c r="E16" i="25"/>
  <c r="E23" i="25"/>
  <c r="M18" i="25" l="1"/>
  <c r="M23" i="25"/>
  <c r="M24" i="25"/>
  <c r="M19" i="25"/>
  <c r="M20" i="25"/>
  <c r="M17" i="25"/>
  <c r="M22" i="25"/>
  <c r="M16" i="25"/>
  <c r="M14" i="25"/>
  <c r="M21" i="25"/>
  <c r="M15" i="25"/>
  <c r="M13" i="25"/>
  <c r="S20" i="3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M25" i="25" l="1"/>
  <c r="Q27" i="31"/>
  <c r="E27" i="25"/>
  <c r="E26" i="25"/>
  <c r="M27" i="25" l="1"/>
  <c r="M26" i="25"/>
  <c r="Q28" i="3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5" i="31" l="1"/>
  <c r="E175" i="31" s="1"/>
  <c r="G175" i="31" s="1"/>
  <c r="D178" i="31"/>
  <c r="E178" i="31" s="1"/>
  <c r="D176" i="31"/>
  <c r="E176" i="31" s="1"/>
  <c r="D177" i="31"/>
  <c r="E177" i="31" s="1"/>
  <c r="G177" i="31" s="1"/>
  <c r="D174" i="31"/>
  <c r="E174" i="31" s="1"/>
  <c r="D170" i="31"/>
  <c r="E170" i="31" s="1"/>
  <c r="D169" i="31"/>
  <c r="E169" i="31" s="1"/>
  <c r="G169" i="31" s="1"/>
  <c r="D173" i="31"/>
  <c r="E173" i="31" s="1"/>
  <c r="G173" i="31" s="1"/>
  <c r="D171" i="31"/>
  <c r="E171" i="31" s="1"/>
  <c r="G171" i="31" s="1"/>
  <c r="D179" i="31"/>
  <c r="E179" i="31" s="1"/>
  <c r="G179" i="31" s="1"/>
  <c r="D180" i="31"/>
  <c r="E180" i="31" s="1"/>
  <c r="G180" i="31" s="1"/>
  <c r="D172" i="31"/>
  <c r="E172" i="31" s="1"/>
  <c r="G172" i="31" s="1"/>
  <c r="D250" i="31"/>
  <c r="E250" i="31" s="1"/>
  <c r="D242" i="31"/>
  <c r="E242" i="31" s="1"/>
  <c r="D247" i="31"/>
  <c r="E247" i="31" s="1"/>
  <c r="D241" i="31"/>
  <c r="E241" i="31" s="1"/>
  <c r="D243" i="31"/>
  <c r="E243" i="31" s="1"/>
  <c r="D252" i="31"/>
  <c r="E252" i="31" s="1"/>
  <c r="D245" i="31"/>
  <c r="E245" i="31" s="1"/>
  <c r="D248" i="31"/>
  <c r="E248" i="31" s="1"/>
  <c r="D246" i="31"/>
  <c r="E246" i="31" s="1"/>
  <c r="D249" i="31"/>
  <c r="E249" i="31" s="1"/>
  <c r="D251" i="31"/>
  <c r="E251" i="31" s="1"/>
  <c r="D244" i="31"/>
  <c r="E244" i="31" s="1"/>
  <c r="D290" i="31"/>
  <c r="E290" i="31" s="1"/>
  <c r="D289" i="31"/>
  <c r="E289" i="31" s="1"/>
  <c r="D293" i="31"/>
  <c r="E293" i="31" s="1"/>
  <c r="D295" i="31"/>
  <c r="E295" i="31" s="1"/>
  <c r="D298" i="31"/>
  <c r="E298" i="31" s="1"/>
  <c r="D297" i="31"/>
  <c r="E297" i="31" s="1"/>
  <c r="D300" i="31"/>
  <c r="E300" i="31" s="1"/>
  <c r="D292" i="31"/>
  <c r="E292" i="31" s="1"/>
  <c r="D296" i="31"/>
  <c r="E296" i="31" s="1"/>
  <c r="D294" i="31"/>
  <c r="E294" i="31" s="1"/>
  <c r="D299" i="31"/>
  <c r="E299" i="31" s="1"/>
  <c r="D291" i="31"/>
  <c r="E291" i="31" s="1"/>
  <c r="D237" i="31"/>
  <c r="E237" i="31" s="1"/>
  <c r="D234" i="31"/>
  <c r="E234" i="31" s="1"/>
  <c r="D232" i="31"/>
  <c r="E232" i="31" s="1"/>
  <c r="D229" i="31"/>
  <c r="E229" i="31" s="1"/>
  <c r="D236" i="31"/>
  <c r="E236" i="31" s="1"/>
  <c r="D239" i="31"/>
  <c r="E239" i="31" s="1"/>
  <c r="D238" i="31"/>
  <c r="E238" i="31" s="1"/>
  <c r="D240" i="31"/>
  <c r="E240" i="31" s="1"/>
  <c r="D230" i="31"/>
  <c r="E230" i="31" s="1"/>
  <c r="D231" i="31"/>
  <c r="E231" i="31" s="1"/>
  <c r="D233" i="31"/>
  <c r="E233" i="31" s="1"/>
  <c r="D235" i="31"/>
  <c r="E235" i="31" s="1"/>
  <c r="D262" i="31"/>
  <c r="E262" i="31" s="1"/>
  <c r="D254" i="31"/>
  <c r="E254" i="31" s="1"/>
  <c r="D258" i="31"/>
  <c r="E258" i="31" s="1"/>
  <c r="D261" i="31"/>
  <c r="E261" i="31" s="1"/>
  <c r="D260" i="31"/>
  <c r="E260" i="31" s="1"/>
  <c r="D257" i="31"/>
  <c r="E257" i="31" s="1"/>
  <c r="D264" i="31"/>
  <c r="E264" i="31" s="1"/>
  <c r="D256" i="31"/>
  <c r="E256" i="31" s="1"/>
  <c r="D259" i="31"/>
  <c r="E259" i="31" s="1"/>
  <c r="D255" i="31"/>
  <c r="E255" i="31" s="1"/>
  <c r="D253" i="31"/>
  <c r="E253" i="31" s="1"/>
  <c r="D263" i="31"/>
  <c r="E263" i="31" s="1"/>
  <c r="D102" i="31"/>
  <c r="E102" i="31" s="1"/>
  <c r="G102" i="31" s="1"/>
  <c r="D105" i="31"/>
  <c r="E105" i="31" s="1"/>
  <c r="G105" i="31" s="1"/>
  <c r="D107" i="31"/>
  <c r="E107" i="31" s="1"/>
  <c r="G107" i="31" s="1"/>
  <c r="D98" i="31"/>
  <c r="E98" i="31" s="1"/>
  <c r="G98" i="31" s="1"/>
  <c r="D106" i="31"/>
  <c r="E106" i="31" s="1"/>
  <c r="G106" i="31" s="1"/>
  <c r="D104" i="31"/>
  <c r="E104" i="31" s="1"/>
  <c r="G104" i="31" s="1"/>
  <c r="D103" i="31"/>
  <c r="E103" i="31" s="1"/>
  <c r="D108" i="31"/>
  <c r="E108" i="31" s="1"/>
  <c r="G108" i="31" s="1"/>
  <c r="D101" i="31"/>
  <c r="E101" i="31" s="1"/>
  <c r="G101" i="31" s="1"/>
  <c r="D97" i="31"/>
  <c r="E97" i="31" s="1"/>
  <c r="G97" i="31" s="1"/>
  <c r="D100" i="31"/>
  <c r="E100" i="31" s="1"/>
  <c r="G100" i="31" s="1"/>
  <c r="D99" i="31"/>
  <c r="E99" i="31" s="1"/>
  <c r="G99" i="31" s="1"/>
  <c r="D56" i="31"/>
  <c r="E56" i="31" s="1"/>
  <c r="G56" i="31" s="1"/>
  <c r="D50" i="31"/>
  <c r="E50" i="31" s="1"/>
  <c r="G50" i="31" s="1"/>
  <c r="D49" i="31"/>
  <c r="E49" i="31" s="1"/>
  <c r="G49" i="31" s="1"/>
  <c r="D59" i="31"/>
  <c r="E59" i="31" s="1"/>
  <c r="G59" i="31" s="1"/>
  <c r="D58" i="31"/>
  <c r="E58" i="31" s="1"/>
  <c r="G58" i="31" s="1"/>
  <c r="D60" i="31"/>
  <c r="E60" i="31" s="1"/>
  <c r="G60" i="31" s="1"/>
  <c r="D55" i="31"/>
  <c r="E55" i="31" s="1"/>
  <c r="G55" i="31" s="1"/>
  <c r="D51" i="31"/>
  <c r="E51" i="31" s="1"/>
  <c r="G51" i="31" s="1"/>
  <c r="D52" i="31"/>
  <c r="E52" i="31" s="1"/>
  <c r="G52" i="31" s="1"/>
  <c r="D57" i="31"/>
  <c r="E57" i="31" s="1"/>
  <c r="D54" i="31"/>
  <c r="E54" i="31" s="1"/>
  <c r="G54" i="31" s="1"/>
  <c r="D53" i="31"/>
  <c r="E53" i="31" s="1"/>
  <c r="G53" i="31" s="1"/>
  <c r="D302" i="31"/>
  <c r="E302" i="31" s="1"/>
  <c r="D301" i="31"/>
  <c r="E301" i="31" s="1"/>
  <c r="D305" i="31"/>
  <c r="E305" i="31" s="1"/>
  <c r="D307" i="31"/>
  <c r="E307" i="31" s="1"/>
  <c r="D310" i="31"/>
  <c r="E310" i="31" s="1"/>
  <c r="D304" i="31"/>
  <c r="E304" i="31" s="1"/>
  <c r="D312" i="31"/>
  <c r="E312" i="31" s="1"/>
  <c r="D308" i="31"/>
  <c r="E308" i="31" s="1"/>
  <c r="D309" i="31"/>
  <c r="E309" i="31" s="1"/>
  <c r="D306" i="31"/>
  <c r="E306" i="31" s="1"/>
  <c r="D311" i="31"/>
  <c r="E311" i="31" s="1"/>
  <c r="D303" i="31"/>
  <c r="E303" i="31" s="1"/>
  <c r="D216" i="31"/>
  <c r="E216" i="31" s="1"/>
  <c r="D213" i="31"/>
  <c r="E213" i="31" s="1"/>
  <c r="D205" i="31"/>
  <c r="E205" i="31" s="1"/>
  <c r="D212" i="31"/>
  <c r="E212" i="31" s="1"/>
  <c r="D215" i="31"/>
  <c r="E215" i="31" s="1"/>
  <c r="D206" i="31"/>
  <c r="E206" i="31" s="1"/>
  <c r="D214" i="31"/>
  <c r="E214" i="31" s="1"/>
  <c r="D207" i="31"/>
  <c r="E207" i="31" s="1"/>
  <c r="D211" i="31"/>
  <c r="E211" i="31" s="1"/>
  <c r="D210" i="31"/>
  <c r="E210" i="31" s="1"/>
  <c r="D209" i="31"/>
  <c r="E209" i="31" s="1"/>
  <c r="D208" i="31"/>
  <c r="E208" i="31" s="1"/>
  <c r="D47" i="31"/>
  <c r="E47" i="31" s="1"/>
  <c r="G47" i="31" s="1"/>
  <c r="D46" i="31"/>
  <c r="E46" i="31" s="1"/>
  <c r="G46" i="31" s="1"/>
  <c r="D42" i="31"/>
  <c r="E42" i="31" s="1"/>
  <c r="G42" i="31" s="1"/>
  <c r="D44" i="31"/>
  <c r="E44" i="31" s="1"/>
  <c r="G44" i="31" s="1"/>
  <c r="D39" i="31"/>
  <c r="E39" i="31" s="1"/>
  <c r="G39" i="31" s="1"/>
  <c r="D45" i="31"/>
  <c r="E45" i="31" s="1"/>
  <c r="G45" i="31" s="1"/>
  <c r="D38" i="31"/>
  <c r="E38" i="31" s="1"/>
  <c r="G38" i="31" s="1"/>
  <c r="D40" i="31"/>
  <c r="E40" i="31" s="1"/>
  <c r="G40" i="31" s="1"/>
  <c r="D37" i="31"/>
  <c r="D41" i="31"/>
  <c r="E41" i="31" s="1"/>
  <c r="G41" i="31" s="1"/>
  <c r="D48" i="31"/>
  <c r="E48" i="31" s="1"/>
  <c r="G48" i="31" s="1"/>
  <c r="D43" i="31"/>
  <c r="E43" i="31" s="1"/>
  <c r="G43" i="31" s="1"/>
  <c r="D160" i="31"/>
  <c r="E160" i="31" s="1"/>
  <c r="G160" i="31" s="1"/>
  <c r="D162" i="31"/>
  <c r="E162" i="31" s="1"/>
  <c r="G162" i="31" s="1"/>
  <c r="D161" i="31"/>
  <c r="E161" i="31" s="1"/>
  <c r="G161" i="31" s="1"/>
  <c r="D163" i="31"/>
  <c r="E163" i="31" s="1"/>
  <c r="G163" i="31" s="1"/>
  <c r="D159" i="31"/>
  <c r="E159" i="31" s="1"/>
  <c r="G159" i="31" s="1"/>
  <c r="D158" i="31"/>
  <c r="E158" i="31" s="1"/>
  <c r="G158" i="31" s="1"/>
  <c r="D164" i="31"/>
  <c r="E164" i="31" s="1"/>
  <c r="G164" i="31" s="1"/>
  <c r="D167" i="31"/>
  <c r="E167" i="31" s="1"/>
  <c r="G167" i="31" s="1"/>
  <c r="D157" i="31"/>
  <c r="E157" i="31" s="1"/>
  <c r="G157" i="31" s="1"/>
  <c r="D168" i="31"/>
  <c r="E168" i="31" s="1"/>
  <c r="G168" i="31" s="1"/>
  <c r="D165" i="31"/>
  <c r="E165" i="31" s="1"/>
  <c r="G165" i="31" s="1"/>
  <c r="D166" i="31"/>
  <c r="E166" i="31" s="1"/>
  <c r="G166" i="31" s="1"/>
  <c r="D202" i="31"/>
  <c r="E202" i="31" s="1"/>
  <c r="G202" i="31" s="1"/>
  <c r="D200" i="31"/>
  <c r="E200" i="31" s="1"/>
  <c r="G200" i="31" s="1"/>
  <c r="D194" i="31"/>
  <c r="E194" i="31" s="1"/>
  <c r="G194" i="31" s="1"/>
  <c r="D196" i="31"/>
  <c r="E196" i="31" s="1"/>
  <c r="G196" i="31" s="1"/>
  <c r="D199" i="31"/>
  <c r="E199" i="31" s="1"/>
  <c r="G199" i="31" s="1"/>
  <c r="D204" i="31"/>
  <c r="E204" i="31" s="1"/>
  <c r="G204" i="31" s="1"/>
  <c r="D195" i="31"/>
  <c r="E195" i="31" s="1"/>
  <c r="G195" i="31" s="1"/>
  <c r="D193" i="31"/>
  <c r="E193" i="31" s="1"/>
  <c r="G193" i="31" s="1"/>
  <c r="D201" i="31"/>
  <c r="E201" i="31" s="1"/>
  <c r="G201" i="31" s="1"/>
  <c r="D197" i="31"/>
  <c r="E197" i="31" s="1"/>
  <c r="G197" i="31" s="1"/>
  <c r="D203" i="31"/>
  <c r="E203" i="31" s="1"/>
  <c r="G203" i="31" s="1"/>
  <c r="D198" i="31"/>
  <c r="E198" i="31" s="1"/>
  <c r="G198" i="31" s="1"/>
  <c r="D278" i="31"/>
  <c r="E278" i="31" s="1"/>
  <c r="D283" i="31"/>
  <c r="E283" i="31" s="1"/>
  <c r="D281" i="31"/>
  <c r="E281" i="31" s="1"/>
  <c r="D284" i="31"/>
  <c r="E284" i="31" s="1"/>
  <c r="D286" i="31"/>
  <c r="E286" i="31" s="1"/>
  <c r="D277" i="31"/>
  <c r="E277" i="31" s="1"/>
  <c r="D285" i="31"/>
  <c r="E285" i="31" s="1"/>
  <c r="D288" i="31"/>
  <c r="E288" i="31" s="1"/>
  <c r="D280" i="31"/>
  <c r="E280" i="31" s="1"/>
  <c r="D287" i="31"/>
  <c r="E287" i="31" s="1"/>
  <c r="D282" i="31"/>
  <c r="E282" i="31" s="1"/>
  <c r="D279" i="31"/>
  <c r="E279" i="31" s="1"/>
  <c r="D228" i="31"/>
  <c r="E228" i="31" s="1"/>
  <c r="D217" i="31"/>
  <c r="E217" i="31" s="1"/>
  <c r="D219" i="31"/>
  <c r="E219" i="31" s="1"/>
  <c r="D226" i="31"/>
  <c r="E226" i="31" s="1"/>
  <c r="D225" i="31"/>
  <c r="E225" i="31" s="1"/>
  <c r="D221" i="31"/>
  <c r="E221" i="31" s="1"/>
  <c r="D222" i="31"/>
  <c r="E222" i="31" s="1"/>
  <c r="D227" i="31"/>
  <c r="E227" i="31" s="1"/>
  <c r="D218" i="31"/>
  <c r="E218" i="31" s="1"/>
  <c r="D224" i="31"/>
  <c r="E224" i="31" s="1"/>
  <c r="D223" i="31"/>
  <c r="E223" i="31" s="1"/>
  <c r="D220" i="31"/>
  <c r="E220" i="31" s="1"/>
  <c r="D146" i="31"/>
  <c r="E146" i="31" s="1"/>
  <c r="G146" i="31" s="1"/>
  <c r="D148" i="31"/>
  <c r="E148" i="31" s="1"/>
  <c r="G148" i="31" s="1"/>
  <c r="D156" i="31"/>
  <c r="E156" i="31" s="1"/>
  <c r="G156" i="31" s="1"/>
  <c r="D147" i="31"/>
  <c r="E147" i="31" s="1"/>
  <c r="G147" i="31" s="1"/>
  <c r="D153" i="31"/>
  <c r="E153" i="31" s="1"/>
  <c r="G153" i="31" s="1"/>
  <c r="D154" i="31"/>
  <c r="E154" i="31" s="1"/>
  <c r="G154" i="31" s="1"/>
  <c r="D145" i="31"/>
  <c r="E145" i="31" s="1"/>
  <c r="G145" i="31" s="1"/>
  <c r="D152" i="31"/>
  <c r="E152" i="31" s="1"/>
  <c r="G152" i="31" s="1"/>
  <c r="D149" i="31"/>
  <c r="E149" i="31" s="1"/>
  <c r="G149" i="31" s="1"/>
  <c r="D155" i="31"/>
  <c r="E155" i="31" s="1"/>
  <c r="G155" i="31" s="1"/>
  <c r="D150" i="31"/>
  <c r="E150" i="31" s="1"/>
  <c r="G150" i="31" s="1"/>
  <c r="D151" i="31"/>
  <c r="E151" i="31" s="1"/>
  <c r="G151" i="31" s="1"/>
  <c r="D272" i="31"/>
  <c r="E272" i="31" s="1"/>
  <c r="D266" i="31"/>
  <c r="E266" i="31" s="1"/>
  <c r="D274" i="31"/>
  <c r="E274" i="31" s="1"/>
  <c r="D269" i="31"/>
  <c r="E269" i="31" s="1"/>
  <c r="D276" i="31"/>
  <c r="E276" i="31" s="1"/>
  <c r="D268" i="31"/>
  <c r="E268" i="31" s="1"/>
  <c r="D273" i="31"/>
  <c r="E273" i="31" s="1"/>
  <c r="D271" i="31"/>
  <c r="E271" i="31" s="1"/>
  <c r="D265" i="31"/>
  <c r="E265" i="31" s="1"/>
  <c r="D270" i="31"/>
  <c r="E270" i="31" s="1"/>
  <c r="D275" i="31"/>
  <c r="E275" i="31" s="1"/>
  <c r="D267" i="31"/>
  <c r="E267" i="31" s="1"/>
  <c r="D137" i="31"/>
  <c r="E137" i="31" s="1"/>
  <c r="G137" i="31" s="1"/>
  <c r="D143" i="31"/>
  <c r="E143" i="31" s="1"/>
  <c r="G143" i="31" s="1"/>
  <c r="D142" i="31"/>
  <c r="E142" i="31" s="1"/>
  <c r="G142" i="31" s="1"/>
  <c r="D140" i="31"/>
  <c r="E140" i="31" s="1"/>
  <c r="G140" i="31" s="1"/>
  <c r="D138" i="31"/>
  <c r="E138" i="31" s="1"/>
  <c r="G138" i="31" s="1"/>
  <c r="D144" i="31"/>
  <c r="E144" i="31" s="1"/>
  <c r="G144" i="31" s="1"/>
  <c r="D134" i="31"/>
  <c r="E134" i="31" s="1"/>
  <c r="G134" i="31" s="1"/>
  <c r="D141" i="31"/>
  <c r="E141" i="31" s="1"/>
  <c r="G141" i="31" s="1"/>
  <c r="D139" i="31"/>
  <c r="E139" i="31" s="1"/>
  <c r="G139" i="31" s="1"/>
  <c r="D136" i="31"/>
  <c r="E136" i="31" s="1"/>
  <c r="G136" i="31" s="1"/>
  <c r="D133" i="31"/>
  <c r="E133" i="31" s="1"/>
  <c r="G133" i="31" s="1"/>
  <c r="D135" i="31"/>
  <c r="E135" i="31" s="1"/>
  <c r="G135" i="31" s="1"/>
  <c r="D62" i="31"/>
  <c r="E62" i="31" s="1"/>
  <c r="G62" i="31" s="1"/>
  <c r="D71" i="31"/>
  <c r="E71" i="31" s="1"/>
  <c r="G71" i="31" s="1"/>
  <c r="D63" i="31"/>
  <c r="E63" i="31" s="1"/>
  <c r="G63" i="31" s="1"/>
  <c r="D66" i="31"/>
  <c r="E66" i="31" s="1"/>
  <c r="G66" i="31" s="1"/>
  <c r="D72" i="31"/>
  <c r="E72" i="31" s="1"/>
  <c r="G72" i="31" s="1"/>
  <c r="D68" i="31"/>
  <c r="E68" i="31" s="1"/>
  <c r="G68" i="31" s="1"/>
  <c r="D67" i="31"/>
  <c r="E67" i="31" s="1"/>
  <c r="G67" i="31" s="1"/>
  <c r="D64" i="31"/>
  <c r="E64" i="31" s="1"/>
  <c r="G64" i="31" s="1"/>
  <c r="D69" i="31"/>
  <c r="E69" i="31" s="1"/>
  <c r="G69" i="31" s="1"/>
  <c r="D61" i="31"/>
  <c r="E61" i="31" s="1"/>
  <c r="G61" i="31" s="1"/>
  <c r="D65" i="31"/>
  <c r="E65" i="31" s="1"/>
  <c r="G65" i="31" s="1"/>
  <c r="D70" i="31"/>
  <c r="E70" i="31" s="1"/>
  <c r="G70" i="31" s="1"/>
  <c r="D183" i="31"/>
  <c r="E183" i="31" s="1"/>
  <c r="G183" i="31" s="1"/>
  <c r="D184" i="31"/>
  <c r="E184" i="31" s="1"/>
  <c r="G184" i="31" s="1"/>
  <c r="D182" i="31"/>
  <c r="E182" i="31" s="1"/>
  <c r="G182" i="31" s="1"/>
  <c r="D190" i="31"/>
  <c r="E190" i="31" s="1"/>
  <c r="G190" i="31" s="1"/>
  <c r="D192" i="31"/>
  <c r="E192" i="31" s="1"/>
  <c r="G192" i="31" s="1"/>
  <c r="D189" i="31"/>
  <c r="E189" i="31" s="1"/>
  <c r="G189" i="31" s="1"/>
  <c r="D188" i="31"/>
  <c r="E188" i="31" s="1"/>
  <c r="G188" i="31" s="1"/>
  <c r="D181" i="31"/>
  <c r="E181" i="31" s="1"/>
  <c r="G181" i="31" s="1"/>
  <c r="D187" i="31"/>
  <c r="E187" i="31" s="1"/>
  <c r="G187" i="31" s="1"/>
  <c r="D191" i="31"/>
  <c r="E191" i="31" s="1"/>
  <c r="G191" i="31" s="1"/>
  <c r="D185" i="31"/>
  <c r="E185" i="31" s="1"/>
  <c r="G185" i="31" s="1"/>
  <c r="D186" i="31"/>
  <c r="E186" i="31" s="1"/>
  <c r="G186" i="31" s="1"/>
  <c r="D94" i="31"/>
  <c r="E94" i="31" s="1"/>
  <c r="G94" i="31" s="1"/>
  <c r="D88" i="31"/>
  <c r="E88" i="31" s="1"/>
  <c r="G88" i="31" s="1"/>
  <c r="D86" i="31"/>
  <c r="E86" i="31" s="1"/>
  <c r="G86" i="31" s="1"/>
  <c r="D96" i="31"/>
  <c r="E96" i="31" s="1"/>
  <c r="G96" i="31" s="1"/>
  <c r="D92" i="31"/>
  <c r="E92" i="31" s="1"/>
  <c r="G92" i="31" s="1"/>
  <c r="D90" i="31"/>
  <c r="E90" i="31" s="1"/>
  <c r="G90" i="31" s="1"/>
  <c r="D95" i="31"/>
  <c r="E95" i="31" s="1"/>
  <c r="G95" i="31" s="1"/>
  <c r="D89" i="31"/>
  <c r="E89" i="31" s="1"/>
  <c r="G89" i="31" s="1"/>
  <c r="D91" i="31"/>
  <c r="E91" i="31" s="1"/>
  <c r="G91" i="31" s="1"/>
  <c r="D87" i="31"/>
  <c r="E87" i="31" s="1"/>
  <c r="G87" i="31" s="1"/>
  <c r="D93" i="31"/>
  <c r="E93" i="31" s="1"/>
  <c r="G93" i="31" s="1"/>
  <c r="D85" i="31"/>
  <c r="E85" i="31" s="1"/>
  <c r="G85" i="31" s="1"/>
  <c r="D34" i="31"/>
  <c r="E34" i="31" s="1"/>
  <c r="G34" i="31" s="1"/>
  <c r="D35" i="31"/>
  <c r="E35" i="31" s="1"/>
  <c r="G35" i="31" s="1"/>
  <c r="D33" i="31"/>
  <c r="E33" i="31" s="1"/>
  <c r="G33" i="31" s="1"/>
  <c r="D29" i="31"/>
  <c r="E29" i="31" s="1"/>
  <c r="G29" i="31" s="1"/>
  <c r="D36" i="31"/>
  <c r="E36" i="31" s="1"/>
  <c r="G36" i="31" s="1"/>
  <c r="D30" i="31"/>
  <c r="E30" i="31" s="1"/>
  <c r="G30" i="31" s="1"/>
  <c r="D27" i="31"/>
  <c r="E27" i="31" s="1"/>
  <c r="G27" i="31" s="1"/>
  <c r="D26" i="31"/>
  <c r="E26" i="31" s="1"/>
  <c r="G26" i="31" s="1"/>
  <c r="D32" i="31"/>
  <c r="E32" i="31" s="1"/>
  <c r="G32" i="31" s="1"/>
  <c r="D31" i="31"/>
  <c r="E31" i="31" s="1"/>
  <c r="G31" i="31" s="1"/>
  <c r="D25" i="31"/>
  <c r="D28" i="31"/>
  <c r="E28" i="31" s="1"/>
  <c r="G28" i="31" s="1"/>
  <c r="D23" i="31"/>
  <c r="E23" i="31" s="1"/>
  <c r="G23" i="31" s="1"/>
  <c r="D24" i="31"/>
  <c r="E24" i="31" s="1"/>
  <c r="G24" i="31" s="1"/>
  <c r="D15" i="31"/>
  <c r="E15" i="31" s="1"/>
  <c r="G15" i="31" s="1"/>
  <c r="D19" i="31"/>
  <c r="E19" i="31" s="1"/>
  <c r="G19" i="31" s="1"/>
  <c r="D16" i="31"/>
  <c r="E16" i="31" s="1"/>
  <c r="G16" i="31" s="1"/>
  <c r="D17" i="31"/>
  <c r="E17" i="31" s="1"/>
  <c r="G17" i="31" s="1"/>
  <c r="D18" i="31"/>
  <c r="E18" i="31" s="1"/>
  <c r="G18" i="31" s="1"/>
  <c r="D14" i="31"/>
  <c r="E14" i="31" s="1"/>
  <c r="G14" i="31" s="1"/>
  <c r="D22" i="31"/>
  <c r="E22" i="31" s="1"/>
  <c r="G22" i="31" s="1"/>
  <c r="D21" i="31"/>
  <c r="E21" i="31" s="1"/>
  <c r="G21" i="31" s="1"/>
  <c r="D20" i="31"/>
  <c r="E20" i="31" s="1"/>
  <c r="G20" i="31" s="1"/>
  <c r="D122" i="31"/>
  <c r="E122" i="31" s="1"/>
  <c r="G122" i="31" s="1"/>
  <c r="D124" i="31"/>
  <c r="E124" i="31" s="1"/>
  <c r="G124" i="31" s="1"/>
  <c r="D126" i="31"/>
  <c r="E126" i="31" s="1"/>
  <c r="G126" i="31" s="1"/>
  <c r="D131" i="31"/>
  <c r="E131" i="31" s="1"/>
  <c r="G131" i="31" s="1"/>
  <c r="D127" i="31"/>
  <c r="E127" i="31" s="1"/>
  <c r="G127" i="31" s="1"/>
  <c r="D121" i="31"/>
  <c r="E121" i="31" s="1"/>
  <c r="G121" i="31" s="1"/>
  <c r="D129" i="31"/>
  <c r="E129" i="31" s="1"/>
  <c r="G129" i="31" s="1"/>
  <c r="D123" i="31"/>
  <c r="E123" i="31" s="1"/>
  <c r="G123" i="31" s="1"/>
  <c r="D130" i="31"/>
  <c r="E130" i="31" s="1"/>
  <c r="G130" i="31" s="1"/>
  <c r="D125" i="31"/>
  <c r="E125" i="31" s="1"/>
  <c r="G125" i="31" s="1"/>
  <c r="D132" i="31"/>
  <c r="E132" i="31" s="1"/>
  <c r="G132" i="31" s="1"/>
  <c r="D128" i="31"/>
  <c r="E128" i="31" s="1"/>
  <c r="G128" i="31" s="1"/>
  <c r="D114" i="31"/>
  <c r="E114" i="31" s="1"/>
  <c r="G114" i="31" s="1"/>
  <c r="D113" i="31"/>
  <c r="E113" i="31" s="1"/>
  <c r="G113" i="31" s="1"/>
  <c r="D115" i="31"/>
  <c r="E115" i="31" s="1"/>
  <c r="G115" i="31" s="1"/>
  <c r="D119" i="31"/>
  <c r="E119" i="31" s="1"/>
  <c r="G119" i="31" s="1"/>
  <c r="D118" i="31"/>
  <c r="E118" i="31" s="1"/>
  <c r="G118" i="31" s="1"/>
  <c r="D112" i="31"/>
  <c r="E112" i="31" s="1"/>
  <c r="G112" i="31" s="1"/>
  <c r="D117" i="31"/>
  <c r="E117" i="31" s="1"/>
  <c r="G117" i="31" s="1"/>
  <c r="D116" i="31"/>
  <c r="E116" i="31" s="1"/>
  <c r="G116" i="31" s="1"/>
  <c r="D109" i="31"/>
  <c r="E109" i="31" s="1"/>
  <c r="G109" i="31" s="1"/>
  <c r="D120" i="31"/>
  <c r="E120" i="31" s="1"/>
  <c r="G120" i="31" s="1"/>
  <c r="D111" i="31"/>
  <c r="E111" i="31" s="1"/>
  <c r="G111" i="31" s="1"/>
  <c r="D110" i="31"/>
  <c r="E110" i="31" s="1"/>
  <c r="G110" i="31" s="1"/>
  <c r="D81" i="31"/>
  <c r="E81" i="31" s="1"/>
  <c r="G81" i="31" s="1"/>
  <c r="D82" i="31"/>
  <c r="E82" i="31" s="1"/>
  <c r="G82" i="31" s="1"/>
  <c r="D73" i="31"/>
  <c r="E73" i="31" s="1"/>
  <c r="G73" i="31" s="1"/>
  <c r="D74" i="31"/>
  <c r="E74" i="31" s="1"/>
  <c r="G74" i="31" s="1"/>
  <c r="D83" i="31"/>
  <c r="E83" i="31" s="1"/>
  <c r="G83" i="31" s="1"/>
  <c r="D79" i="31"/>
  <c r="E79" i="31" s="1"/>
  <c r="G79" i="31" s="1"/>
  <c r="D76" i="31"/>
  <c r="E76" i="31" s="1"/>
  <c r="G76" i="31" s="1"/>
  <c r="D78" i="31"/>
  <c r="E78" i="31" s="1"/>
  <c r="G78" i="31" s="1"/>
  <c r="D77" i="31"/>
  <c r="E77" i="31" s="1"/>
  <c r="G77" i="31" s="1"/>
  <c r="D84" i="31"/>
  <c r="E84" i="31" s="1"/>
  <c r="G84" i="31" s="1"/>
  <c r="D75" i="31"/>
  <c r="E75" i="31" s="1"/>
  <c r="G75" i="31" s="1"/>
  <c r="D80" i="31"/>
  <c r="E80" i="31" s="1"/>
  <c r="G80" i="31" s="1"/>
  <c r="G176" i="31"/>
  <c r="G174" i="31"/>
  <c r="G170" i="31"/>
  <c r="G178" i="31"/>
  <c r="G57" i="31"/>
  <c r="D13" i="31"/>
  <c r="E13" i="31" s="1"/>
  <c r="G13" i="31" s="1"/>
  <c r="G103" i="31"/>
  <c r="G16" i="25"/>
  <c r="G13" i="25"/>
  <c r="D7" i="31"/>
  <c r="G19" i="25"/>
  <c r="G24" i="25"/>
  <c r="G22" i="25"/>
  <c r="G27" i="25"/>
  <c r="G25" i="25"/>
  <c r="G17" i="25"/>
  <c r="G18" i="25"/>
  <c r="G23" i="25"/>
  <c r="G26" i="25"/>
  <c r="G20" i="25"/>
  <c r="G21" i="25"/>
  <c r="D8" i="31"/>
  <c r="E14" i="204" l="1"/>
  <c r="E17" i="204"/>
  <c r="E20" i="204"/>
  <c r="E10" i="204"/>
  <c r="E18" i="204"/>
  <c r="E13" i="204"/>
  <c r="E19" i="204"/>
  <c r="E23" i="204"/>
  <c r="E22" i="204"/>
  <c r="E15" i="204"/>
  <c r="E16" i="204"/>
  <c r="E21" i="204"/>
  <c r="E24" i="204"/>
  <c r="G8" i="31"/>
  <c r="G62" i="25" s="1"/>
  <c r="E31" i="204" s="1"/>
  <c r="C61" i="25"/>
  <c r="G7" i="31"/>
  <c r="G67" i="25" s="1"/>
  <c r="C66" i="25"/>
  <c r="E25" i="31"/>
  <c r="G25" i="31" s="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G15" i="25"/>
  <c r="E8" i="31"/>
  <c r="G14" i="25"/>
  <c r="E7" i="31"/>
  <c r="G38" i="25"/>
  <c r="E11" i="204" l="1"/>
  <c r="E12" i="204"/>
  <c r="R21" i="204"/>
  <c r="K21" i="204"/>
  <c r="K13" i="204"/>
  <c r="R13" i="204"/>
  <c r="K16" i="204"/>
  <c r="R16" i="204"/>
  <c r="R15" i="204"/>
  <c r="K15" i="204"/>
  <c r="K18" i="204"/>
  <c r="R18" i="204"/>
  <c r="K10" i="204"/>
  <c r="R10" i="204"/>
  <c r="K19" i="204"/>
  <c r="R19" i="204"/>
  <c r="K20" i="204"/>
  <c r="R20" i="204"/>
  <c r="K31" i="204"/>
  <c r="K32" i="204" s="1"/>
  <c r="R31" i="204"/>
  <c r="R32" i="204" s="1"/>
  <c r="K24" i="204"/>
  <c r="R24" i="204"/>
  <c r="K22" i="204"/>
  <c r="R22" i="204"/>
  <c r="K17" i="204"/>
  <c r="R17" i="204"/>
  <c r="R23" i="204"/>
  <c r="K23" i="204"/>
  <c r="K14" i="204"/>
  <c r="R14" i="204"/>
  <c r="I86" i="25"/>
  <c r="G37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K12" i="204" l="1"/>
  <c r="R12" i="204"/>
  <c r="K11" i="204"/>
  <c r="R11" i="204"/>
  <c r="G225" i="3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77" i="31"/>
  <c r="V220" i="31"/>
  <c r="E28" i="25"/>
  <c r="U32" i="31" l="1"/>
  <c r="M28" i="25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V289" i="31"/>
  <c r="S32" i="31"/>
  <c r="V247" i="31"/>
  <c r="E29" i="25"/>
  <c r="G28" i="25"/>
  <c r="E25" i="204" l="1"/>
  <c r="M29" i="25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301" i="31"/>
  <c r="V249" i="31"/>
  <c r="V243" i="31"/>
  <c r="V251" i="31"/>
  <c r="E30" i="25"/>
  <c r="G29" i="25"/>
  <c r="E26" i="204" l="1"/>
  <c r="K25" i="204"/>
  <c r="R25" i="204"/>
  <c r="M30" i="25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E31" i="25"/>
  <c r="G30" i="25"/>
  <c r="K26" i="204" l="1"/>
  <c r="R26" i="204"/>
  <c r="M31" i="25"/>
  <c r="G270" i="3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V280" i="31"/>
  <c r="V281" i="31"/>
  <c r="V283" i="31"/>
  <c r="N35" i="31"/>
  <c r="R35" i="31" s="1"/>
  <c r="E32" i="25"/>
  <c r="G31" i="25"/>
  <c r="M32" i="25" l="1"/>
  <c r="P266" i="31"/>
  <c r="P267" i="31"/>
  <c r="G285" i="31"/>
  <c r="N285" i="31"/>
  <c r="G277" i="31"/>
  <c r="N277" i="31"/>
  <c r="P272" i="31"/>
  <c r="P271" i="31"/>
  <c r="P268" i="31"/>
  <c r="P274" i="31"/>
  <c r="P275" i="31"/>
  <c r="P276" i="31"/>
  <c r="P269" i="31"/>
  <c r="P270" i="31"/>
  <c r="U36" i="31"/>
  <c r="V293" i="31"/>
  <c r="V287" i="31"/>
  <c r="V272" i="31"/>
  <c r="V286" i="31"/>
  <c r="V278" i="31"/>
  <c r="V292" i="31"/>
  <c r="V285" i="31"/>
  <c r="S35" i="31"/>
  <c r="N37" i="31"/>
  <c r="R37" i="31" s="1"/>
  <c r="Q34" i="31"/>
  <c r="X34" i="31"/>
  <c r="P34" i="31"/>
  <c r="V279" i="31"/>
  <c r="M35" i="31"/>
  <c r="V270" i="31"/>
  <c r="V276" i="31"/>
  <c r="V295" i="31"/>
  <c r="G32" i="25"/>
  <c r="E33" i="25"/>
  <c r="M33" i="25" l="1"/>
  <c r="U37" i="31"/>
  <c r="G286" i="31"/>
  <c r="N286" i="31"/>
  <c r="P277" i="31"/>
  <c r="G281" i="31"/>
  <c r="N281" i="31"/>
  <c r="G279" i="31"/>
  <c r="N279" i="31"/>
  <c r="G282" i="31"/>
  <c r="N282" i="31"/>
  <c r="G283" i="31"/>
  <c r="N283" i="31"/>
  <c r="G278" i="31"/>
  <c r="N278" i="31"/>
  <c r="G280" i="31"/>
  <c r="N280" i="31"/>
  <c r="P285" i="31"/>
  <c r="G288" i="31"/>
  <c r="N288" i="31"/>
  <c r="G287" i="31"/>
  <c r="N287" i="31"/>
  <c r="G284" i="31"/>
  <c r="N284" i="31"/>
  <c r="S36" i="31"/>
  <c r="V298" i="31"/>
  <c r="V299" i="31"/>
  <c r="V307" i="31"/>
  <c r="X35" i="31"/>
  <c r="P35" i="31"/>
  <c r="Q35" i="31"/>
  <c r="V282" i="31"/>
  <c r="V291" i="31"/>
  <c r="V288" i="31"/>
  <c r="O39" i="31"/>
  <c r="N38" i="31"/>
  <c r="V304" i="31"/>
  <c r="V290" i="31"/>
  <c r="V297" i="31"/>
  <c r="M36" i="31"/>
  <c r="O38" i="31"/>
  <c r="V284" i="31"/>
  <c r="V305" i="31"/>
  <c r="E34" i="25"/>
  <c r="G33" i="25"/>
  <c r="M34" i="25" l="1"/>
  <c r="P284" i="31"/>
  <c r="P278" i="31"/>
  <c r="P280" i="31"/>
  <c r="P279" i="31"/>
  <c r="P287" i="31"/>
  <c r="P281" i="31"/>
  <c r="P288" i="31"/>
  <c r="P283" i="31"/>
  <c r="G289" i="31"/>
  <c r="N289" i="31"/>
  <c r="G297" i="31"/>
  <c r="N297" i="31"/>
  <c r="P282" i="31"/>
  <c r="P286" i="31"/>
  <c r="R38" i="31"/>
  <c r="V294" i="31"/>
  <c r="V310" i="31"/>
  <c r="V302" i="31"/>
  <c r="V309" i="31"/>
  <c r="V303" i="31"/>
  <c r="S37" i="31"/>
  <c r="V300" i="31"/>
  <c r="O40" i="31"/>
  <c r="V296" i="31"/>
  <c r="V311" i="31"/>
  <c r="Q36" i="31"/>
  <c r="X36" i="31"/>
  <c r="P36" i="31"/>
  <c r="M37" i="31"/>
  <c r="N39" i="31"/>
  <c r="R39" i="31" s="1"/>
  <c r="G34" i="25"/>
  <c r="E35" i="25"/>
  <c r="M35" i="25" l="1"/>
  <c r="G294" i="31"/>
  <c r="N294" i="31"/>
  <c r="G291" i="31"/>
  <c r="N291" i="31"/>
  <c r="G293" i="31"/>
  <c r="N293" i="31"/>
  <c r="G290" i="31"/>
  <c r="N290" i="31"/>
  <c r="G298" i="31"/>
  <c r="N298" i="31"/>
  <c r="G300" i="31"/>
  <c r="M16" i="31" s="1"/>
  <c r="N300" i="31"/>
  <c r="G299" i="31"/>
  <c r="N299" i="31"/>
  <c r="G295" i="31"/>
  <c r="N295" i="31"/>
  <c r="G292" i="31"/>
  <c r="N292" i="31"/>
  <c r="P297" i="31"/>
  <c r="P289" i="31"/>
  <c r="G296" i="31"/>
  <c r="N296" i="31"/>
  <c r="M38" i="31"/>
  <c r="S38" i="31"/>
  <c r="V306" i="31"/>
  <c r="V308" i="31"/>
  <c r="Q37" i="31"/>
  <c r="X37" i="31"/>
  <c r="P37" i="31"/>
  <c r="E36" i="25"/>
  <c r="G35" i="25"/>
  <c r="D10" i="31"/>
  <c r="M36" i="25" l="1"/>
  <c r="Q16" i="31"/>
  <c r="X16" i="31"/>
  <c r="P16" i="31"/>
  <c r="G301" i="31"/>
  <c r="P301" i="31" s="1"/>
  <c r="N301" i="31"/>
  <c r="G309" i="31"/>
  <c r="P309" i="31" s="1"/>
  <c r="N309" i="31"/>
  <c r="P295" i="31"/>
  <c r="P290" i="31"/>
  <c r="P296" i="31"/>
  <c r="P293" i="31"/>
  <c r="P299" i="31"/>
  <c r="P300" i="31"/>
  <c r="P291" i="31"/>
  <c r="P292" i="31"/>
  <c r="P298" i="31"/>
  <c r="P294" i="31"/>
  <c r="C56" i="25"/>
  <c r="M39" i="31"/>
  <c r="P38" i="31"/>
  <c r="X38" i="31"/>
  <c r="Q38" i="31"/>
  <c r="N40" i="31"/>
  <c r="R40" i="31" s="1"/>
  <c r="S39" i="31"/>
  <c r="E37" i="25"/>
  <c r="C10" i="31"/>
  <c r="G36" i="25"/>
  <c r="M37" i="25" l="1"/>
  <c r="G312" i="31"/>
  <c r="P312" i="31" s="1"/>
  <c r="N312" i="31"/>
  <c r="G302" i="31"/>
  <c r="P302" i="31" s="1"/>
  <c r="N302" i="31"/>
  <c r="G310" i="31"/>
  <c r="P310" i="31" s="1"/>
  <c r="N310" i="31"/>
  <c r="G305" i="31"/>
  <c r="P305" i="31" s="1"/>
  <c r="N305" i="31"/>
  <c r="G311" i="31"/>
  <c r="P311" i="31" s="1"/>
  <c r="N311" i="31"/>
  <c r="G307" i="31"/>
  <c r="P307" i="31" s="1"/>
  <c r="N307" i="31"/>
  <c r="G304" i="31"/>
  <c r="P304" i="31" s="1"/>
  <c r="N304" i="31"/>
  <c r="G303" i="31"/>
  <c r="P303" i="31" s="1"/>
  <c r="N303" i="31"/>
  <c r="G306" i="31"/>
  <c r="P306" i="31" s="1"/>
  <c r="N306" i="31"/>
  <c r="G308" i="31"/>
  <c r="P308" i="31" s="1"/>
  <c r="N308" i="31"/>
  <c r="E57" i="25"/>
  <c r="G10" i="31"/>
  <c r="G57" i="25" s="1"/>
  <c r="E29" i="204" s="1"/>
  <c r="S40" i="31"/>
  <c r="P39" i="31"/>
  <c r="Q39" i="31"/>
  <c r="X39" i="31"/>
  <c r="M40" i="31"/>
  <c r="G37" i="25"/>
  <c r="E10" i="31"/>
  <c r="K29" i="204" l="1"/>
  <c r="K30" i="204" s="1"/>
  <c r="R29" i="204"/>
  <c r="R30" i="204" s="1"/>
  <c r="P40" i="31"/>
  <c r="Q40" i="31"/>
  <c r="X40" i="31"/>
  <c r="I87" i="25"/>
  <c r="D22" i="204" l="1"/>
  <c r="D16" i="204"/>
  <c r="D13" i="204"/>
  <c r="D20" i="204"/>
  <c r="D24" i="204"/>
  <c r="D15" i="204"/>
  <c r="D10" i="204"/>
  <c r="D14" i="204"/>
  <c r="D23" i="204"/>
  <c r="D18" i="204"/>
  <c r="D17" i="204"/>
  <c r="D21" i="204"/>
  <c r="D19" i="204"/>
  <c r="D31" i="204"/>
  <c r="D11" i="204" l="1"/>
  <c r="D12" i="204"/>
  <c r="J31" i="204"/>
  <c r="J32" i="204" s="1"/>
  <c r="Q31" i="204"/>
  <c r="Q32" i="204" s="1"/>
  <c r="J10" i="204"/>
  <c r="Q10" i="204"/>
  <c r="J19" i="204"/>
  <c r="Q19" i="204"/>
  <c r="J15" i="204"/>
  <c r="Q15" i="204"/>
  <c r="J21" i="204"/>
  <c r="Q21" i="204"/>
  <c r="Q23" i="204"/>
  <c r="J23" i="204"/>
  <c r="Q24" i="204"/>
  <c r="J24" i="204"/>
  <c r="Q14" i="204"/>
  <c r="J14" i="204"/>
  <c r="Q20" i="204"/>
  <c r="J20" i="204"/>
  <c r="J17" i="204"/>
  <c r="Q17" i="204"/>
  <c r="J13" i="204"/>
  <c r="Q13" i="204"/>
  <c r="Q18" i="204"/>
  <c r="J18" i="204"/>
  <c r="Q16" i="204"/>
  <c r="J16" i="204"/>
  <c r="Q22" i="204"/>
  <c r="J22" i="204"/>
  <c r="Q12" i="204" l="1"/>
  <c r="J12" i="204"/>
  <c r="J11" i="204"/>
  <c r="Q11" i="204"/>
  <c r="D25" i="204" l="1"/>
  <c r="D26" i="204" l="1"/>
  <c r="Q25" i="204"/>
  <c r="J25" i="204"/>
  <c r="J26" i="204" l="1"/>
  <c r="Q26" i="204"/>
  <c r="D29" i="204" l="1"/>
  <c r="J29" i="204" l="1"/>
  <c r="J30" i="204" s="1"/>
  <c r="Q29" i="204"/>
  <c r="Q30" i="204" s="1"/>
  <c r="C17" i="204" l="1"/>
  <c r="C18" i="204"/>
  <c r="C21" i="204"/>
  <c r="C23" i="204"/>
  <c r="C22" i="204"/>
  <c r="C15" i="204"/>
  <c r="C24" i="204"/>
  <c r="C10" i="204"/>
  <c r="C16" i="204"/>
  <c r="C20" i="204"/>
  <c r="C19" i="204"/>
  <c r="C14" i="204"/>
  <c r="C13" i="204"/>
  <c r="C31" i="204"/>
  <c r="C12" i="204" l="1"/>
  <c r="C11" i="204"/>
  <c r="P24" i="204"/>
  <c r="I24" i="204"/>
  <c r="I15" i="204"/>
  <c r="P15" i="204"/>
  <c r="P19" i="204"/>
  <c r="I19" i="204"/>
  <c r="I16" i="204"/>
  <c r="P16" i="204"/>
  <c r="I10" i="204"/>
  <c r="P10" i="204"/>
  <c r="I22" i="204"/>
  <c r="P22" i="204"/>
  <c r="P13" i="204"/>
  <c r="I13" i="204"/>
  <c r="I31" i="204"/>
  <c r="I32" i="204" s="1"/>
  <c r="P31" i="204"/>
  <c r="P32" i="204" s="1"/>
  <c r="P23" i="204"/>
  <c r="I23" i="204"/>
  <c r="P21" i="204"/>
  <c r="I21" i="204"/>
  <c r="P20" i="204"/>
  <c r="I20" i="204"/>
  <c r="P18" i="204"/>
  <c r="I18" i="204"/>
  <c r="P14" i="204"/>
  <c r="I14" i="204"/>
  <c r="I17" i="204"/>
  <c r="P17" i="204"/>
  <c r="P11" i="204" l="1"/>
  <c r="I11" i="204"/>
  <c r="P12" i="204"/>
  <c r="I12" i="204"/>
  <c r="C25" i="204" l="1"/>
  <c r="C26" i="204" l="1"/>
  <c r="P25" i="204"/>
  <c r="I25" i="204"/>
  <c r="I26" i="204" l="1"/>
  <c r="P26" i="204"/>
  <c r="C29" i="204" l="1"/>
  <c r="P29" i="204" l="1"/>
  <c r="P30" i="204" s="1"/>
  <c r="I29" i="204"/>
  <c r="I30" i="20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<sst xmlns="http://schemas.openxmlformats.org/spreadsheetml/2006/main" count="4435" uniqueCount="374">
  <si>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</si>
  <si>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</si>
  <si>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</si>
  <si>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</si>
  <si>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</si>
  <si>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</si>
  <si>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</si>
  <si>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</si>
  <si>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</si>
  <si>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</si>
  <si>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</si>
  <si>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</si>
  <si>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</si>
  <si>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</si>
  <si>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</si>
  <si>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</si>
  <si>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</si>
  <si>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</si>
  <si>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</si>
  <si>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</si>
  <si>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</si>
  <si>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</si>
  <si>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</si>
  <si>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</si>
  <si>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</si>
  <si>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</si>
  <si>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</si>
  <si>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</si>
  <si>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</si>
  <si>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</si>
  <si>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</si>
  <si>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</si>
  <si>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</si>
  <si>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</si>
  <si>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</si>
  <si>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</si>
  <si>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</si>
  <si>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</si>
  <si>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</si>
  <si>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</si>
  <si>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</si>
  <si>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</si>
  <si>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</si>
  <si>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</si>
  <si>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</si>
  <si>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</si>
  <si>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</si>
  <si>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</si>
  <si>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</si>
  <si>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</si>
  <si>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</si>
  <si>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</si>
  <si>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</si>
  <si>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</si>
  <si>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</si>
  <si>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</si>
  <si>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</si>
  <si>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</si>
  <si>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</si>
  <si>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</si>
  <si>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</si>
  <si>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</si>
  <si>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</si>
  <si>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</si>
  <si>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</si>
  <si>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</si>
  <si>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</si>
  <si>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</si>
  <si>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</si>
  <si>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</si>
  <si>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</si>
  <si>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</si>
  <si>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</si>
  <si>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</si>
  <si>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</si>
  <si>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</si>
  <si>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</si>
  <si>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</si>
  <si>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</si>
  <si>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</si>
  <si>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</si>
  <si>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</si>
  <si>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</si>
  <si>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</si>
  <si>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</si>
  <si>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</si>
  <si>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</si>
  <si>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</si>
  <si>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</si>
  <si>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</si>
  <si>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</si>
  <si>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</si>
  <si>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</si>
  <si>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</si>
  <si>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</si>
  <si>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</si>
  <si>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</si>
  <si>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</si>
  <si>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</si>
  <si>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</si>
  <si>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</si>
  <si>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</si>
  <si>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</si>
  <si>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</si>
  <si>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</si>
  <si>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</si>
  <si>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</si>
  <si>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</si>
  <si>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</si>
  <si>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</si>
  <si>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</si>
  <si>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</si>
  <si>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</si>
  <si>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</si>
  <si>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</si>
  <si>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</si>
  <si>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</si>
  <si>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</si>
  <si>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</si>
  <si>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</si>
  <si>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</si>
  <si>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</si>
  <si>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</si>
  <si>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</si>
  <si>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</si>
  <si>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</si>
  <si>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</si>
  <si>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</si>
  <si>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</si>
  <si>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</si>
  <si>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</si>
  <si>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</si>
  <si>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</si>
  <si>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</si>
  <si>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</si>
  <si>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</si>
  <si>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</si>
  <si>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</si>
  <si>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</si>
  <si>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</si>
  <si>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</si>
  <si>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</si>
  <si>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</si>
  <si>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</si>
  <si>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</si>
  <si>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</si>
  <si>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</si>
  <si>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</si>
  <si>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</si>
  <si>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</si>
  <si>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</si>
  <si>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</si>
  <si>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</si>
  <si>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</si>
  <si>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</si>
  <si>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</si>
  <si>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</si>
  <si>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</si>
  <si>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</si>
  <si>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</si>
  <si>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</si>
  <si>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</si>
  <si>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</si>
  <si>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</si>
  <si>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</si>
  <si>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</si>
  <si>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</si>
  <si>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</si>
  <si>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</si>
  <si>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</si>
  <si>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</si>
  <si>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</si>
  <si>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</si>
  <si>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</si>
  <si>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</si>
  <si>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</si>
  <si>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</si>
  <si>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</si>
  <si>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</si>
  <si>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</si>
  <si>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</si>
  <si>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</si>
  <si>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</si>
  <si>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</si>
  <si>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</si>
  <si>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</si>
  <si>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</si>
  <si>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</si>
  <si>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</si>
  <si>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</si>
  <si>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</si>
  <si>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</si>
  <si>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</si>
  <si>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</si>
  <si>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</si>
  <si>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</si>
  <si>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</si>
  <si>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</si>
  <si>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</si>
  <si>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</si>
  <si>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</si>
  <si>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</si>
  <si>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</si>
  <si>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</si>
  <si>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</si>
  <si>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</si>
  <si>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</si>
  <si>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</si>
  <si>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</si>
  <si>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</si>
  <si>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</si>
  <si>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</si>
  <si>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</si>
  <si>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</si>
  <si>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</si>
  <si>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</si>
  <si>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</si>
  <si>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</si>
  <si>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</si>
  <si>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</si>
  <si>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</si>
  <si>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</si>
  <si>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</si>
  <si>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</si>
  <si>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</si>
  <si>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</si>
  <si>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</si>
  <si>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</si>
  <si>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</si>
  <si>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</si>
  <si>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</si>
  <si>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</si>
  <si>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</si>
  <si>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</si>
  <si>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</si>
  <si>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</si>
  <si>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</si>
  <si>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</si>
  <si>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</si>
  <si>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</si>
  <si>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</si>
  <si>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</si>
  <si>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</si>
  <si>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</si>
  <si>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</si>
  <si>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</si>
  <si>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</si>
  <si>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</si>
  <si>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</si>
  <si>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</si>
  <si>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</si>
  <si>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</si>
  <si>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</si>
  <si>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</si>
  <si>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</si>
  <si>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</si>
  <si>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</si>
  <si>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</si>
  <si>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</si>
  <si>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</si>
  <si>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</si>
  <si>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</si>
  <si>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</si>
  <si>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</si>
  <si>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</si>
  <si>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</si>
  <si>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</si>
  <si>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</si>
  <si>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</si>
  <si>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</si>
  <si>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</si>
  <si>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</si>
  <si>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</si>
  <si>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</si>
  <si>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</si>
  <si>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</si>
  <si>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</si>
  <si>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</si>
  <si>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</si>
  <si>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</si>
  <si>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</si>
  <si>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</si>
  <si>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</si>
  <si>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</si>
  <si>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</si>
  <si>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</si>
  <si>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</si>
  <si>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</si>
  <si>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</si>
  <si>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</si>
  <si>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</si>
  <si>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</si>
  <si>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</si>
  <si>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</si>
  <si>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</si>
  <si>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</si>
  <si>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</si>
  <si>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</si>
  <si>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</si>
  <si>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</si>
  <si>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</si>
  <si>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</si>
  <si>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</si>
  <si>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</si>
  <si>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</si>
  <si>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</si>
  <si>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</si>
  <si>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</si>
  <si>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</si>
  <si>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</si>
  <si>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</si>
  <si>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</si>
  <si>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</si>
  <si>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</si>
  <si>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</si>
  <si>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</si>
  <si>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</si>
  <si>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Wind</t>
  </si>
  <si>
    <t>Avoided Cost Prices $/MWh</t>
  </si>
  <si>
    <t>Utah 2025.Q3 Sch 38</t>
  </si>
  <si>
    <t>Thermal</t>
  </si>
  <si>
    <t>Solar Tracking</t>
  </si>
  <si>
    <t>UT 2025.Q3</t>
  </si>
  <si>
    <t>UT 2025.Q2</t>
  </si>
  <si>
    <t>100% CF (2)</t>
  </si>
  <si>
    <t>32.25% CF (2)</t>
  </si>
  <si>
    <t>29.5% CF (2)</t>
  </si>
  <si>
    <t>Difference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</si>
  <si>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</si>
  <si>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</si>
  <si>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</si>
  <si>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</si>
  <si>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</si>
  <si>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Appendix D.3</t>
  </si>
  <si>
    <t>Appendix D</t>
  </si>
  <si>
    <t>Final 2025 IRP Preferred Portfolio (OFPC Sep 2025) (Non-Routine)</t>
  </si>
  <si>
    <t>Final 2025 IRP Preferred Portfolio (OFPC Jun 2025)  (Non-Routine)</t>
  </si>
  <si>
    <t>Non-Routine OFPC Update</t>
  </si>
  <si>
    <t>Utah 2025 IRP Preferred Portfolio (OFPC Sep 2025) (Routine)</t>
  </si>
  <si>
    <t xml:space="preserve">Non-Routine minus Routine </t>
  </si>
  <si>
    <t>QF - Sch38 - UT - Wind</t>
  </si>
  <si>
    <t>WD_QF_UTN_QF_Sch38_UT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</si>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</sst>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6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8" fontId="0" fillId="0" borderId="9" xfId="11" applyNumberFormat="1" applyFont="1" applyBorder="1" applyAlignment="1">
      <alignment horizontal="center"/>
    </xf>
    <xf numFmtId="41" fontId="7" fillId="0" borderId="2" xfId="11" applyBorder="1" applyAlignment="1">
      <alignment horizontal="center" wrapText="1"/>
    </xf>
    <xf numFmtId="168" fontId="7" fillId="0" borderId="0" xfId="11" applyNumberFormat="1" applyAlignment="1">
      <alignment horizontal="centerContinuous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41" fontId="8" fillId="0" borderId="0" xfId="11" applyFont="1" applyAlignment="1">
      <alignment horizontal="center" wrapText="1"/>
    </xf>
    <xf numFmtId="171" fontId="0" fillId="0" borderId="0" xfId="0" applyAlignment="1">
      <alignment horizontal="center" wrapText="1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B10B7698-5B8B-46EB-B679-DD6EE0F30AAD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10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1_UTSch38_2025Q3_Thermal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1_UTSch38_2025Q3_Thermal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2_UTSch38_2025Q3_Solar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2_UTSch38_2025Q3_Solar_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1%20-%20UT%202025Q3_UT25IRP%20-%20Thermal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1%20-%20UT%202025Q3_UT25IRP%20-%20Thermal%20AC%20Study%20NON-CONF%20Routine%20Upd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2%20-%20UT%202025Q3_UT25IRP%20-%20Solar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2%20-%20UT%202025Q3_UT25IRP%20-%20Solar%20AC%20Study%20NON-CONF%20Routine%20Upd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3%20-%20UT%202025Q3_UT25IRP%20-%20Wind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3%20-%20UT%202025Q3_UT25IRP%20-%20Wind%20AC%20Study%20NON-CONF%20Routine%20Up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27.407915346386115</v>
          </cell>
          <cell r="G13">
            <v>27.407915346386115</v>
          </cell>
        </row>
        <row r="14">
          <cell r="B14">
            <v>2027</v>
          </cell>
          <cell r="C14">
            <v>0</v>
          </cell>
          <cell r="E14">
            <v>30.549249414416046</v>
          </cell>
          <cell r="G14">
            <v>30.549249414416046</v>
          </cell>
        </row>
        <row r="15">
          <cell r="B15">
            <v>2028</v>
          </cell>
          <cell r="C15">
            <v>0</v>
          </cell>
          <cell r="E15">
            <v>32.091708861572961</v>
          </cell>
          <cell r="G15">
            <v>32.091708861572961</v>
          </cell>
        </row>
        <row r="16">
          <cell r="B16">
            <v>2029</v>
          </cell>
          <cell r="C16">
            <v>0</v>
          </cell>
          <cell r="E16">
            <v>35.390984479640558</v>
          </cell>
          <cell r="G16">
            <v>35.390984479640558</v>
          </cell>
        </row>
        <row r="17">
          <cell r="B17">
            <v>2030</v>
          </cell>
          <cell r="C17">
            <v>0</v>
          </cell>
          <cell r="E17">
            <v>38.461428658875782</v>
          </cell>
          <cell r="G17">
            <v>38.461428658875782</v>
          </cell>
        </row>
        <row r="18">
          <cell r="B18">
            <v>2031</v>
          </cell>
          <cell r="C18">
            <v>0</v>
          </cell>
          <cell r="E18">
            <v>38.962032022310616</v>
          </cell>
          <cell r="G18">
            <v>38.962032022310616</v>
          </cell>
        </row>
        <row r="19">
          <cell r="B19">
            <v>2032</v>
          </cell>
          <cell r="C19">
            <v>0</v>
          </cell>
          <cell r="E19">
            <v>37.802637703219126</v>
          </cell>
          <cell r="G19">
            <v>37.802637703219126</v>
          </cell>
        </row>
        <row r="20">
          <cell r="B20">
            <v>2033</v>
          </cell>
          <cell r="C20">
            <v>0</v>
          </cell>
          <cell r="E20">
            <v>38.364413473638251</v>
          </cell>
          <cell r="G20">
            <v>38.364413473638251</v>
          </cell>
        </row>
        <row r="21">
          <cell r="B21">
            <v>2034</v>
          </cell>
          <cell r="C21">
            <v>0</v>
          </cell>
          <cell r="E21">
            <v>39.712558060242323</v>
          </cell>
          <cell r="G21">
            <v>39.712558060242323</v>
          </cell>
        </row>
        <row r="22">
          <cell r="B22">
            <v>2035</v>
          </cell>
          <cell r="C22">
            <v>0</v>
          </cell>
          <cell r="E22">
            <v>40.446077383620334</v>
          </cell>
          <cell r="G22">
            <v>40.446077383620334</v>
          </cell>
        </row>
        <row r="23">
          <cell r="B23">
            <v>2036</v>
          </cell>
          <cell r="C23">
            <v>0</v>
          </cell>
          <cell r="E23">
            <v>41.698225001756761</v>
          </cell>
          <cell r="G23">
            <v>41.698225001756761</v>
          </cell>
        </row>
        <row r="24">
          <cell r="B24">
            <v>2037</v>
          </cell>
          <cell r="C24">
            <v>0</v>
          </cell>
          <cell r="E24">
            <v>43.681556652044513</v>
          </cell>
          <cell r="G24">
            <v>43.681556652044513</v>
          </cell>
        </row>
        <row r="25">
          <cell r="B25">
            <v>2038</v>
          </cell>
          <cell r="C25">
            <v>0</v>
          </cell>
          <cell r="E25">
            <v>45.330821175727991</v>
          </cell>
          <cell r="G25">
            <v>45.330821175727991</v>
          </cell>
        </row>
        <row r="26">
          <cell r="B26">
            <v>2039</v>
          </cell>
          <cell r="C26">
            <v>0</v>
          </cell>
          <cell r="E26">
            <v>46.470047752842959</v>
          </cell>
          <cell r="G26">
            <v>46.470047752842959</v>
          </cell>
        </row>
        <row r="27">
          <cell r="B27">
            <v>2040</v>
          </cell>
          <cell r="C27">
            <v>0</v>
          </cell>
          <cell r="E27">
            <v>47.18582038457221</v>
          </cell>
          <cell r="G27">
            <v>47.18582038457221</v>
          </cell>
        </row>
        <row r="28">
          <cell r="B28">
            <v>2041</v>
          </cell>
          <cell r="C28">
            <v>0</v>
          </cell>
          <cell r="E28">
            <v>49.182183714212734</v>
          </cell>
          <cell r="G28">
            <v>49.182183714212734</v>
          </cell>
        </row>
        <row r="29">
          <cell r="B29">
            <v>2042</v>
          </cell>
          <cell r="C29">
            <v>0</v>
          </cell>
          <cell r="E29">
            <v>54.141931335827387</v>
          </cell>
          <cell r="G29">
            <v>54.141931335827387</v>
          </cell>
        </row>
        <row r="30">
          <cell r="B30">
            <v>2043</v>
          </cell>
          <cell r="C30">
            <v>0</v>
          </cell>
          <cell r="E30">
            <v>60.045014477062203</v>
          </cell>
          <cell r="G30">
            <v>60.045014477062203</v>
          </cell>
        </row>
        <row r="31">
          <cell r="B31">
            <v>2044</v>
          </cell>
          <cell r="C31">
            <v>0</v>
          </cell>
          <cell r="E31">
            <v>62.580926711975117</v>
          </cell>
          <cell r="G31">
            <v>62.580926711975117</v>
          </cell>
        </row>
        <row r="32">
          <cell r="B32">
            <v>2045</v>
          </cell>
          <cell r="C32">
            <v>0</v>
          </cell>
          <cell r="E32">
            <v>64.120383218170943</v>
          </cell>
          <cell r="G32">
            <v>64.120383218170943</v>
          </cell>
        </row>
        <row r="33">
          <cell r="B33">
            <v>2046</v>
          </cell>
          <cell r="C33">
            <v>0</v>
          </cell>
          <cell r="E33">
            <v>65.518207572327086</v>
          </cell>
          <cell r="G33">
            <v>65.518207572327086</v>
          </cell>
        </row>
        <row r="34">
          <cell r="B34">
            <v>2047</v>
          </cell>
          <cell r="C34">
            <v>0</v>
          </cell>
          <cell r="E34">
            <v>66.946504497403808</v>
          </cell>
          <cell r="G34">
            <v>66.946504497403808</v>
          </cell>
        </row>
        <row r="35">
          <cell r="B35">
            <v>2048</v>
          </cell>
          <cell r="C35">
            <v>0</v>
          </cell>
          <cell r="E35" t="e">
            <v>#DIV/0!</v>
          </cell>
          <cell r="G35" t="e">
            <v>#DIV/0!</v>
          </cell>
        </row>
        <row r="36">
          <cell r="B36">
            <v>2049</v>
          </cell>
          <cell r="C36">
            <v>0</v>
          </cell>
          <cell r="E36" t="e">
            <v>#DIV/0!</v>
          </cell>
          <cell r="G36" t="e">
            <v>#DIV/0!</v>
          </cell>
        </row>
        <row r="37">
          <cell r="B37">
            <v>2050</v>
          </cell>
          <cell r="C37">
            <v>0</v>
          </cell>
          <cell r="E37" t="e">
            <v>#DIV/0!</v>
          </cell>
          <cell r="G37" t="e">
            <v>#DIV/0!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17.693435394804801</v>
          </cell>
          <cell r="G13">
            <v>17.693435394804801</v>
          </cell>
        </row>
        <row r="14">
          <cell r="B14">
            <v>2027</v>
          </cell>
          <cell r="C14">
            <v>0</v>
          </cell>
          <cell r="E14">
            <v>20.687543119075965</v>
          </cell>
          <cell r="G14">
            <v>20.687543119075965</v>
          </cell>
        </row>
        <row r="15">
          <cell r="B15">
            <v>2028</v>
          </cell>
          <cell r="C15">
            <v>0</v>
          </cell>
          <cell r="E15">
            <v>22.025375865581289</v>
          </cell>
          <cell r="G15">
            <v>22.025375865581289</v>
          </cell>
        </row>
        <row r="16">
          <cell r="B16">
            <v>2029</v>
          </cell>
          <cell r="C16">
            <v>0</v>
          </cell>
          <cell r="E16">
            <v>24.780866953527429</v>
          </cell>
          <cell r="G16">
            <v>24.780866953527429</v>
          </cell>
        </row>
        <row r="17">
          <cell r="B17">
            <v>2030</v>
          </cell>
          <cell r="C17">
            <v>0</v>
          </cell>
          <cell r="E17">
            <v>24.029798225878316</v>
          </cell>
          <cell r="G17">
            <v>24.029798225878316</v>
          </cell>
        </row>
        <row r="18">
          <cell r="B18">
            <v>2031</v>
          </cell>
          <cell r="C18">
            <v>97.92304792875585</v>
          </cell>
          <cell r="E18">
            <v>-49.432286647799394</v>
          </cell>
          <cell r="G18">
            <v>-11.30978116739926</v>
          </cell>
        </row>
        <row r="19">
          <cell r="B19">
            <v>2032</v>
          </cell>
          <cell r="C19">
            <v>100.05777034643907</v>
          </cell>
          <cell r="E19">
            <v>-50.233719215360111</v>
          </cell>
          <cell r="G19">
            <v>-11.121541941000713</v>
          </cell>
        </row>
        <row r="20">
          <cell r="B20">
            <v>2033</v>
          </cell>
          <cell r="C20">
            <v>102.23902974118711</v>
          </cell>
          <cell r="E20">
            <v>-51.590344383461073</v>
          </cell>
          <cell r="G20">
            <v>-11.354400687373129</v>
          </cell>
        </row>
        <row r="21">
          <cell r="B21">
            <v>2034</v>
          </cell>
          <cell r="C21">
            <v>104.46784066576485</v>
          </cell>
          <cell r="E21">
            <v>-52.838971826830793</v>
          </cell>
          <cell r="G21">
            <v>-11.56247035055431</v>
          </cell>
        </row>
        <row r="22">
          <cell r="B22">
            <v>2035</v>
          </cell>
          <cell r="C22">
            <v>106.74523956551904</v>
          </cell>
          <cell r="E22">
            <v>-54.79606031699268</v>
          </cell>
          <cell r="G22">
            <v>-12.360617421896267</v>
          </cell>
        </row>
        <row r="23">
          <cell r="B23">
            <v>2036</v>
          </cell>
          <cell r="C23">
            <v>109.0722857888052</v>
          </cell>
          <cell r="E23">
            <v>-56.39221208964485</v>
          </cell>
          <cell r="G23">
            <v>-12.84450328082918</v>
          </cell>
        </row>
        <row r="24">
          <cell r="B24">
            <v>2037</v>
          </cell>
          <cell r="C24">
            <v>111.45006158698747</v>
          </cell>
          <cell r="E24">
            <v>-58.177113419664401</v>
          </cell>
          <cell r="G24">
            <v>-13.454868752679323</v>
          </cell>
        </row>
        <row r="25">
          <cell r="B25">
            <v>2038</v>
          </cell>
          <cell r="C25">
            <v>113.87967295646115</v>
          </cell>
          <cell r="E25">
            <v>-58.731572096428806</v>
          </cell>
          <cell r="G25">
            <v>-12.764479806282628</v>
          </cell>
        </row>
        <row r="26">
          <cell r="B26">
            <v>2039</v>
          </cell>
          <cell r="C26">
            <v>116.36224980705713</v>
          </cell>
          <cell r="E26">
            <v>-59.954839662441977</v>
          </cell>
          <cell r="G26">
            <v>-12.76075328790542</v>
          </cell>
        </row>
        <row r="27">
          <cell r="B27">
            <v>2040</v>
          </cell>
          <cell r="C27">
            <v>118.89894688826641</v>
          </cell>
          <cell r="E27">
            <v>-62.610133299359177</v>
          </cell>
          <cell r="G27">
            <v>-14.257465348842977</v>
          </cell>
        </row>
        <row r="28">
          <cell r="B28">
            <v>2041</v>
          </cell>
          <cell r="C28">
            <v>121.49094387344255</v>
          </cell>
          <cell r="E28">
            <v>-1.9001796066904508</v>
          </cell>
          <cell r="G28">
            <v>47.869066078917093</v>
          </cell>
        </row>
        <row r="29">
          <cell r="B29">
            <v>2042</v>
          </cell>
          <cell r="C29">
            <v>124.1394464544305</v>
          </cell>
          <cell r="E29">
            <v>-1.9765113572177715</v>
          </cell>
          <cell r="G29">
            <v>49.088785813791404</v>
          </cell>
        </row>
        <row r="30">
          <cell r="B30">
            <v>2043</v>
          </cell>
          <cell r="C30">
            <v>126.8456864257691</v>
          </cell>
          <cell r="E30">
            <v>-1.8745643159432532</v>
          </cell>
          <cell r="G30">
            <v>50.578344083362246</v>
          </cell>
        </row>
        <row r="31">
          <cell r="B31">
            <v>2044</v>
          </cell>
          <cell r="C31">
            <v>129.6109223583087</v>
          </cell>
          <cell r="E31">
            <v>-2.2654478512558756</v>
          </cell>
          <cell r="G31">
            <v>51.585653375896719</v>
          </cell>
        </row>
        <row r="32">
          <cell r="B32">
            <v>2045</v>
          </cell>
          <cell r="C32">
            <v>132.43644052543604</v>
          </cell>
          <cell r="E32">
            <v>-2.3316110035925015</v>
          </cell>
          <cell r="G32">
            <v>53.092229436527404</v>
          </cell>
        </row>
        <row r="33">
          <cell r="B33">
            <v>2046</v>
          </cell>
          <cell r="C33">
            <v>135.32355490307413</v>
          </cell>
          <cell r="E33">
            <v>-2.394412184392781</v>
          </cell>
          <cell r="G33">
            <v>54.522251283858971</v>
          </cell>
        </row>
        <row r="34">
          <cell r="B34">
            <v>2047</v>
          </cell>
          <cell r="C34">
            <v>138.27360834851362</v>
          </cell>
          <cell r="E34">
            <v>-2.4589048944849687</v>
          </cell>
          <cell r="G34">
            <v>55.990790291666777</v>
          </cell>
        </row>
        <row r="57">
          <cell r="G57">
            <v>2.9251750749488328</v>
          </cell>
        </row>
        <row r="62">
          <cell r="G62">
            <v>3.1206879269463199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26.563364943626262</v>
          </cell>
          <cell r="F13"/>
          <cell r="G13">
            <v>26.563364943626262</v>
          </cell>
        </row>
        <row r="14">
          <cell r="B14">
            <v>2026</v>
          </cell>
          <cell r="C14">
            <v>0</v>
          </cell>
          <cell r="D14"/>
          <cell r="E14">
            <v>31.392349760487118</v>
          </cell>
          <cell r="F14"/>
          <cell r="G14">
            <v>31.392349760487118</v>
          </cell>
        </row>
        <row r="15">
          <cell r="B15">
            <v>2027</v>
          </cell>
          <cell r="C15">
            <v>0</v>
          </cell>
          <cell r="D15"/>
          <cell r="E15">
            <v>32.501976695229978</v>
          </cell>
          <cell r="F15"/>
          <cell r="G15">
            <v>32.501976695229978</v>
          </cell>
        </row>
        <row r="16">
          <cell r="B16">
            <v>2028</v>
          </cell>
          <cell r="C16">
            <v>0</v>
          </cell>
          <cell r="D16"/>
          <cell r="E16">
            <v>35.447099116448506</v>
          </cell>
          <cell r="F16"/>
          <cell r="G16">
            <v>35.447099116448506</v>
          </cell>
        </row>
        <row r="17">
          <cell r="B17">
            <v>2029</v>
          </cell>
          <cell r="C17">
            <v>0</v>
          </cell>
          <cell r="D17"/>
          <cell r="E17">
            <v>38.951795564771089</v>
          </cell>
          <cell r="F17"/>
          <cell r="G17">
            <v>38.951795564771089</v>
          </cell>
        </row>
        <row r="18">
          <cell r="B18">
            <v>2030</v>
          </cell>
          <cell r="C18">
            <v>0</v>
          </cell>
          <cell r="D18"/>
          <cell r="E18">
            <v>39.388572311768634</v>
          </cell>
          <cell r="F18"/>
          <cell r="G18">
            <v>39.388572311768634</v>
          </cell>
        </row>
        <row r="19">
          <cell r="B19">
            <v>2031</v>
          </cell>
          <cell r="C19">
            <v>0</v>
          </cell>
          <cell r="D19"/>
          <cell r="E19">
            <v>38.667356502390128</v>
          </cell>
          <cell r="F19"/>
          <cell r="G19">
            <v>38.667356502390128</v>
          </cell>
        </row>
        <row r="20">
          <cell r="B20">
            <v>2032</v>
          </cell>
          <cell r="C20">
            <v>0</v>
          </cell>
          <cell r="D20"/>
          <cell r="E20">
            <v>36.355060179291272</v>
          </cell>
          <cell r="F20"/>
          <cell r="G20">
            <v>36.355060179291272</v>
          </cell>
        </row>
        <row r="21">
          <cell r="B21">
            <v>2033</v>
          </cell>
          <cell r="C21">
            <v>0</v>
          </cell>
          <cell r="D21"/>
          <cell r="E21">
            <v>35.731612519154389</v>
          </cell>
          <cell r="F21"/>
          <cell r="G21">
            <v>35.731612519154389</v>
          </cell>
        </row>
        <row r="22">
          <cell r="B22">
            <v>2034</v>
          </cell>
          <cell r="C22">
            <v>0</v>
          </cell>
          <cell r="D22"/>
          <cell r="E22">
            <v>35.987352958525982</v>
          </cell>
          <cell r="F22"/>
          <cell r="G22">
            <v>35.987352958525982</v>
          </cell>
        </row>
        <row r="23">
          <cell r="B23">
            <v>2035</v>
          </cell>
          <cell r="C23">
            <v>0</v>
          </cell>
          <cell r="D23"/>
          <cell r="E23">
            <v>36.416341300641747</v>
          </cell>
          <cell r="F23"/>
          <cell r="G23">
            <v>36.416341300641747</v>
          </cell>
        </row>
        <row r="24">
          <cell r="B24">
            <v>2036</v>
          </cell>
          <cell r="C24">
            <v>0</v>
          </cell>
          <cell r="D24"/>
          <cell r="E24">
            <v>36.21108759488628</v>
          </cell>
          <cell r="F24"/>
          <cell r="G24">
            <v>36.21108759488628</v>
          </cell>
        </row>
        <row r="25">
          <cell r="B25">
            <v>2037</v>
          </cell>
          <cell r="C25">
            <v>0</v>
          </cell>
          <cell r="D25"/>
          <cell r="E25">
            <v>38.785458326986728</v>
          </cell>
          <cell r="F25"/>
          <cell r="G25">
            <v>38.785458326986728</v>
          </cell>
        </row>
        <row r="26">
          <cell r="B26">
            <v>2038</v>
          </cell>
          <cell r="C26">
            <v>0</v>
          </cell>
          <cell r="D26"/>
          <cell r="E26">
            <v>41.131723498208885</v>
          </cell>
          <cell r="F26"/>
          <cell r="G26">
            <v>41.131723498208885</v>
          </cell>
        </row>
        <row r="27">
          <cell r="B27">
            <v>2039</v>
          </cell>
          <cell r="C27">
            <v>0</v>
          </cell>
          <cell r="D27"/>
          <cell r="E27">
            <v>42.076758405342197</v>
          </cell>
          <cell r="F27"/>
          <cell r="G27">
            <v>42.076758405342197</v>
          </cell>
        </row>
        <row r="28">
          <cell r="B28">
            <v>2040</v>
          </cell>
          <cell r="C28">
            <v>0</v>
          </cell>
          <cell r="D28"/>
          <cell r="E28">
            <v>43.501923350057048</v>
          </cell>
          <cell r="F28"/>
          <cell r="G28">
            <v>43.501923350057048</v>
          </cell>
        </row>
        <row r="29">
          <cell r="B29">
            <v>2041</v>
          </cell>
          <cell r="C29">
            <v>0</v>
          </cell>
          <cell r="D29"/>
          <cell r="E29">
            <v>46.285846450254333</v>
          </cell>
          <cell r="F29"/>
          <cell r="G29">
            <v>46.285846450254333</v>
          </cell>
        </row>
        <row r="30">
          <cell r="B30">
            <v>2042</v>
          </cell>
          <cell r="C30">
            <v>0</v>
          </cell>
          <cell r="D30"/>
          <cell r="E30">
            <v>51.236293297766871</v>
          </cell>
          <cell r="F30"/>
          <cell r="G30">
            <v>51.236293297766871</v>
          </cell>
        </row>
        <row r="31">
          <cell r="B31">
            <v>2043</v>
          </cell>
          <cell r="C31">
            <v>0</v>
          </cell>
          <cell r="D31"/>
          <cell r="E31">
            <v>56.754347782603134</v>
          </cell>
          <cell r="F31"/>
          <cell r="G31">
            <v>56.754347782603134</v>
          </cell>
        </row>
        <row r="32">
          <cell r="B32">
            <v>2044</v>
          </cell>
          <cell r="C32">
            <v>0</v>
          </cell>
          <cell r="D32"/>
          <cell r="E32">
            <v>59.945418036701568</v>
          </cell>
          <cell r="F32"/>
          <cell r="G32">
            <v>59.945418036701568</v>
          </cell>
        </row>
        <row r="33">
          <cell r="B33">
            <v>2045</v>
          </cell>
          <cell r="C33">
            <v>0</v>
          </cell>
          <cell r="D33"/>
          <cell r="E33">
            <v>61.252228149901654</v>
          </cell>
          <cell r="F33"/>
          <cell r="G33">
            <v>61.252228149901654</v>
          </cell>
        </row>
        <row r="55">
          <cell r="G55">
            <v>36.816245874266151</v>
          </cell>
        </row>
        <row r="60">
          <cell r="G60">
            <v>37.784157605561006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  <sheetName val="PV_.PX.NTN._.PTC.2031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20.564717360018136</v>
          </cell>
          <cell r="F13"/>
          <cell r="G13">
            <v>20.564717360018136</v>
          </cell>
        </row>
        <row r="14">
          <cell r="B14">
            <v>2026</v>
          </cell>
          <cell r="C14">
            <v>0</v>
          </cell>
          <cell r="D14"/>
          <cell r="E14">
            <v>20.033500811328448</v>
          </cell>
          <cell r="F14"/>
          <cell r="G14">
            <v>20.033500811328448</v>
          </cell>
        </row>
        <row r="15">
          <cell r="B15">
            <v>2027</v>
          </cell>
          <cell r="C15">
            <v>0</v>
          </cell>
          <cell r="D15"/>
          <cell r="E15">
            <v>22.410532585837498</v>
          </cell>
          <cell r="F15"/>
          <cell r="G15">
            <v>22.410532585837498</v>
          </cell>
        </row>
        <row r="16">
          <cell r="B16">
            <v>2028</v>
          </cell>
          <cell r="C16">
            <v>0</v>
          </cell>
          <cell r="D16"/>
          <cell r="E16">
            <v>23.540274204604412</v>
          </cell>
          <cell r="F16"/>
          <cell r="G16">
            <v>23.540274204604412</v>
          </cell>
        </row>
        <row r="17">
          <cell r="B17">
            <v>2029</v>
          </cell>
          <cell r="C17">
            <v>0</v>
          </cell>
          <cell r="D17"/>
          <cell r="E17">
            <v>26.405966568166434</v>
          </cell>
          <cell r="F17"/>
          <cell r="G17">
            <v>26.405966568166434</v>
          </cell>
        </row>
        <row r="18">
          <cell r="B18">
            <v>2030</v>
          </cell>
          <cell r="C18">
            <v>0</v>
          </cell>
          <cell r="D18"/>
          <cell r="E18">
            <v>23.369882830993419</v>
          </cell>
          <cell r="F18"/>
          <cell r="G18">
            <v>23.369882830993419</v>
          </cell>
        </row>
        <row r="19">
          <cell r="B19">
            <v>2031</v>
          </cell>
          <cell r="C19">
            <v>97.92304792875585</v>
          </cell>
          <cell r="D19"/>
          <cell r="E19">
            <v>-49.0670346963621</v>
          </cell>
          <cell r="F19"/>
          <cell r="G19">
            <v>-10.900383335403259</v>
          </cell>
        </row>
        <row r="20">
          <cell r="B20">
            <v>2032</v>
          </cell>
          <cell r="C20">
            <v>100.05777034643907</v>
          </cell>
          <cell r="D20"/>
          <cell r="E20">
            <v>-50.397017397314372</v>
          </cell>
          <cell r="F20"/>
          <cell r="G20">
            <v>-11.193047820455257</v>
          </cell>
        </row>
        <row r="21">
          <cell r="B21">
            <v>2033</v>
          </cell>
          <cell r="C21">
            <v>102.23902974118711</v>
          </cell>
          <cell r="D21"/>
          <cell r="E21">
            <v>-51.194160091077165</v>
          </cell>
          <cell r="F21"/>
          <cell r="G21">
            <v>-10.91119311330834</v>
          </cell>
        </row>
        <row r="22">
          <cell r="B22">
            <v>2034</v>
          </cell>
          <cell r="C22">
            <v>104.46784066576485</v>
          </cell>
          <cell r="D22"/>
          <cell r="E22">
            <v>-52.669965669938037</v>
          </cell>
          <cell r="F22"/>
          <cell r="G22">
            <v>-11.345525378921389</v>
          </cell>
        </row>
        <row r="23">
          <cell r="B23">
            <v>2035</v>
          </cell>
          <cell r="C23">
            <v>106.74523956551904</v>
          </cell>
          <cell r="D23"/>
          <cell r="E23">
            <v>-53.832567301861964</v>
          </cell>
          <cell r="F23"/>
          <cell r="G23">
            <v>-11.348500059241543</v>
          </cell>
        </row>
        <row r="24">
          <cell r="B24">
            <v>2036</v>
          </cell>
          <cell r="C24">
            <v>109.0722857888052</v>
          </cell>
          <cell r="D24"/>
          <cell r="E24">
            <v>-55.026539028046813</v>
          </cell>
          <cell r="F24"/>
          <cell r="G24">
            <v>-11.377815185431851</v>
          </cell>
        </row>
        <row r="25">
          <cell r="B25">
            <v>2037</v>
          </cell>
          <cell r="C25">
            <v>111.45006158698747</v>
          </cell>
          <cell r="D25"/>
          <cell r="E25">
            <v>-58.014460143426867</v>
          </cell>
          <cell r="F25"/>
          <cell r="G25">
            <v>-13.239641752953498</v>
          </cell>
        </row>
        <row r="26">
          <cell r="B26">
            <v>2038</v>
          </cell>
          <cell r="C26">
            <v>113.87967295646115</v>
          </cell>
          <cell r="D26"/>
          <cell r="E26">
            <v>-57.938520770772264</v>
          </cell>
          <cell r="F26"/>
          <cell r="G26">
            <v>-11.917918657371088</v>
          </cell>
        </row>
        <row r="27">
          <cell r="B27">
            <v>2039</v>
          </cell>
          <cell r="C27">
            <v>116.36224980705713</v>
          </cell>
          <cell r="D27"/>
          <cell r="E27">
            <v>-59.63017892765685</v>
          </cell>
          <cell r="F27"/>
          <cell r="G27">
            <v>-12.380937370628997</v>
          </cell>
        </row>
        <row r="28">
          <cell r="B28">
            <v>2040</v>
          </cell>
          <cell r="C28">
            <v>118.89894688826641</v>
          </cell>
          <cell r="D28"/>
          <cell r="E28">
            <v>-62.079729963676527</v>
          </cell>
          <cell r="F28"/>
          <cell r="G28">
            <v>-13.614416200823602</v>
          </cell>
        </row>
        <row r="29">
          <cell r="B29">
            <v>2041</v>
          </cell>
          <cell r="C29">
            <v>121.49094387344255</v>
          </cell>
          <cell r="D29"/>
          <cell r="E29">
            <v>-1.2181456540656379</v>
          </cell>
          <cell r="F29"/>
          <cell r="G29">
            <v>48.609147902633914</v>
          </cell>
        </row>
        <row r="30">
          <cell r="B30">
            <v>2042</v>
          </cell>
          <cell r="C30">
            <v>124.1394464544305</v>
          </cell>
          <cell r="D30"/>
          <cell r="E30">
            <v>-3.7272131363337175</v>
          </cell>
          <cell r="F30"/>
          <cell r="G30">
            <v>47.397217674534808</v>
          </cell>
        </row>
        <row r="31">
          <cell r="B31">
            <v>2043</v>
          </cell>
          <cell r="C31">
            <v>126.8456864257691</v>
          </cell>
          <cell r="D31"/>
          <cell r="E31">
            <v>-3.2037390548565008</v>
          </cell>
          <cell r="F31"/>
          <cell r="G31">
            <v>49.310830934176622</v>
          </cell>
        </row>
        <row r="32">
          <cell r="B32">
            <v>2044</v>
          </cell>
          <cell r="C32">
            <v>129.6109223583087</v>
          </cell>
          <cell r="D32"/>
          <cell r="E32">
            <v>2.4893931862965424</v>
          </cell>
          <cell r="F32"/>
          <cell r="G32">
            <v>56.466019449478473</v>
          </cell>
        </row>
        <row r="33">
          <cell r="B33">
            <v>2045</v>
          </cell>
          <cell r="C33">
            <v>132.43644052543604</v>
          </cell>
          <cell r="D33"/>
          <cell r="E33">
            <v>2.543661957757807</v>
          </cell>
          <cell r="F33"/>
          <cell r="G33">
            <v>57.696978673477105</v>
          </cell>
        </row>
        <row r="55">
          <cell r="G55">
            <v>3.8358390647043397</v>
          </cell>
        </row>
        <row r="60">
          <cell r="G60">
            <v>3.8692266467748029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NUT._.PTC.2029"/>
      <sheetName val="Table 3 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  <sheetName val="WD_.PX.DJW._.PTC.2029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20.985702752748704</v>
          </cell>
          <cell r="F13"/>
          <cell r="G13">
            <v>20.985702752748704</v>
          </cell>
        </row>
        <row r="14">
          <cell r="B14">
            <v>2026</v>
          </cell>
          <cell r="C14">
            <v>0</v>
          </cell>
          <cell r="D14"/>
          <cell r="E14">
            <v>24.182230658481654</v>
          </cell>
          <cell r="F14"/>
          <cell r="G14">
            <v>24.182230658481654</v>
          </cell>
        </row>
        <row r="15">
          <cell r="B15">
            <v>2027</v>
          </cell>
          <cell r="C15">
            <v>0</v>
          </cell>
          <cell r="D15"/>
          <cell r="E15">
            <v>25.802800927233299</v>
          </cell>
          <cell r="F15"/>
          <cell r="G15">
            <v>25.802800927233299</v>
          </cell>
        </row>
        <row r="16">
          <cell r="B16">
            <v>2028</v>
          </cell>
          <cell r="C16">
            <v>0</v>
          </cell>
          <cell r="D16"/>
          <cell r="E16">
            <v>27.983716877377987</v>
          </cell>
          <cell r="F16"/>
          <cell r="G16">
            <v>27.983716877377987</v>
          </cell>
        </row>
        <row r="17">
          <cell r="B17">
            <v>2029</v>
          </cell>
          <cell r="C17">
            <v>87.012450721802509</v>
          </cell>
          <cell r="D17"/>
          <cell r="E17">
            <v>-37.486043701353289</v>
          </cell>
          <cell r="F17"/>
          <cell r="G17">
            <v>-4.6777898881819624</v>
          </cell>
        </row>
        <row r="18">
          <cell r="B18">
            <v>2030</v>
          </cell>
          <cell r="C18">
            <v>88.909322101713684</v>
          </cell>
          <cell r="D18"/>
          <cell r="E18">
            <v>-40.14570748473794</v>
          </cell>
          <cell r="F18"/>
          <cell r="G18">
            <v>-6.6733708470035209</v>
          </cell>
        </row>
        <row r="19">
          <cell r="B19">
            <v>2031</v>
          </cell>
          <cell r="C19">
            <v>90.847545320437561</v>
          </cell>
          <cell r="D19"/>
          <cell r="E19">
            <v>-42.4437993678102</v>
          </cell>
          <cell r="F19"/>
          <cell r="G19">
            <v>-8.2609635064937059</v>
          </cell>
        </row>
        <row r="20">
          <cell r="B20">
            <v>2032</v>
          </cell>
          <cell r="C20">
            <v>92.828021783222212</v>
          </cell>
          <cell r="D20"/>
          <cell r="E20">
            <v>-45.891018566641101</v>
          </cell>
          <cell r="F20"/>
          <cell r="G20">
            <v>-10.956028557891512</v>
          </cell>
        </row>
        <row r="21">
          <cell r="B21">
            <v>2033</v>
          </cell>
          <cell r="C21">
            <v>94.851672659205718</v>
          </cell>
          <cell r="D21"/>
          <cell r="E21">
            <v>-44.755692982953953</v>
          </cell>
          <cell r="F21"/>
          <cell r="G21">
            <v>-9.0025628747822921</v>
          </cell>
        </row>
        <row r="22">
          <cell r="B22">
            <v>2034</v>
          </cell>
          <cell r="C22">
            <v>96.919439193888962</v>
          </cell>
          <cell r="D22"/>
          <cell r="E22">
            <v>-46.605341015238757</v>
          </cell>
          <cell r="F22"/>
          <cell r="G22">
            <v>-10.081960622758404</v>
          </cell>
        </row>
        <row r="23">
          <cell r="B23">
            <v>2035</v>
          </cell>
          <cell r="C23">
            <v>99.032282943489761</v>
          </cell>
          <cell r="D23"/>
          <cell r="E23">
            <v>-47.581921260641636</v>
          </cell>
          <cell r="F23"/>
          <cell r="G23">
            <v>-10.24156080009325</v>
          </cell>
        </row>
        <row r="24">
          <cell r="B24">
            <v>2036</v>
          </cell>
          <cell r="C24">
            <v>101.19118671236092</v>
          </cell>
          <cell r="D24"/>
          <cell r="E24">
            <v>-49.88397913999097</v>
          </cell>
          <cell r="F24"/>
          <cell r="G24">
            <v>-11.737056902544404</v>
          </cell>
        </row>
        <row r="25">
          <cell r="B25">
            <v>2037</v>
          </cell>
          <cell r="C25">
            <v>103.39715455298986</v>
          </cell>
          <cell r="D25"/>
          <cell r="E25">
            <v>-50.079040336565185</v>
          </cell>
          <cell r="F25"/>
          <cell r="G25">
            <v>-11.166452393269138</v>
          </cell>
        </row>
        <row r="26">
          <cell r="B26">
            <v>2038</v>
          </cell>
          <cell r="C26">
            <v>105.65121254718035</v>
          </cell>
          <cell r="D26"/>
          <cell r="E26">
            <v>-49.721779795238028</v>
          </cell>
          <cell r="F26"/>
          <cell r="G26">
            <v>-9.8985461781717543</v>
          </cell>
        </row>
        <row r="27">
          <cell r="B27">
            <v>2039</v>
          </cell>
          <cell r="C27">
            <v>107.95440896228862</v>
          </cell>
          <cell r="D27"/>
          <cell r="E27">
            <v>3.3362716347758123</v>
          </cell>
          <cell r="F27"/>
          <cell r="G27">
            <v>44.028311333928961</v>
          </cell>
        </row>
        <row r="28">
          <cell r="B28">
            <v>2040</v>
          </cell>
          <cell r="C28">
            <v>110.30781511052302</v>
          </cell>
          <cell r="D28"/>
          <cell r="E28">
            <v>4.2323054813811432</v>
          </cell>
          <cell r="F28"/>
          <cell r="G28">
            <v>45.800997222212565</v>
          </cell>
        </row>
        <row r="29">
          <cell r="B29">
            <v>2041</v>
          </cell>
          <cell r="C29">
            <v>112.71252542706206</v>
          </cell>
          <cell r="D29"/>
          <cell r="E29">
            <v>2.2378207446167027</v>
          </cell>
          <cell r="F29"/>
          <cell r="G29">
            <v>44.671521791934715</v>
          </cell>
        </row>
        <row r="30">
          <cell r="B30">
            <v>2042</v>
          </cell>
          <cell r="C30">
            <v>115.16965848559042</v>
          </cell>
          <cell r="D30"/>
          <cell r="E30">
            <v>3.7161989411590213</v>
          </cell>
          <cell r="F30"/>
          <cell r="G30">
            <v>47.050617260672631</v>
          </cell>
        </row>
        <row r="31">
          <cell r="B31">
            <v>2043</v>
          </cell>
          <cell r="C31">
            <v>117.68035707641688</v>
          </cell>
          <cell r="D31"/>
          <cell r="E31">
            <v>4.723102264346462</v>
          </cell>
          <cell r="F31"/>
          <cell r="G31">
            <v>49.011044845858642</v>
          </cell>
        </row>
        <row r="32">
          <cell r="B32">
            <v>2044</v>
          </cell>
          <cell r="C32">
            <v>120.24578883141972</v>
          </cell>
          <cell r="D32"/>
          <cell r="E32">
            <v>2.1742257090984149</v>
          </cell>
          <cell r="F32"/>
          <cell r="G32">
            <v>47.498609827866822</v>
          </cell>
        </row>
        <row r="33">
          <cell r="B33">
            <v>2045</v>
          </cell>
          <cell r="C33">
            <v>122.86714708334605</v>
          </cell>
          <cell r="D33"/>
          <cell r="E33">
            <v>2.2216238295567621</v>
          </cell>
          <cell r="F33"/>
          <cell r="G33">
            <v>48.534079522114318</v>
          </cell>
        </row>
        <row r="55">
          <cell r="G55">
            <v>5.5175576805780384</v>
          </cell>
        </row>
        <row r="60">
          <cell r="G60">
            <v>5.1877897069236987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27.895583942972682</v>
          </cell>
          <cell r="F13"/>
          <cell r="G13">
            <v>27.895583942972682</v>
          </cell>
        </row>
        <row r="14">
          <cell r="B14">
            <v>2027</v>
          </cell>
          <cell r="C14">
            <v>0</v>
          </cell>
          <cell r="D14"/>
          <cell r="E14">
            <v>29.380812337542714</v>
          </cell>
          <cell r="F14"/>
          <cell r="G14">
            <v>29.380812337542714</v>
          </cell>
        </row>
        <row r="15">
          <cell r="B15">
            <v>2028</v>
          </cell>
          <cell r="C15">
            <v>0</v>
          </cell>
          <cell r="D15"/>
          <cell r="E15">
            <v>31.370054445122332</v>
          </cell>
          <cell r="F15"/>
          <cell r="G15">
            <v>31.370054445122332</v>
          </cell>
        </row>
        <row r="16">
          <cell r="B16">
            <v>2029</v>
          </cell>
          <cell r="C16">
            <v>0</v>
          </cell>
          <cell r="D16"/>
          <cell r="E16">
            <v>34.298042443244377</v>
          </cell>
          <cell r="F16"/>
          <cell r="G16">
            <v>34.298042443244377</v>
          </cell>
        </row>
        <row r="17">
          <cell r="B17">
            <v>2030</v>
          </cell>
          <cell r="C17">
            <v>0</v>
          </cell>
          <cell r="D17"/>
          <cell r="E17">
            <v>34.412810342250836</v>
          </cell>
          <cell r="F17"/>
          <cell r="G17">
            <v>34.412810342250836</v>
          </cell>
        </row>
        <row r="18">
          <cell r="B18">
            <v>2031</v>
          </cell>
          <cell r="C18">
            <v>0</v>
          </cell>
          <cell r="D18"/>
          <cell r="E18">
            <v>37.818915997395486</v>
          </cell>
          <cell r="F18"/>
          <cell r="G18">
            <v>37.818915997395486</v>
          </cell>
        </row>
        <row r="19">
          <cell r="B19">
            <v>2032</v>
          </cell>
          <cell r="C19">
            <v>0</v>
          </cell>
          <cell r="D19"/>
          <cell r="E19">
            <v>35.514927070315203</v>
          </cell>
          <cell r="F19"/>
          <cell r="G19">
            <v>35.514927070315203</v>
          </cell>
        </row>
        <row r="20">
          <cell r="B20">
            <v>2033</v>
          </cell>
          <cell r="C20">
            <v>0</v>
          </cell>
          <cell r="D20"/>
          <cell r="E20">
            <v>34.671827937377877</v>
          </cell>
          <cell r="F20"/>
          <cell r="G20">
            <v>34.671827937377877</v>
          </cell>
        </row>
        <row r="21">
          <cell r="B21">
            <v>2034</v>
          </cell>
          <cell r="C21">
            <v>0</v>
          </cell>
          <cell r="D21"/>
          <cell r="E21">
            <v>35.417512910293517</v>
          </cell>
          <cell r="F21"/>
          <cell r="G21">
            <v>35.417512910293517</v>
          </cell>
        </row>
        <row r="22">
          <cell r="B22">
            <v>2035</v>
          </cell>
          <cell r="C22">
            <v>0</v>
          </cell>
          <cell r="D22"/>
          <cell r="E22">
            <v>36.996165498932363</v>
          </cell>
          <cell r="F22"/>
          <cell r="G22">
            <v>36.996165498932363</v>
          </cell>
        </row>
        <row r="23">
          <cell r="B23">
            <v>2036</v>
          </cell>
          <cell r="C23">
            <v>0</v>
          </cell>
          <cell r="D23"/>
          <cell r="E23">
            <v>21.827543225180921</v>
          </cell>
          <cell r="F23"/>
          <cell r="G23">
            <v>21.827543225180921</v>
          </cell>
        </row>
        <row r="24">
          <cell r="B24">
            <v>2037</v>
          </cell>
          <cell r="C24">
            <v>0</v>
          </cell>
          <cell r="D24"/>
          <cell r="E24">
            <v>25.655632385618155</v>
          </cell>
          <cell r="F24"/>
          <cell r="G24">
            <v>25.655632385618155</v>
          </cell>
        </row>
        <row r="25">
          <cell r="B25">
            <v>2038</v>
          </cell>
          <cell r="C25">
            <v>0</v>
          </cell>
          <cell r="D25"/>
          <cell r="E25">
            <v>27.320594641292086</v>
          </cell>
          <cell r="F25"/>
          <cell r="G25">
            <v>27.320594641292086</v>
          </cell>
        </row>
        <row r="26">
          <cell r="B26">
            <v>2039</v>
          </cell>
          <cell r="C26">
            <v>0</v>
          </cell>
          <cell r="D26"/>
          <cell r="E26">
            <v>29.057651929227944</v>
          </cell>
          <cell r="F26"/>
          <cell r="G26">
            <v>29.057651929227944</v>
          </cell>
        </row>
        <row r="27">
          <cell r="B27">
            <v>2040</v>
          </cell>
          <cell r="C27">
            <v>0</v>
          </cell>
          <cell r="D27"/>
          <cell r="E27">
            <v>30.987905149412551</v>
          </cell>
          <cell r="F27"/>
          <cell r="G27">
            <v>30.987905149412551</v>
          </cell>
        </row>
        <row r="28">
          <cell r="B28">
            <v>2041</v>
          </cell>
          <cell r="C28">
            <v>0</v>
          </cell>
          <cell r="D28"/>
          <cell r="E28">
            <v>34.684936374969276</v>
          </cell>
          <cell r="F28"/>
          <cell r="G28">
            <v>34.684936374969276</v>
          </cell>
        </row>
        <row r="29">
          <cell r="B29">
            <v>2042</v>
          </cell>
          <cell r="C29">
            <v>0</v>
          </cell>
          <cell r="D29"/>
          <cell r="E29">
            <v>44.732126878559036</v>
          </cell>
          <cell r="F29"/>
          <cell r="G29">
            <v>44.732126878559036</v>
          </cell>
        </row>
        <row r="30">
          <cell r="B30">
            <v>2043</v>
          </cell>
          <cell r="C30">
            <v>0</v>
          </cell>
          <cell r="D30"/>
          <cell r="E30">
            <v>45.885829044810244</v>
          </cell>
          <cell r="F30"/>
          <cell r="G30">
            <v>45.885829044810244</v>
          </cell>
        </row>
        <row r="31">
          <cell r="B31">
            <v>2044</v>
          </cell>
          <cell r="C31">
            <v>0</v>
          </cell>
          <cell r="D31"/>
          <cell r="E31">
            <v>47.896757955663922</v>
          </cell>
          <cell r="F31"/>
          <cell r="G31">
            <v>47.896757955663922</v>
          </cell>
        </row>
        <row r="32">
          <cell r="B32">
            <v>2045</v>
          </cell>
          <cell r="C32">
            <v>0</v>
          </cell>
          <cell r="D32"/>
          <cell r="E32">
            <v>49.074991956574394</v>
          </cell>
          <cell r="F32"/>
          <cell r="G32">
            <v>49.074991956574394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31.684089201822854</v>
          </cell>
        </row>
        <row r="55">
          <cell r="G55">
            <v>32.208424802405446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Table 3 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17.929937688395356</v>
          </cell>
          <cell r="F13"/>
          <cell r="G13">
            <v>17.929937688395356</v>
          </cell>
        </row>
        <row r="14">
          <cell r="B14">
            <v>2027</v>
          </cell>
          <cell r="C14">
            <v>0</v>
          </cell>
          <cell r="D14"/>
          <cell r="E14">
            <v>21.566708555374582</v>
          </cell>
          <cell r="F14"/>
          <cell r="G14">
            <v>21.566708555374582</v>
          </cell>
        </row>
        <row r="15">
          <cell r="B15">
            <v>2028</v>
          </cell>
          <cell r="C15">
            <v>0</v>
          </cell>
          <cell r="D15"/>
          <cell r="E15">
            <v>23.253305548737881</v>
          </cell>
          <cell r="F15"/>
          <cell r="G15">
            <v>23.253305548737881</v>
          </cell>
        </row>
        <row r="16">
          <cell r="B16">
            <v>2029</v>
          </cell>
          <cell r="C16">
            <v>0</v>
          </cell>
          <cell r="D16"/>
          <cell r="E16">
            <v>27.15517205510131</v>
          </cell>
          <cell r="F16"/>
          <cell r="G16">
            <v>27.15517205510131</v>
          </cell>
        </row>
        <row r="17">
          <cell r="B17">
            <v>2030</v>
          </cell>
          <cell r="C17">
            <v>0</v>
          </cell>
          <cell r="D17"/>
          <cell r="E17">
            <v>26.402913452353271</v>
          </cell>
          <cell r="F17"/>
          <cell r="G17">
            <v>26.402913452353271</v>
          </cell>
        </row>
        <row r="18">
          <cell r="B18">
            <v>2031</v>
          </cell>
          <cell r="C18">
            <v>0</v>
          </cell>
          <cell r="D18"/>
          <cell r="E18">
            <v>26.765172913226284</v>
          </cell>
          <cell r="F18"/>
          <cell r="G18">
            <v>26.765172913226284</v>
          </cell>
        </row>
        <row r="19">
          <cell r="B19">
            <v>2032</v>
          </cell>
          <cell r="C19">
            <v>118.93773045375903</v>
          </cell>
          <cell r="D19"/>
          <cell r="E19">
            <v>-15.783434068715575</v>
          </cell>
          <cell r="F19"/>
          <cell r="G19">
            <v>30.708843162834309</v>
          </cell>
        </row>
        <row r="20">
          <cell r="B20">
            <v>2033</v>
          </cell>
          <cell r="C20">
            <v>121.53057297907223</v>
          </cell>
          <cell r="D20"/>
          <cell r="E20">
            <v>-17.359920776682593</v>
          </cell>
          <cell r="F20"/>
          <cell r="G20">
            <v>30.468167030075584</v>
          </cell>
        </row>
        <row r="21">
          <cell r="B21">
            <v>2034</v>
          </cell>
          <cell r="C21">
            <v>124.17993956061784</v>
          </cell>
          <cell r="D21"/>
          <cell r="E21">
            <v>-18.223223039224482</v>
          </cell>
          <cell r="F21"/>
          <cell r="G21">
            <v>30.84176601321521</v>
          </cell>
        </row>
        <row r="22">
          <cell r="B22">
            <v>2035</v>
          </cell>
          <cell r="C22">
            <v>126.88706221123057</v>
          </cell>
          <cell r="D22"/>
          <cell r="E22">
            <v>-21.369998366536503</v>
          </cell>
          <cell r="F22"/>
          <cell r="G22">
            <v>29.072613449293172</v>
          </cell>
        </row>
        <row r="23">
          <cell r="B23">
            <v>2036</v>
          </cell>
          <cell r="C23">
            <v>129.65320016833621</v>
          </cell>
          <cell r="D23"/>
          <cell r="E23">
            <v>-21.679447271697018</v>
          </cell>
          <cell r="F23"/>
          <cell r="G23">
            <v>30.08530457364564</v>
          </cell>
        </row>
        <row r="24">
          <cell r="B24">
            <v>2037</v>
          </cell>
          <cell r="C24">
            <v>132.47963989395157</v>
          </cell>
          <cell r="D24"/>
          <cell r="E24">
            <v>-25.526448006405516</v>
          </cell>
          <cell r="F24"/>
          <cell r="G24">
            <v>27.634463565698425</v>
          </cell>
        </row>
        <row r="25">
          <cell r="B25">
            <v>2038</v>
          </cell>
          <cell r="C25">
            <v>135.36769607558858</v>
          </cell>
          <cell r="D25"/>
          <cell r="E25">
            <v>-31.547149777410713</v>
          </cell>
          <cell r="F25"/>
          <cell r="G25">
            <v>23.093500455138074</v>
          </cell>
        </row>
        <row r="26">
          <cell r="B26">
            <v>2039</v>
          </cell>
          <cell r="C26">
            <v>138.31871182643511</v>
          </cell>
          <cell r="D26"/>
          <cell r="E26">
            <v>-35.181237421075252</v>
          </cell>
          <cell r="F26"/>
          <cell r="G26">
            <v>20.917929138314445</v>
          </cell>
        </row>
        <row r="27">
          <cell r="B27">
            <v>2040</v>
          </cell>
          <cell r="C27">
            <v>141.33405978634943</v>
          </cell>
          <cell r="D27"/>
          <cell r="E27">
            <v>-37.656919638106508</v>
          </cell>
          <cell r="F27"/>
          <cell r="G27">
            <v>19.819441942873667</v>
          </cell>
        </row>
        <row r="28">
          <cell r="B28">
            <v>2041</v>
          </cell>
          <cell r="C28">
            <v>144.41514222195062</v>
          </cell>
          <cell r="D28"/>
          <cell r="E28">
            <v>-37.782888245583798</v>
          </cell>
          <cell r="F28"/>
          <cell r="G28">
            <v>21.377345964575809</v>
          </cell>
        </row>
        <row r="29">
          <cell r="B29">
            <v>2042</v>
          </cell>
          <cell r="C29">
            <v>147.56339232779405</v>
          </cell>
          <cell r="D29"/>
          <cell r="E29">
            <v>10.893887063955145</v>
          </cell>
          <cell r="F29"/>
          <cell r="G29">
            <v>71.594725483974401</v>
          </cell>
        </row>
        <row r="30">
          <cell r="B30">
            <v>2043</v>
          </cell>
          <cell r="C30">
            <v>150.78027432646144</v>
          </cell>
          <cell r="D30"/>
          <cell r="E30">
            <v>10.205542828576675</v>
          </cell>
          <cell r="F30"/>
          <cell r="G30">
            <v>72.555821663611027</v>
          </cell>
        </row>
        <row r="31">
          <cell r="B31">
            <v>2044</v>
          </cell>
          <cell r="C31">
            <v>154.06728426928444</v>
          </cell>
          <cell r="D31"/>
          <cell r="E31">
            <v>7.7410416373383644</v>
          </cell>
          <cell r="F31"/>
          <cell r="G31">
            <v>71.753339135241859</v>
          </cell>
        </row>
        <row r="32">
          <cell r="B32">
            <v>2045</v>
          </cell>
          <cell r="C32">
            <v>157.42595113733893</v>
          </cell>
          <cell r="D32"/>
          <cell r="E32">
            <v>7.9671213137305852</v>
          </cell>
          <cell r="F32"/>
          <cell r="G32">
            <v>73.848919120688507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25.403636519483818</v>
          </cell>
        </row>
        <row r="55">
          <cell r="G55">
            <v>26.066645747964326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Table 3 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20.297996736825336</v>
          </cell>
          <cell r="F13"/>
          <cell r="G13">
            <v>20.297996736825336</v>
          </cell>
        </row>
        <row r="14">
          <cell r="B14">
            <v>2027</v>
          </cell>
          <cell r="C14">
            <v>0</v>
          </cell>
          <cell r="D14"/>
          <cell r="E14">
            <v>23.527820930161532</v>
          </cell>
          <cell r="F14"/>
          <cell r="G14">
            <v>23.527820930161532</v>
          </cell>
        </row>
        <row r="15">
          <cell r="B15">
            <v>2028</v>
          </cell>
          <cell r="C15">
            <v>86.516893846414789</v>
          </cell>
          <cell r="D15"/>
          <cell r="E15">
            <v>-22.880878751965078</v>
          </cell>
          <cell r="F15"/>
          <cell r="G15">
            <v>9.5897973958543741</v>
          </cell>
        </row>
        <row r="16">
          <cell r="B16">
            <v>2029</v>
          </cell>
          <cell r="C16">
            <v>88.402962153489256</v>
          </cell>
          <cell r="D16"/>
          <cell r="E16">
            <v>-15.349678802404549</v>
          </cell>
          <cell r="F16"/>
          <cell r="G16">
            <v>17.914031040990768</v>
          </cell>
        </row>
        <row r="17">
          <cell r="B17">
            <v>2030</v>
          </cell>
          <cell r="C17">
            <v>90.330146681878915</v>
          </cell>
          <cell r="D17"/>
          <cell r="E17">
            <v>-10.763489895901809</v>
          </cell>
          <cell r="F17"/>
          <cell r="G17">
            <v>23.178104516597394</v>
          </cell>
        </row>
        <row r="18">
          <cell r="B18">
            <v>2031</v>
          </cell>
          <cell r="C18">
            <v>92.299343876400954</v>
          </cell>
          <cell r="D18"/>
          <cell r="E18">
            <v>-31.038717197239688</v>
          </cell>
          <cell r="F18"/>
          <cell r="G18">
            <v>3.6085603025978821</v>
          </cell>
        </row>
        <row r="19">
          <cell r="B19">
            <v>2032</v>
          </cell>
          <cell r="C19">
            <v>94.311469547302849</v>
          </cell>
          <cell r="D19"/>
          <cell r="E19">
            <v>-35.974452217005606</v>
          </cell>
          <cell r="F19"/>
          <cell r="G19">
            <v>-0.6475593516933138</v>
          </cell>
        </row>
        <row r="20">
          <cell r="B20">
            <v>2033</v>
          </cell>
          <cell r="C20">
            <v>96.367459584561033</v>
          </cell>
          <cell r="D20"/>
          <cell r="E20">
            <v>-36.417168965083306</v>
          </cell>
          <cell r="F20"/>
          <cell r="G20">
            <v>-0.17182693221004708</v>
          </cell>
        </row>
        <row r="21">
          <cell r="B21">
            <v>2034</v>
          </cell>
          <cell r="C21">
            <v>98.468270275347052</v>
          </cell>
          <cell r="D21"/>
          <cell r="E21">
            <v>-37.222684283134349</v>
          </cell>
          <cell r="F21"/>
          <cell r="G21">
            <v>-0.19526146332323571</v>
          </cell>
        </row>
        <row r="22">
          <cell r="B22">
            <v>2035</v>
          </cell>
          <cell r="C22">
            <v>100.61487854212692</v>
          </cell>
          <cell r="D22"/>
          <cell r="E22">
            <v>-37.523179578164012</v>
          </cell>
          <cell r="F22"/>
          <cell r="G22">
            <v>0.33555325414610571</v>
          </cell>
        </row>
        <row r="23">
          <cell r="B23">
            <v>2036</v>
          </cell>
          <cell r="C23">
            <v>102.80828289505959</v>
          </cell>
          <cell r="D23"/>
          <cell r="E23">
            <v>-29.212883074250218</v>
          </cell>
          <cell r="F23"/>
          <cell r="G23">
            <v>9.3927690815664171</v>
          </cell>
        </row>
        <row r="24">
          <cell r="B24">
            <v>2037</v>
          </cell>
          <cell r="C24">
            <v>105.04950343199673</v>
          </cell>
          <cell r="D24"/>
          <cell r="E24">
            <v>-27.36017399900053</v>
          </cell>
          <cell r="F24"/>
          <cell r="G24">
            <v>12.082600737389233</v>
          </cell>
        </row>
        <row r="25">
          <cell r="B25">
            <v>2038</v>
          </cell>
          <cell r="C25">
            <v>107.33958263214808</v>
          </cell>
          <cell r="D25"/>
          <cell r="E25">
            <v>8.8754219431696235</v>
          </cell>
          <cell r="F25"/>
          <cell r="G25">
            <v>49.242885494418339</v>
          </cell>
        </row>
        <row r="26">
          <cell r="B26">
            <v>2039</v>
          </cell>
          <cell r="C26">
            <v>109.67958551481426</v>
          </cell>
          <cell r="D26"/>
          <cell r="E26">
            <v>9.7020832648901862</v>
          </cell>
          <cell r="F26"/>
          <cell r="G26">
            <v>50.954328661271944</v>
          </cell>
        </row>
        <row r="27">
          <cell r="B27">
            <v>2040</v>
          </cell>
          <cell r="C27">
            <v>112.07060051241879</v>
          </cell>
          <cell r="D27"/>
          <cell r="E27">
            <v>11.62817486086653</v>
          </cell>
          <cell r="F27"/>
          <cell r="G27">
            <v>53.685290657681286</v>
          </cell>
        </row>
        <row r="28">
          <cell r="B28">
            <v>2041</v>
          </cell>
          <cell r="C28">
            <v>114.51373954987426</v>
          </cell>
          <cell r="D28"/>
          <cell r="E28">
            <v>13.243824180697521</v>
          </cell>
          <cell r="F28"/>
          <cell r="G28">
            <v>56.27241480336864</v>
          </cell>
        </row>
        <row r="29">
          <cell r="B29">
            <v>2042</v>
          </cell>
          <cell r="C29">
            <v>117.01013907634731</v>
          </cell>
          <cell r="D29"/>
          <cell r="E29">
            <v>21.203275688606492</v>
          </cell>
          <cell r="F29"/>
          <cell r="G29">
            <v>65.126478049629341</v>
          </cell>
        </row>
        <row r="30">
          <cell r="B30">
            <v>2043</v>
          </cell>
          <cell r="C30">
            <v>119.56096014462503</v>
          </cell>
          <cell r="D30"/>
          <cell r="E30">
            <v>22.202810211288142</v>
          </cell>
          <cell r="F30"/>
          <cell r="G30">
            <v>67.094179177193624</v>
          </cell>
        </row>
        <row r="31">
          <cell r="B31">
            <v>2044</v>
          </cell>
          <cell r="C31">
            <v>122.16738904604718</v>
          </cell>
          <cell r="D31"/>
          <cell r="E31">
            <v>22.15045646929584</v>
          </cell>
          <cell r="F31"/>
          <cell r="G31">
            <v>67.99402224278974</v>
          </cell>
        </row>
        <row r="32">
          <cell r="B32">
            <v>2045</v>
          </cell>
          <cell r="C32">
            <v>124.83063818353773</v>
          </cell>
          <cell r="D32"/>
          <cell r="E32">
            <v>22.704227610097824</v>
          </cell>
          <cell r="F32"/>
          <cell r="G32">
            <v>69.693902684830277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16.478041130254685</v>
          </cell>
        </row>
        <row r="55">
          <cell r="G55">
            <v>17.736125222358996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E24F8-1968-4A0A-BC69-E1BEEC392043}">
  <sheetPr>
    <pageSetUpPr fitToPage="1"/>
  </sheetPr>
  <dimension ref="A1:T47"/>
  <sheetViews>
    <sheetView showGridLines="0" tabSelected="1" view="pageBreakPreview" zoomScale="80" zoomScaleNormal="90" zoomScaleSheetLayoutView="80" workbookViewId="0">
      <selection activeCell="B1" sqref="B1:K1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6.5" style="43" customWidth="1"/>
    <col min="13" max="13" width="13.6640625" style="43" customWidth="1"/>
    <col min="14" max="14" width="15.83203125" style="43" customWidth="1"/>
    <col min="15" max="15" width="13.83203125" style="43" customWidth="1"/>
    <col min="16" max="16" width="13.33203125" style="43" customWidth="1"/>
    <col min="17" max="17" width="20.33203125" style="43" customWidth="1"/>
    <col min="18" max="18" width="18" style="43" customWidth="1"/>
    <col min="19" max="19" width="35.1640625" style="43" customWidth="1"/>
    <col min="20" max="20" width="28.6640625" style="43" customWidth="1"/>
    <col min="21" max="16384" width="9.33203125" style="43"/>
  </cols>
  <sheetData>
    <row r="1" spans="2:20" ht="13.5">
      <c r="B1" s="417" t="s">
        <v>333</v>
      </c>
      <c r="C1" s="418"/>
      <c r="D1" s="418"/>
      <c r="E1" s="418"/>
      <c r="F1" s="418"/>
      <c r="G1" s="418"/>
      <c r="H1" s="418"/>
      <c r="I1" s="418"/>
      <c r="J1" s="418"/>
      <c r="K1" s="418"/>
      <c r="L1" s="373"/>
      <c r="M1" s="372"/>
      <c r="N1" s="372"/>
      <c r="O1" s="372"/>
    </row>
    <row r="2" spans="2:20" ht="9" customHeight="1">
      <c r="B2" s="371"/>
      <c r="C2" s="372"/>
      <c r="D2" s="372"/>
      <c r="E2" s="372"/>
      <c r="F2" s="372"/>
      <c r="G2" s="372"/>
      <c r="H2" s="372"/>
      <c r="I2" s="373"/>
      <c r="J2" s="373"/>
      <c r="K2" s="373"/>
      <c r="L2" s="373"/>
      <c r="M2" s="372"/>
      <c r="N2" s="372"/>
      <c r="O2" s="372"/>
    </row>
    <row r="3" spans="2:20" ht="15.75">
      <c r="B3" s="374" t="s">
        <v>318</v>
      </c>
      <c r="C3" s="374"/>
      <c r="D3" s="374"/>
      <c r="E3" s="374"/>
      <c r="F3" s="374"/>
      <c r="G3" s="374"/>
      <c r="H3" s="374"/>
      <c r="I3" s="371"/>
      <c r="J3" s="371"/>
      <c r="K3" s="371"/>
      <c r="L3" s="371"/>
      <c r="M3" s="374"/>
      <c r="N3" s="374"/>
      <c r="O3" s="374"/>
    </row>
    <row r="4" spans="2:20" ht="15.75">
      <c r="B4" s="4" t="s">
        <v>319</v>
      </c>
      <c r="C4" s="374"/>
      <c r="D4" s="374"/>
      <c r="E4" s="374"/>
      <c r="F4" s="374"/>
      <c r="G4" s="374"/>
      <c r="H4" s="374"/>
      <c r="I4" s="371"/>
      <c r="J4" s="371"/>
      <c r="K4" s="371"/>
      <c r="L4" s="371"/>
      <c r="O4" s="374"/>
    </row>
    <row r="5" spans="2:20" ht="15.75">
      <c r="B5" s="4"/>
      <c r="C5" s="374"/>
      <c r="D5" s="374"/>
      <c r="E5" s="374"/>
      <c r="F5" s="374"/>
      <c r="G5" s="374"/>
      <c r="H5" s="374"/>
      <c r="I5" s="371"/>
      <c r="J5" s="371"/>
      <c r="K5" s="371"/>
      <c r="L5" s="371"/>
      <c r="M5" s="374"/>
      <c r="N5" s="374"/>
      <c r="O5" s="374"/>
    </row>
    <row r="6" spans="2:20" ht="16.5" customHeight="1">
      <c r="C6" s="375" t="s">
        <v>320</v>
      </c>
      <c r="D6" s="376" t="s">
        <v>321</v>
      </c>
      <c r="E6" s="377" t="s">
        <v>317</v>
      </c>
      <c r="F6" s="375" t="s">
        <v>320</v>
      </c>
      <c r="G6" s="376" t="s">
        <v>321</v>
      </c>
      <c r="H6" s="377" t="s">
        <v>317</v>
      </c>
      <c r="I6" s="375" t="s">
        <v>320</v>
      </c>
      <c r="J6" s="376" t="s">
        <v>321</v>
      </c>
      <c r="K6" s="377" t="s">
        <v>317</v>
      </c>
      <c r="L6" s="412"/>
      <c r="M6" s="375" t="s">
        <v>320</v>
      </c>
      <c r="N6" s="376" t="s">
        <v>321</v>
      </c>
      <c r="O6" s="377" t="s">
        <v>317</v>
      </c>
      <c r="P6" s="375" t="s">
        <v>320</v>
      </c>
      <c r="Q6" s="376" t="s">
        <v>321</v>
      </c>
      <c r="R6" s="377" t="s">
        <v>317</v>
      </c>
      <c r="T6" s="378"/>
    </row>
    <row r="7" spans="2:20">
      <c r="B7" s="379" t="s">
        <v>0</v>
      </c>
      <c r="C7" s="380" t="s">
        <v>322</v>
      </c>
      <c r="D7" s="381" t="str">
        <f>C7</f>
        <v>UT 2025.Q3</v>
      </c>
      <c r="E7" s="382" t="str">
        <f>C7</f>
        <v>UT 2025.Q3</v>
      </c>
      <c r="F7" s="380" t="s">
        <v>323</v>
      </c>
      <c r="G7" s="381" t="str">
        <f>F7</f>
        <v>UT 2025.Q2</v>
      </c>
      <c r="H7" s="382" t="str">
        <f>F7</f>
        <v>UT 2025.Q2</v>
      </c>
      <c r="I7" s="383"/>
      <c r="J7" s="384"/>
      <c r="K7" s="385"/>
      <c r="L7" s="384"/>
      <c r="M7" s="380" t="s">
        <v>322</v>
      </c>
      <c r="N7" s="381" t="str">
        <f>M7</f>
        <v>UT 2025.Q3</v>
      </c>
      <c r="O7" s="382" t="str">
        <f>M7</f>
        <v>UT 2025.Q3</v>
      </c>
      <c r="P7" s="383"/>
      <c r="Q7" s="384"/>
      <c r="R7" s="385"/>
    </row>
    <row r="8" spans="2:20">
      <c r="B8" s="379"/>
      <c r="C8" s="386" t="s">
        <v>324</v>
      </c>
      <c r="D8" s="387" t="s">
        <v>325</v>
      </c>
      <c r="E8" s="388" t="s">
        <v>326</v>
      </c>
      <c r="F8" s="386" t="s">
        <v>324</v>
      </c>
      <c r="G8" s="387" t="s">
        <v>325</v>
      </c>
      <c r="H8" s="388" t="s">
        <v>326</v>
      </c>
      <c r="I8" s="389" t="s">
        <v>327</v>
      </c>
      <c r="J8" s="390" t="s">
        <v>327</v>
      </c>
      <c r="K8" s="391" t="s">
        <v>327</v>
      </c>
      <c r="L8" s="390"/>
      <c r="M8" s="386" t="s">
        <v>324</v>
      </c>
      <c r="N8" s="387" t="s">
        <v>325</v>
      </c>
      <c r="O8" s="388" t="s">
        <v>326</v>
      </c>
      <c r="P8" s="389" t="s">
        <v>327</v>
      </c>
      <c r="Q8" s="390" t="s">
        <v>327</v>
      </c>
      <c r="R8" s="391" t="s">
        <v>327</v>
      </c>
    </row>
    <row r="9" spans="2:20" ht="48.75" customHeight="1">
      <c r="B9" s="392"/>
      <c r="C9" s="419" t="s">
        <v>335</v>
      </c>
      <c r="D9" s="420"/>
      <c r="E9" s="421"/>
      <c r="F9" s="419" t="s">
        <v>336</v>
      </c>
      <c r="G9" s="420"/>
      <c r="H9" s="421"/>
      <c r="I9" s="414" t="s">
        <v>337</v>
      </c>
      <c r="J9" s="415"/>
      <c r="K9" s="416"/>
      <c r="L9" s="411"/>
      <c r="M9" s="414" t="s">
        <v>338</v>
      </c>
      <c r="N9" s="415"/>
      <c r="O9" s="416"/>
      <c r="P9" s="414" t="s">
        <v>339</v>
      </c>
      <c r="Q9" s="415"/>
      <c r="R9" s="416"/>
    </row>
    <row r="10" spans="2:20">
      <c r="B10" s="392">
        <v>2026</v>
      </c>
      <c r="C10" s="393">
        <f>VLOOKUP($B10,'[1]Table 1'!$B$13:$G$37,6,FALSE)</f>
        <v>27.407915346386115</v>
      </c>
      <c r="D10" s="394">
        <f>VLOOKUP($B10,'[2]Table 1'!$B$13:$G$34,6,FALSE)</f>
        <v>17.693435394804801</v>
      </c>
      <c r="E10" s="395">
        <f ca="1">VLOOKUP($B10,'Table 1'!$B$13:$G$42,6,FALSE)</f>
        <v>21.172259907329156</v>
      </c>
      <c r="F10" s="393">
        <f>VLOOKUP($B10,'[3]Table 1'!$B$13:$G$33,6,FALSE)</f>
        <v>31.392349760487118</v>
      </c>
      <c r="G10" s="394">
        <f>VLOOKUP($B10,'[4]Table 1'!$B$13:$G$33,6,FALSE)</f>
        <v>20.033500811328448</v>
      </c>
      <c r="H10" s="394">
        <f>VLOOKUP($B10,'[5]Table 1'!$B$13:$G$33,6,FALSE)</f>
        <v>24.182230658481654</v>
      </c>
      <c r="I10" s="393">
        <f t="shared" ref="I10:I26" si="0">C10-F10</f>
        <v>-3.9844344141010026</v>
      </c>
      <c r="J10" s="394">
        <f t="shared" ref="J10:J26" si="1">D10-G10</f>
        <v>-2.3400654165236467</v>
      </c>
      <c r="K10" s="395">
        <f t="shared" ref="K10:K26" ca="1" si="2">E10-H10</f>
        <v>-3.0099707511524976</v>
      </c>
      <c r="L10" s="394"/>
      <c r="M10" s="393">
        <f>VLOOKUP($B10,'[6]Table 1'!$B$13:$G$40,6,FALSE)</f>
        <v>27.895583942972682</v>
      </c>
      <c r="N10" s="394">
        <f>VLOOKUP($B10,'[7]Table 1'!$B$13:$G$40,6,FALSE)</f>
        <v>17.929937688395356</v>
      </c>
      <c r="O10" s="394">
        <f>VLOOKUP($B10,'[8]Table 1'!$B$13:$G$40,6,FALSE)</f>
        <v>20.297996736825336</v>
      </c>
      <c r="P10" s="393">
        <f>C10-M10</f>
        <v>-0.48766859658656614</v>
      </c>
      <c r="Q10" s="394">
        <f t="shared" ref="Q10:R26" si="3">D10-N10</f>
        <v>-0.2365022935905543</v>
      </c>
      <c r="R10" s="395">
        <f t="shared" ca="1" si="3"/>
        <v>0.87426317050381996</v>
      </c>
      <c r="S10" s="396"/>
      <c r="T10" s="396"/>
    </row>
    <row r="11" spans="2:20">
      <c r="B11" s="397">
        <f>B10+1</f>
        <v>2027</v>
      </c>
      <c r="C11" s="398">
        <f>VLOOKUP($B11,'[1]Table 1'!$B$13:$G$37,6,FALSE)</f>
        <v>30.549249414416046</v>
      </c>
      <c r="D11" s="396">
        <f>VLOOKUP($B11,'[2]Table 1'!$B$13:$G$34,6,FALSE)</f>
        <v>20.687543119075965</v>
      </c>
      <c r="E11" s="399">
        <f ca="1">VLOOKUP($B11,'Table 1'!$B$13:$G$42,6,FALSE)</f>
        <v>24.252065928193758</v>
      </c>
      <c r="F11" s="396">
        <f>VLOOKUP($B11,'[3]Table 1'!$B$13:$G$33,6,FALSE)</f>
        <v>32.501976695229978</v>
      </c>
      <c r="G11" s="396">
        <f>VLOOKUP($B11,'[4]Table 1'!$B$13:$G$33,6,FALSE)</f>
        <v>22.410532585837498</v>
      </c>
      <c r="H11" s="396">
        <f>VLOOKUP($B11,'[5]Table 1'!$B$13:$G$33,6,FALSE)</f>
        <v>25.802800927233299</v>
      </c>
      <c r="I11" s="398">
        <f t="shared" si="0"/>
        <v>-1.9527272808139315</v>
      </c>
      <c r="J11" s="396">
        <f t="shared" si="1"/>
        <v>-1.7229894667615326</v>
      </c>
      <c r="K11" s="399">
        <f t="shared" ca="1" si="2"/>
        <v>-1.5507349990395412</v>
      </c>
      <c r="L11" s="396"/>
      <c r="M11" s="398">
        <f>VLOOKUP($B11,'[6]Table 1'!$B$13:$G$40,6,FALSE)</f>
        <v>29.380812337542714</v>
      </c>
      <c r="N11" s="396">
        <f>VLOOKUP($B11,'[7]Table 1'!$B$13:$G$40,6,FALSE)</f>
        <v>21.566708555374582</v>
      </c>
      <c r="O11" s="399">
        <f>VLOOKUP($B11,'[8]Table 1'!$B$13:$G$40,6,FALSE)</f>
        <v>23.527820930161532</v>
      </c>
      <c r="P11" s="398">
        <f t="shared" ref="P11:P26" si="4">C11-M11</f>
        <v>1.1684370768733316</v>
      </c>
      <c r="Q11" s="396">
        <f t="shared" si="3"/>
        <v>-0.87916543629861721</v>
      </c>
      <c r="R11" s="399">
        <f t="shared" ca="1" si="3"/>
        <v>0.72424499803222631</v>
      </c>
      <c r="S11" s="396"/>
      <c r="T11" s="396"/>
    </row>
    <row r="12" spans="2:20">
      <c r="B12" s="397">
        <f t="shared" ref="B12:B26" si="5">B11+1</f>
        <v>2028</v>
      </c>
      <c r="C12" s="398">
        <f>VLOOKUP($B12,'[1]Table 1'!$B$13:$G$37,6,FALSE)</f>
        <v>32.091708861572961</v>
      </c>
      <c r="D12" s="396">
        <f>VLOOKUP($B12,'[2]Table 1'!$B$13:$G$34,6,FALSE)</f>
        <v>22.025375865581289</v>
      </c>
      <c r="E12" s="399">
        <f ca="1">VLOOKUP($B12,'Table 1'!$B$13:$G$42,6,FALSE)</f>
        <v>25.381324963702042</v>
      </c>
      <c r="F12" s="396">
        <f>VLOOKUP($B12,'[3]Table 1'!$B$13:$G$33,6,FALSE)</f>
        <v>35.447099116448506</v>
      </c>
      <c r="G12" s="396">
        <f>VLOOKUP($B12,'[4]Table 1'!$B$13:$G$33,6,FALSE)</f>
        <v>23.540274204604412</v>
      </c>
      <c r="H12" s="396">
        <f>VLOOKUP($B12,'[5]Table 1'!$B$13:$G$33,6,FALSE)</f>
        <v>27.983716877377987</v>
      </c>
      <c r="I12" s="398">
        <f t="shared" si="0"/>
        <v>-3.3553902548755445</v>
      </c>
      <c r="J12" s="396">
        <f t="shared" si="1"/>
        <v>-1.514898339023123</v>
      </c>
      <c r="K12" s="399">
        <f t="shared" ca="1" si="2"/>
        <v>-2.6023919136759446</v>
      </c>
      <c r="L12" s="396"/>
      <c r="M12" s="398">
        <f>VLOOKUP($B12,'[6]Table 1'!$B$13:$G$40,6,FALSE)</f>
        <v>31.370054445122332</v>
      </c>
      <c r="N12" s="396">
        <f>VLOOKUP($B12,'[7]Table 1'!$B$13:$G$40,6,FALSE)</f>
        <v>23.253305548737881</v>
      </c>
      <c r="O12" s="399">
        <f>VLOOKUP($B12,'[8]Table 1'!$B$13:$G$40,6,FALSE)</f>
        <v>9.5897973958543741</v>
      </c>
      <c r="P12" s="398">
        <f t="shared" si="4"/>
        <v>0.72165441645062955</v>
      </c>
      <c r="Q12" s="396">
        <f t="shared" si="3"/>
        <v>-1.2279296831565922</v>
      </c>
      <c r="R12" s="399">
        <f t="shared" ca="1" si="3"/>
        <v>15.791527567847668</v>
      </c>
      <c r="S12" s="396"/>
      <c r="T12" s="396"/>
    </row>
    <row r="13" spans="2:20">
      <c r="B13" s="397">
        <f t="shared" si="5"/>
        <v>2029</v>
      </c>
      <c r="C13" s="398">
        <f>VLOOKUP($B13,'[1]Table 1'!$B$13:$G$37,6,FALSE)</f>
        <v>35.390984479640558</v>
      </c>
      <c r="D13" s="396">
        <f>VLOOKUP($B13,'[2]Table 1'!$B$13:$G$34,6,FALSE)</f>
        <v>24.780866953527429</v>
      </c>
      <c r="E13" s="399">
        <f ca="1">VLOOKUP($B13,'Table 1'!$B$13:$G$42,6,FALSE)</f>
        <v>-4.9684260347645886</v>
      </c>
      <c r="F13" s="396">
        <f>VLOOKUP($B13,'[3]Table 1'!$B$13:$G$33,6,FALSE)</f>
        <v>38.951795564771089</v>
      </c>
      <c r="G13" s="396">
        <f>VLOOKUP($B13,'[4]Table 1'!$B$13:$G$33,6,FALSE)</f>
        <v>26.405966568166434</v>
      </c>
      <c r="H13" s="396">
        <f>VLOOKUP($B13,'[5]Table 1'!$B$13:$G$33,6,FALSE)</f>
        <v>-4.6777898881819624</v>
      </c>
      <c r="I13" s="398">
        <f t="shared" si="0"/>
        <v>-3.5608110851305312</v>
      </c>
      <c r="J13" s="396">
        <f t="shared" si="1"/>
        <v>-1.6250996146390051</v>
      </c>
      <c r="K13" s="399">
        <f t="shared" ca="1" si="2"/>
        <v>-0.29063614658262615</v>
      </c>
      <c r="L13" s="396"/>
      <c r="M13" s="398">
        <f>VLOOKUP($B13,'[6]Table 1'!$B$13:$G$40,6,FALSE)</f>
        <v>34.298042443244377</v>
      </c>
      <c r="N13" s="396">
        <f>VLOOKUP($B13,'[7]Table 1'!$B$13:$G$40,6,FALSE)</f>
        <v>27.15517205510131</v>
      </c>
      <c r="O13" s="399">
        <f>VLOOKUP($B13,'[8]Table 1'!$B$13:$G$40,6,FALSE)</f>
        <v>17.914031040990768</v>
      </c>
      <c r="P13" s="398">
        <f t="shared" si="4"/>
        <v>1.092942036396181</v>
      </c>
      <c r="Q13" s="396">
        <f t="shared" si="3"/>
        <v>-2.3743051015738814</v>
      </c>
      <c r="R13" s="399">
        <f t="shared" ca="1" si="3"/>
        <v>-22.882457075755354</v>
      </c>
      <c r="S13" s="396"/>
      <c r="T13" s="396"/>
    </row>
    <row r="14" spans="2:20">
      <c r="B14" s="397">
        <f t="shared" si="5"/>
        <v>2030</v>
      </c>
      <c r="C14" s="398">
        <f>VLOOKUP($B14,'[1]Table 1'!$B$13:$G$37,6,FALSE)</f>
        <v>38.461428658875782</v>
      </c>
      <c r="D14" s="396">
        <f>VLOOKUP($B14,'[2]Table 1'!$B$13:$G$34,6,FALSE)</f>
        <v>24.029798225878316</v>
      </c>
      <c r="E14" s="399">
        <f ca="1">VLOOKUP($B14,'Table 1'!$B$13:$G$42,6,FALSE)</f>
        <v>-6.7748639231400754</v>
      </c>
      <c r="F14" s="396">
        <f>VLOOKUP($B14,'[3]Table 1'!$B$13:$G$33,6,FALSE)</f>
        <v>39.388572311768634</v>
      </c>
      <c r="G14" s="396">
        <f>VLOOKUP($B14,'[4]Table 1'!$B$13:$G$33,6,FALSE)</f>
        <v>23.369882830993419</v>
      </c>
      <c r="H14" s="396">
        <f>VLOOKUP($B14,'[5]Table 1'!$B$13:$G$33,6,FALSE)</f>
        <v>-6.6733708470035209</v>
      </c>
      <c r="I14" s="398">
        <f t="shared" si="0"/>
        <v>-0.92714365289285183</v>
      </c>
      <c r="J14" s="396">
        <f t="shared" si="1"/>
        <v>0.65991539488489792</v>
      </c>
      <c r="K14" s="399">
        <f t="shared" ca="1" si="2"/>
        <v>-0.10149307613655445</v>
      </c>
      <c r="L14" s="396"/>
      <c r="M14" s="398">
        <f>VLOOKUP($B14,'[6]Table 1'!$B$13:$G$40,6,FALSE)</f>
        <v>34.412810342250836</v>
      </c>
      <c r="N14" s="396">
        <f>VLOOKUP($B14,'[7]Table 1'!$B$13:$G$40,6,FALSE)</f>
        <v>26.402913452353271</v>
      </c>
      <c r="O14" s="399">
        <f>VLOOKUP($B14,'[8]Table 1'!$B$13:$G$40,6,FALSE)</f>
        <v>23.178104516597394</v>
      </c>
      <c r="P14" s="398">
        <f t="shared" si="4"/>
        <v>4.0486183166249461</v>
      </c>
      <c r="Q14" s="396">
        <f t="shared" si="3"/>
        <v>-2.3731152264749547</v>
      </c>
      <c r="R14" s="399">
        <f t="shared" ca="1" si="3"/>
        <v>-29.952968439737468</v>
      </c>
      <c r="S14" s="396"/>
      <c r="T14" s="396"/>
    </row>
    <row r="15" spans="2:20">
      <c r="B15" s="397">
        <f t="shared" si="5"/>
        <v>2031</v>
      </c>
      <c r="C15" s="398">
        <f>VLOOKUP($B15,'[1]Table 1'!$B$13:$G$37,6,FALSE)</f>
        <v>38.962032022310616</v>
      </c>
      <c r="D15" s="396">
        <f>VLOOKUP($B15,'[2]Table 1'!$B$13:$G$34,6,FALSE)</f>
        <v>-11.30978116739926</v>
      </c>
      <c r="E15" s="399">
        <f ca="1">VLOOKUP($B15,'Table 1'!$B$13:$G$42,6,FALSE)</f>
        <v>-8.5522953652737517</v>
      </c>
      <c r="F15" s="396">
        <f>VLOOKUP($B15,'[3]Table 1'!$B$13:$G$33,6,FALSE)</f>
        <v>38.667356502390128</v>
      </c>
      <c r="G15" s="396">
        <f>VLOOKUP($B15,'[4]Table 1'!$B$13:$G$33,6,FALSE)</f>
        <v>-10.900383335403259</v>
      </c>
      <c r="H15" s="396">
        <f>VLOOKUP($B15,'[5]Table 1'!$B$13:$G$33,6,FALSE)</f>
        <v>-8.2609635064937059</v>
      </c>
      <c r="I15" s="398">
        <f t="shared" si="0"/>
        <v>0.29467551992048868</v>
      </c>
      <c r="J15" s="396">
        <f t="shared" si="1"/>
        <v>-0.40939783199600122</v>
      </c>
      <c r="K15" s="399">
        <f t="shared" ca="1" si="2"/>
        <v>-0.29133185878004575</v>
      </c>
      <c r="L15" s="396"/>
      <c r="M15" s="398">
        <f>VLOOKUP($B15,'[6]Table 1'!$B$13:$G$40,6,FALSE)</f>
        <v>37.818915997395486</v>
      </c>
      <c r="N15" s="396">
        <f>VLOOKUP($B15,'[7]Table 1'!$B$13:$G$40,6,FALSE)</f>
        <v>26.765172913226284</v>
      </c>
      <c r="O15" s="399">
        <f>VLOOKUP($B15,'[8]Table 1'!$B$13:$G$40,6,FALSE)</f>
        <v>3.6085603025978821</v>
      </c>
      <c r="P15" s="398">
        <f t="shared" si="4"/>
        <v>1.1431160249151304</v>
      </c>
      <c r="Q15" s="396">
        <f t="shared" si="3"/>
        <v>-38.074954080625545</v>
      </c>
      <c r="R15" s="399">
        <f t="shared" ca="1" si="3"/>
        <v>-12.160855667871633</v>
      </c>
      <c r="S15" s="396"/>
      <c r="T15" s="396"/>
    </row>
    <row r="16" spans="2:20">
      <c r="B16" s="397">
        <f t="shared" si="5"/>
        <v>2032</v>
      </c>
      <c r="C16" s="398">
        <f>VLOOKUP($B16,'[1]Table 1'!$B$13:$G$37,6,FALSE)</f>
        <v>37.802637703219126</v>
      </c>
      <c r="D16" s="396">
        <f>VLOOKUP($B16,'[2]Table 1'!$B$13:$G$34,6,FALSE)</f>
        <v>-11.121541941000713</v>
      </c>
      <c r="E16" s="399">
        <f ca="1">VLOOKUP($B16,'Table 1'!$B$13:$G$42,6,FALSE)</f>
        <v>-10.33402792577302</v>
      </c>
      <c r="F16" s="396">
        <f>VLOOKUP($B16,'[3]Table 1'!$B$13:$G$33,6,FALSE)</f>
        <v>36.355060179291272</v>
      </c>
      <c r="G16" s="396">
        <f>VLOOKUP($B16,'[4]Table 1'!$B$13:$G$33,6,FALSE)</f>
        <v>-11.193047820455257</v>
      </c>
      <c r="H16" s="396">
        <f>VLOOKUP($B16,'[5]Table 1'!$B$13:$G$33,6,FALSE)</f>
        <v>-10.956028557891512</v>
      </c>
      <c r="I16" s="398">
        <f t="shared" si="0"/>
        <v>1.4475775239278548</v>
      </c>
      <c r="J16" s="396">
        <f t="shared" si="1"/>
        <v>7.1505879454544896E-2</v>
      </c>
      <c r="K16" s="399">
        <f t="shared" ca="1" si="2"/>
        <v>0.62200063211849255</v>
      </c>
      <c r="L16" s="396"/>
      <c r="M16" s="398">
        <f>VLOOKUP($B16,'[6]Table 1'!$B$13:$G$40,6,FALSE)</f>
        <v>35.514927070315203</v>
      </c>
      <c r="N16" s="396">
        <f>VLOOKUP($B16,'[7]Table 1'!$B$13:$G$40,6,FALSE)</f>
        <v>30.708843162834309</v>
      </c>
      <c r="O16" s="399">
        <f>VLOOKUP($B16,'[8]Table 1'!$B$13:$G$40,6,FALSE)</f>
        <v>-0.6475593516933138</v>
      </c>
      <c r="P16" s="398">
        <f t="shared" si="4"/>
        <v>2.2877106329039236</v>
      </c>
      <c r="Q16" s="396">
        <f t="shared" si="3"/>
        <v>-41.83038510383502</v>
      </c>
      <c r="R16" s="399">
        <f t="shared" ca="1" si="3"/>
        <v>-9.6864685740797061</v>
      </c>
      <c r="S16" s="396"/>
      <c r="T16" s="396"/>
    </row>
    <row r="17" spans="1:20">
      <c r="B17" s="397">
        <f t="shared" si="5"/>
        <v>2033</v>
      </c>
      <c r="C17" s="398">
        <f>VLOOKUP($B17,'[1]Table 1'!$B$13:$G$37,6,FALSE)</f>
        <v>38.364413473638251</v>
      </c>
      <c r="D17" s="396">
        <f>VLOOKUP($B17,'[2]Table 1'!$B$13:$G$34,6,FALSE)</f>
        <v>-11.354400687373129</v>
      </c>
      <c r="E17" s="399">
        <f ca="1">VLOOKUP($B17,'Table 1'!$B$13:$G$42,6,FALSE)</f>
        <v>-9.0611762360626305</v>
      </c>
      <c r="F17" s="396">
        <f>VLOOKUP($B17,'[3]Table 1'!$B$13:$G$33,6,FALSE)</f>
        <v>35.731612519154389</v>
      </c>
      <c r="G17" s="396">
        <f>VLOOKUP($B17,'[4]Table 1'!$B$13:$G$33,6,FALSE)</f>
        <v>-10.91119311330834</v>
      </c>
      <c r="H17" s="396">
        <f>VLOOKUP($B17,'[5]Table 1'!$B$13:$G$33,6,FALSE)</f>
        <v>-9.0025628747822921</v>
      </c>
      <c r="I17" s="398">
        <f t="shared" si="0"/>
        <v>2.6328009544838622</v>
      </c>
      <c r="J17" s="396">
        <f t="shared" si="1"/>
        <v>-0.44320757406478961</v>
      </c>
      <c r="K17" s="399">
        <f t="shared" ca="1" si="2"/>
        <v>-5.8613361280338339E-2</v>
      </c>
      <c r="L17" s="396"/>
      <c r="M17" s="398">
        <f>VLOOKUP($B17,'[6]Table 1'!$B$13:$G$40,6,FALSE)</f>
        <v>34.671827937377877</v>
      </c>
      <c r="N17" s="396">
        <f>VLOOKUP($B17,'[7]Table 1'!$B$13:$G$40,6,FALSE)</f>
        <v>30.468167030075584</v>
      </c>
      <c r="O17" s="399">
        <f>VLOOKUP($B17,'[8]Table 1'!$B$13:$G$40,6,FALSE)</f>
        <v>-0.17182693221004708</v>
      </c>
      <c r="P17" s="398">
        <f t="shared" si="4"/>
        <v>3.6925855362603741</v>
      </c>
      <c r="Q17" s="396">
        <f t="shared" si="3"/>
        <v>-41.822567717448713</v>
      </c>
      <c r="R17" s="399">
        <f t="shared" ca="1" si="3"/>
        <v>-8.8893493038525833</v>
      </c>
      <c r="S17" s="396"/>
      <c r="T17" s="396"/>
    </row>
    <row r="18" spans="1:20">
      <c r="B18" s="397">
        <f t="shared" si="5"/>
        <v>2034</v>
      </c>
      <c r="C18" s="398">
        <f>VLOOKUP($B18,'[1]Table 1'!$B$13:$G$37,6,FALSE)</f>
        <v>39.712558060242323</v>
      </c>
      <c r="D18" s="396">
        <f>VLOOKUP($B18,'[2]Table 1'!$B$13:$G$34,6,FALSE)</f>
        <v>-11.56247035055431</v>
      </c>
      <c r="E18" s="399">
        <f ca="1">VLOOKUP($B18,'Table 1'!$B$13:$G$42,6,FALSE)</f>
        <v>-9.0786668942295758</v>
      </c>
      <c r="F18" s="396">
        <f>VLOOKUP($B18,'[3]Table 1'!$B$13:$G$33,6,FALSE)</f>
        <v>35.987352958525982</v>
      </c>
      <c r="G18" s="396">
        <f>VLOOKUP($B18,'[4]Table 1'!$B$13:$G$33,6,FALSE)</f>
        <v>-11.345525378921389</v>
      </c>
      <c r="H18" s="396">
        <f>VLOOKUP($B18,'[5]Table 1'!$B$13:$G$33,6,FALSE)</f>
        <v>-10.081960622758404</v>
      </c>
      <c r="I18" s="398">
        <f t="shared" si="0"/>
        <v>3.725205101716341</v>
      </c>
      <c r="J18" s="396">
        <f t="shared" si="1"/>
        <v>-0.21694497163292148</v>
      </c>
      <c r="K18" s="399">
        <f t="shared" ca="1" si="2"/>
        <v>1.0032937285288277</v>
      </c>
      <c r="L18" s="396"/>
      <c r="M18" s="398">
        <f>VLOOKUP($B18,'[6]Table 1'!$B$13:$G$40,6,FALSE)</f>
        <v>35.417512910293517</v>
      </c>
      <c r="N18" s="396">
        <f>VLOOKUP($B18,'[7]Table 1'!$B$13:$G$40,6,FALSE)</f>
        <v>30.84176601321521</v>
      </c>
      <c r="O18" s="399">
        <f>VLOOKUP($B18,'[8]Table 1'!$B$13:$G$40,6,FALSE)</f>
        <v>-0.19526146332323571</v>
      </c>
      <c r="P18" s="398">
        <f t="shared" si="4"/>
        <v>4.2950451499488054</v>
      </c>
      <c r="Q18" s="396">
        <f t="shared" si="3"/>
        <v>-42.40423636376952</v>
      </c>
      <c r="R18" s="399">
        <f t="shared" ca="1" si="3"/>
        <v>-8.8834054309063397</v>
      </c>
      <c r="S18" s="396"/>
      <c r="T18" s="396"/>
    </row>
    <row r="19" spans="1:20">
      <c r="B19" s="397">
        <f t="shared" si="5"/>
        <v>2035</v>
      </c>
      <c r="C19" s="398">
        <f>VLOOKUP($B19,'[1]Table 1'!$B$13:$G$37,6,FALSE)</f>
        <v>40.446077383620334</v>
      </c>
      <c r="D19" s="396">
        <f>VLOOKUP($B19,'[2]Table 1'!$B$13:$G$34,6,FALSE)</f>
        <v>-12.360617421896267</v>
      </c>
      <c r="E19" s="399">
        <f ca="1">VLOOKUP($B19,'Table 1'!$B$13:$G$42,6,FALSE)</f>
        <v>-9.734045367896293</v>
      </c>
      <c r="F19" s="396">
        <f>VLOOKUP($B19,'[3]Table 1'!$B$13:$G$33,6,FALSE)</f>
        <v>36.416341300641747</v>
      </c>
      <c r="G19" s="396">
        <f>VLOOKUP($B19,'[4]Table 1'!$B$13:$G$33,6,FALSE)</f>
        <v>-11.348500059241543</v>
      </c>
      <c r="H19" s="396">
        <f>VLOOKUP($B19,'[5]Table 1'!$B$13:$G$33,6,FALSE)</f>
        <v>-10.24156080009325</v>
      </c>
      <c r="I19" s="398">
        <f t="shared" si="0"/>
        <v>4.0297360829785873</v>
      </c>
      <c r="J19" s="396">
        <f t="shared" si="1"/>
        <v>-1.012117362654724</v>
      </c>
      <c r="K19" s="399">
        <f t="shared" ca="1" si="2"/>
        <v>0.50751543219695705</v>
      </c>
      <c r="L19" s="396"/>
      <c r="M19" s="398">
        <f>VLOOKUP($B19,'[6]Table 1'!$B$13:$G$40,6,FALSE)</f>
        <v>36.996165498932363</v>
      </c>
      <c r="N19" s="396">
        <f>VLOOKUP($B19,'[7]Table 1'!$B$13:$G$40,6,FALSE)</f>
        <v>29.072613449293172</v>
      </c>
      <c r="O19" s="399">
        <f>VLOOKUP($B19,'[8]Table 1'!$B$13:$G$40,6,FALSE)</f>
        <v>0.33555325414610571</v>
      </c>
      <c r="P19" s="398">
        <f t="shared" si="4"/>
        <v>3.4499118846879711</v>
      </c>
      <c r="Q19" s="396">
        <f t="shared" si="3"/>
        <v>-41.433230871189437</v>
      </c>
      <c r="R19" s="399">
        <f t="shared" ca="1" si="3"/>
        <v>-10.069598622042399</v>
      </c>
      <c r="S19" s="396"/>
      <c r="T19" s="396"/>
    </row>
    <row r="20" spans="1:20">
      <c r="B20" s="397">
        <f t="shared" si="5"/>
        <v>2036</v>
      </c>
      <c r="C20" s="398">
        <f>VLOOKUP($B20,'[1]Table 1'!$B$13:$G$37,6,FALSE)</f>
        <v>41.698225001756761</v>
      </c>
      <c r="D20" s="396">
        <f>VLOOKUP($B20,'[2]Table 1'!$B$13:$G$34,6,FALSE)</f>
        <v>-12.84450328082918</v>
      </c>
      <c r="E20" s="399">
        <f ca="1">VLOOKUP($B20,'Table 1'!$B$13:$G$42,6,FALSE)</f>
        <v>-12.509580894391352</v>
      </c>
      <c r="F20" s="396">
        <f>VLOOKUP($B20,'[3]Table 1'!$B$13:$G$33,6,FALSE)</f>
        <v>36.21108759488628</v>
      </c>
      <c r="G20" s="396">
        <f>VLOOKUP($B20,'[4]Table 1'!$B$13:$G$33,6,FALSE)</f>
        <v>-11.377815185431851</v>
      </c>
      <c r="H20" s="396">
        <f>VLOOKUP($B20,'[5]Table 1'!$B$13:$G$33,6,FALSE)</f>
        <v>-11.737056902544404</v>
      </c>
      <c r="I20" s="398">
        <f t="shared" si="0"/>
        <v>5.487137406870481</v>
      </c>
      <c r="J20" s="396">
        <f t="shared" si="1"/>
        <v>-1.4666880953973287</v>
      </c>
      <c r="K20" s="399">
        <f t="shared" ca="1" si="2"/>
        <v>-0.77252399184694731</v>
      </c>
      <c r="L20" s="396"/>
      <c r="M20" s="398">
        <f>VLOOKUP($B20,'[6]Table 1'!$B$13:$G$40,6,FALSE)</f>
        <v>21.827543225180921</v>
      </c>
      <c r="N20" s="396">
        <f>VLOOKUP($B20,'[7]Table 1'!$B$13:$G$40,6,FALSE)</f>
        <v>30.08530457364564</v>
      </c>
      <c r="O20" s="399">
        <f>VLOOKUP($B20,'[8]Table 1'!$B$13:$G$40,6,FALSE)</f>
        <v>9.3927690815664171</v>
      </c>
      <c r="P20" s="398">
        <f t="shared" si="4"/>
        <v>19.870681776575839</v>
      </c>
      <c r="Q20" s="396">
        <f t="shared" si="3"/>
        <v>-42.929807854474817</v>
      </c>
      <c r="R20" s="399">
        <f t="shared" ca="1" si="3"/>
        <v>-21.902349975957769</v>
      </c>
      <c r="S20" s="396"/>
      <c r="T20" s="396"/>
    </row>
    <row r="21" spans="1:20">
      <c r="B21" s="397">
        <f t="shared" si="5"/>
        <v>2037</v>
      </c>
      <c r="C21" s="398">
        <f>VLOOKUP($B21,'[1]Table 1'!$B$13:$G$37,6,FALSE)</f>
        <v>43.681556652044513</v>
      </c>
      <c r="D21" s="396">
        <f>VLOOKUP($B21,'[2]Table 1'!$B$13:$G$34,6,FALSE)</f>
        <v>-13.454868752679323</v>
      </c>
      <c r="E21" s="399">
        <f ca="1">VLOOKUP($B21,'Table 1'!$B$13:$G$42,6,FALSE)</f>
        <v>-11.148671820089106</v>
      </c>
      <c r="F21" s="396">
        <f>VLOOKUP($B21,'[3]Table 1'!$B$13:$G$33,6,FALSE)</f>
        <v>38.785458326986728</v>
      </c>
      <c r="G21" s="396">
        <f>VLOOKUP($B21,'[4]Table 1'!$B$13:$G$33,6,FALSE)</f>
        <v>-13.239641752953498</v>
      </c>
      <c r="H21" s="396">
        <f>VLOOKUP($B21,'[5]Table 1'!$B$13:$G$33,6,FALSE)</f>
        <v>-11.166452393269138</v>
      </c>
      <c r="I21" s="398">
        <f t="shared" si="0"/>
        <v>4.8960983250577854</v>
      </c>
      <c r="J21" s="396">
        <f t="shared" si="1"/>
        <v>-0.21522699972582515</v>
      </c>
      <c r="K21" s="399">
        <f t="shared" ca="1" si="2"/>
        <v>1.7780573180031567E-2</v>
      </c>
      <c r="L21" s="396"/>
      <c r="M21" s="398">
        <f>VLOOKUP($B21,'[6]Table 1'!$B$13:$G$40,6,FALSE)</f>
        <v>25.655632385618155</v>
      </c>
      <c r="N21" s="396">
        <f>VLOOKUP($B21,'[7]Table 1'!$B$13:$G$40,6,FALSE)</f>
        <v>27.634463565698425</v>
      </c>
      <c r="O21" s="399">
        <f>VLOOKUP($B21,'[8]Table 1'!$B$13:$G$40,6,FALSE)</f>
        <v>12.082600737389233</v>
      </c>
      <c r="P21" s="398">
        <f t="shared" si="4"/>
        <v>18.025924266426358</v>
      </c>
      <c r="Q21" s="396">
        <f t="shared" si="3"/>
        <v>-41.08933231837775</v>
      </c>
      <c r="R21" s="399">
        <f t="shared" ca="1" si="3"/>
        <v>-23.231272557478341</v>
      </c>
      <c r="S21" s="396"/>
      <c r="T21" s="396"/>
    </row>
    <row r="22" spans="1:20">
      <c r="B22" s="397">
        <f t="shared" si="5"/>
        <v>2038</v>
      </c>
      <c r="C22" s="398">
        <f>VLOOKUP($B22,'[1]Table 1'!$B$13:$G$37,6,FALSE)</f>
        <v>45.330821175727991</v>
      </c>
      <c r="D22" s="396">
        <f>VLOOKUP($B22,'[2]Table 1'!$B$13:$G$34,6,FALSE)</f>
        <v>-12.764479806282628</v>
      </c>
      <c r="E22" s="399">
        <f ca="1">VLOOKUP($B22,'Table 1'!$B$13:$G$42,6,FALSE)</f>
        <v>-9.7567782771803131</v>
      </c>
      <c r="F22" s="396">
        <f>VLOOKUP($B22,'[3]Table 1'!$B$13:$G$33,6,FALSE)</f>
        <v>41.131723498208885</v>
      </c>
      <c r="G22" s="396">
        <f>VLOOKUP($B22,'[4]Table 1'!$B$13:$G$33,6,FALSE)</f>
        <v>-11.917918657371088</v>
      </c>
      <c r="H22" s="396">
        <f>VLOOKUP($B22,'[5]Table 1'!$B$13:$G$33,6,FALSE)</f>
        <v>-9.8985461781717543</v>
      </c>
      <c r="I22" s="398">
        <f t="shared" si="0"/>
        <v>4.1990976775191058</v>
      </c>
      <c r="J22" s="396">
        <f t="shared" si="1"/>
        <v>-0.84656114891154033</v>
      </c>
      <c r="K22" s="399">
        <f t="shared" ca="1" si="2"/>
        <v>0.14176790099144121</v>
      </c>
      <c r="L22" s="396"/>
      <c r="M22" s="398">
        <f>VLOOKUP($B22,'[6]Table 1'!$B$13:$G$40,6,FALSE)</f>
        <v>27.320594641292086</v>
      </c>
      <c r="N22" s="396">
        <f>VLOOKUP($B22,'[7]Table 1'!$B$13:$G$40,6,FALSE)</f>
        <v>23.093500455138074</v>
      </c>
      <c r="O22" s="399">
        <f>VLOOKUP($B22,'[8]Table 1'!$B$13:$G$40,6,FALSE)</f>
        <v>49.242885494418339</v>
      </c>
      <c r="P22" s="398">
        <f t="shared" si="4"/>
        <v>18.010226534435905</v>
      </c>
      <c r="Q22" s="396">
        <f t="shared" si="3"/>
        <v>-35.8579802614207</v>
      </c>
      <c r="R22" s="399">
        <f t="shared" ca="1" si="3"/>
        <v>-58.999663771598648</v>
      </c>
      <c r="S22" s="396"/>
      <c r="T22" s="396"/>
    </row>
    <row r="23" spans="1:20">
      <c r="B23" s="397">
        <f t="shared" si="5"/>
        <v>2039</v>
      </c>
      <c r="C23" s="398">
        <f>VLOOKUP($B23,'[1]Table 1'!$B$13:$G$37,6,FALSE)</f>
        <v>46.470047752842959</v>
      </c>
      <c r="D23" s="396">
        <f>VLOOKUP($B23,'[2]Table 1'!$B$13:$G$34,6,FALSE)</f>
        <v>-12.76075328790542</v>
      </c>
      <c r="E23" s="399">
        <f ca="1">VLOOKUP($B23,'Table 1'!$B$13:$G$42,6,FALSE)</f>
        <v>45.274744185631057</v>
      </c>
      <c r="F23" s="396">
        <f>VLOOKUP($B23,'[3]Table 1'!$B$13:$G$33,6,FALSE)</f>
        <v>42.076758405342197</v>
      </c>
      <c r="G23" s="396">
        <f>VLOOKUP($B23,'[4]Table 1'!$B$13:$G$33,6,FALSE)</f>
        <v>-12.380937370628997</v>
      </c>
      <c r="H23" s="396">
        <f>VLOOKUP($B23,'[5]Table 1'!$B$13:$G$33,6,FALSE)</f>
        <v>44.028311333928961</v>
      </c>
      <c r="I23" s="398">
        <f t="shared" si="0"/>
        <v>4.3932893475007617</v>
      </c>
      <c r="J23" s="396">
        <f t="shared" si="1"/>
        <v>-0.37981591727642261</v>
      </c>
      <c r="K23" s="399">
        <f t="shared" ca="1" si="2"/>
        <v>1.2464328517020959</v>
      </c>
      <c r="L23" s="396"/>
      <c r="M23" s="398">
        <f>VLOOKUP($B23,'[6]Table 1'!$B$13:$G$40,6,FALSE)</f>
        <v>29.057651929227944</v>
      </c>
      <c r="N23" s="396">
        <f>VLOOKUP($B23,'[7]Table 1'!$B$13:$G$40,6,FALSE)</f>
        <v>20.917929138314445</v>
      </c>
      <c r="O23" s="399">
        <f>VLOOKUP($B23,'[8]Table 1'!$B$13:$G$40,6,FALSE)</f>
        <v>50.954328661271944</v>
      </c>
      <c r="P23" s="398">
        <f t="shared" si="4"/>
        <v>17.412395823615014</v>
      </c>
      <c r="Q23" s="396">
        <f t="shared" si="3"/>
        <v>-33.678682426219865</v>
      </c>
      <c r="R23" s="399">
        <f t="shared" ca="1" si="3"/>
        <v>-5.6795844756408869</v>
      </c>
      <c r="S23" s="396"/>
      <c r="T23" s="396"/>
    </row>
    <row r="24" spans="1:20">
      <c r="B24" s="397">
        <f t="shared" si="5"/>
        <v>2040</v>
      </c>
      <c r="C24" s="398">
        <f>VLOOKUP($B24,'[1]Table 1'!$B$13:$G$37,6,FALSE)</f>
        <v>47.18582038457221</v>
      </c>
      <c r="D24" s="396">
        <f>VLOOKUP($B24,'[2]Table 1'!$B$13:$G$34,6,FALSE)</f>
        <v>-14.257465348842977</v>
      </c>
      <c r="E24" s="399">
        <f ca="1">VLOOKUP($B24,'Table 1'!$B$13:$G$42,6,FALSE)</f>
        <v>44.467979552351807</v>
      </c>
      <c r="F24" s="396">
        <f>VLOOKUP($B24,'[3]Table 1'!$B$13:$G$33,6,FALSE)</f>
        <v>43.501923350057048</v>
      </c>
      <c r="G24" s="396">
        <f>VLOOKUP($B24,'[4]Table 1'!$B$13:$G$33,6,FALSE)</f>
        <v>-13.614416200823602</v>
      </c>
      <c r="H24" s="396">
        <f>VLOOKUP($B24,'[5]Table 1'!$B$13:$G$33,6,FALSE)</f>
        <v>45.800997222212565</v>
      </c>
      <c r="I24" s="398">
        <f t="shared" si="0"/>
        <v>3.6838970345151623</v>
      </c>
      <c r="J24" s="396">
        <f t="shared" si="1"/>
        <v>-0.64304914801937585</v>
      </c>
      <c r="K24" s="399">
        <f t="shared" ca="1" si="2"/>
        <v>-1.3330176698607588</v>
      </c>
      <c r="L24" s="396"/>
      <c r="M24" s="398">
        <f>VLOOKUP($B24,'[6]Table 1'!$B$13:$G$40,6,FALSE)</f>
        <v>30.987905149412551</v>
      </c>
      <c r="N24" s="396">
        <f>VLOOKUP($B24,'[7]Table 1'!$B$13:$G$40,6,FALSE)</f>
        <v>19.819441942873667</v>
      </c>
      <c r="O24" s="399">
        <f>VLOOKUP($B24,'[8]Table 1'!$B$13:$G$40,6,FALSE)</f>
        <v>53.685290657681286</v>
      </c>
      <c r="P24" s="398">
        <f t="shared" si="4"/>
        <v>16.197915235159659</v>
      </c>
      <c r="Q24" s="396">
        <f t="shared" si="3"/>
        <v>-34.076907291716644</v>
      </c>
      <c r="R24" s="399">
        <f t="shared" ca="1" si="3"/>
        <v>-9.2173111053294789</v>
      </c>
      <c r="S24" s="396"/>
      <c r="T24" s="396"/>
    </row>
    <row r="25" spans="1:20">
      <c r="B25" s="397">
        <f t="shared" si="5"/>
        <v>2041</v>
      </c>
      <c r="C25" s="398">
        <f>VLOOKUP($B25,'[1]Table 1'!$B$13:$G$37,6,FALSE)</f>
        <v>49.182183714212734</v>
      </c>
      <c r="D25" s="396">
        <f>VLOOKUP($B25,'[2]Table 1'!$B$13:$G$34,6,FALSE)</f>
        <v>47.869066078917093</v>
      </c>
      <c r="E25" s="399">
        <f ca="1">VLOOKUP($B25,'Table 1'!$B$13:$G$42,6,FALSE)</f>
        <v>44.118205934847794</v>
      </c>
      <c r="F25" s="396">
        <f>VLOOKUP($B25,'[3]Table 1'!$B$13:$G$33,6,FALSE)</f>
        <v>46.285846450254333</v>
      </c>
      <c r="G25" s="396">
        <f>VLOOKUP($B25,'[4]Table 1'!$B$13:$G$33,6,FALSE)</f>
        <v>48.609147902633914</v>
      </c>
      <c r="H25" s="396">
        <f>VLOOKUP($B25,'[5]Table 1'!$B$13:$G$33,6,FALSE)</f>
        <v>44.671521791934715</v>
      </c>
      <c r="I25" s="398">
        <f t="shared" si="0"/>
        <v>2.8963372639584009</v>
      </c>
      <c r="J25" s="396">
        <f t="shared" si="1"/>
        <v>-0.74008182371682096</v>
      </c>
      <c r="K25" s="399">
        <f t="shared" ca="1" si="2"/>
        <v>-0.55331585708692188</v>
      </c>
      <c r="L25" s="396"/>
      <c r="M25" s="398">
        <f>VLOOKUP($B25,'[6]Table 1'!$B$13:$G$40,6,FALSE)</f>
        <v>34.684936374969276</v>
      </c>
      <c r="N25" s="396">
        <f>VLOOKUP($B25,'[7]Table 1'!$B$13:$G$40,6,FALSE)</f>
        <v>21.377345964575809</v>
      </c>
      <c r="O25" s="399">
        <f>VLOOKUP($B25,'[8]Table 1'!$B$13:$G$40,6,FALSE)</f>
        <v>56.27241480336864</v>
      </c>
      <c r="P25" s="398">
        <f t="shared" si="4"/>
        <v>14.497247339243458</v>
      </c>
      <c r="Q25" s="396">
        <f t="shared" si="3"/>
        <v>26.491720114341284</v>
      </c>
      <c r="R25" s="399">
        <f t="shared" ca="1" si="3"/>
        <v>-12.154208868520847</v>
      </c>
      <c r="S25" s="396"/>
      <c r="T25" s="396"/>
    </row>
    <row r="26" spans="1:20">
      <c r="B26" s="400">
        <f t="shared" si="5"/>
        <v>2042</v>
      </c>
      <c r="C26" s="401">
        <f>VLOOKUP($B26,'[1]Table 1'!$B$13:$G$37,6,FALSE)</f>
        <v>54.141931335827387</v>
      </c>
      <c r="D26" s="402">
        <f>VLOOKUP($B26,'[2]Table 1'!$B$13:$G$34,6,FALSE)</f>
        <v>49.088785813791404</v>
      </c>
      <c r="E26" s="403">
        <f ca="1">VLOOKUP($B26,'Table 1'!$B$13:$G$42,6,FALSE)</f>
        <v>46.272923199369181</v>
      </c>
      <c r="F26" s="402">
        <f>VLOOKUP($B26,'[3]Table 1'!$B$13:$G$33,6,FALSE)</f>
        <v>51.236293297766871</v>
      </c>
      <c r="G26" s="402">
        <f>VLOOKUP($B26,'[4]Table 1'!$B$13:$G$33,6,FALSE)</f>
        <v>47.397217674534808</v>
      </c>
      <c r="H26" s="402">
        <f>VLOOKUP($B26,'[5]Table 1'!$B$13:$G$33,6,FALSE)</f>
        <v>47.050617260672631</v>
      </c>
      <c r="I26" s="401">
        <f t="shared" si="0"/>
        <v>2.9056380380605162</v>
      </c>
      <c r="J26" s="402">
        <f t="shared" si="1"/>
        <v>1.6915681392565958</v>
      </c>
      <c r="K26" s="403">
        <f t="shared" ca="1" si="2"/>
        <v>-0.77769406130344976</v>
      </c>
      <c r="L26" s="402"/>
      <c r="M26" s="401">
        <f>VLOOKUP($B26,'[6]Table 1'!$B$13:$G$40,6,FALSE)</f>
        <v>44.732126878559036</v>
      </c>
      <c r="N26" s="402">
        <f>VLOOKUP($B26,'[7]Table 1'!$B$13:$G$40,6,FALSE)</f>
        <v>71.594725483974401</v>
      </c>
      <c r="O26" s="403">
        <f>VLOOKUP($B26,'[8]Table 1'!$B$13:$G$40,6,FALSE)</f>
        <v>65.126478049629341</v>
      </c>
      <c r="P26" s="401">
        <f t="shared" si="4"/>
        <v>9.4098044572683506</v>
      </c>
      <c r="Q26" s="402">
        <f t="shared" si="3"/>
        <v>-22.505939670182997</v>
      </c>
      <c r="R26" s="403">
        <f t="shared" ca="1" si="3"/>
        <v>-18.85355485026016</v>
      </c>
      <c r="S26" s="396"/>
      <c r="T26" s="396"/>
    </row>
    <row r="27" spans="1:20">
      <c r="S27" s="396"/>
    </row>
    <row r="28" spans="1:20">
      <c r="B28" s="44" t="s">
        <v>328</v>
      </c>
    </row>
    <row r="29" spans="1:20">
      <c r="A29" t="s">
        <v>329</v>
      </c>
      <c r="B29" s="404" t="s">
        <v>31</v>
      </c>
      <c r="C29" s="396">
        <f>ROUND('[1]Table 1'!$G$57,2)</f>
        <v>37.4</v>
      </c>
      <c r="D29" s="396">
        <f>ROUND('[2]Table 1'!$G$57,2)</f>
        <v>2.93</v>
      </c>
      <c r="E29" s="396">
        <f ca="1">ROUND('Table 1'!$G$57,2)</f>
        <v>4.9000000000000004</v>
      </c>
      <c r="F29" s="396">
        <f>ROUND('[3]Table 1'!$G$55,2)</f>
        <v>36.82</v>
      </c>
      <c r="G29" s="396">
        <f>ROUND('[4]Table 1'!$G$55,2)</f>
        <v>3.84</v>
      </c>
      <c r="H29" s="396">
        <f>ROUND('[5]Table 1'!$G$55,2)</f>
        <v>5.52</v>
      </c>
      <c r="I29" s="396">
        <f>C29-F29</f>
        <v>0.57999999999999829</v>
      </c>
      <c r="J29" s="396">
        <f>D29-G29</f>
        <v>-0.9099999999999997</v>
      </c>
      <c r="K29" s="396">
        <f ca="1">E29-H29</f>
        <v>-0.61999999999999922</v>
      </c>
      <c r="L29" s="396"/>
      <c r="M29" s="396">
        <f>ROUND('[6]Table 1'!$G$50,2)</f>
        <v>31.68</v>
      </c>
      <c r="N29" s="396">
        <f>ROUND('[7]Table 1'!$G$50,2)</f>
        <v>25.4</v>
      </c>
      <c r="O29" s="396">
        <f>ROUND('[8]Table 1'!$G$50,2)</f>
        <v>16.48</v>
      </c>
      <c r="P29" s="396">
        <f t="shared" ref="P29:R29" si="6">C29-M29</f>
        <v>5.7199999999999989</v>
      </c>
      <c r="Q29" s="396">
        <f t="shared" si="6"/>
        <v>-22.47</v>
      </c>
      <c r="R29" s="396">
        <f t="shared" ca="1" si="6"/>
        <v>-11.58</v>
      </c>
      <c r="S29" s="405"/>
      <c r="T29" s="405"/>
    </row>
    <row r="30" spans="1:20" ht="17.25" customHeight="1">
      <c r="B30" s="406"/>
      <c r="C30" s="396"/>
      <c r="D30" s="396"/>
      <c r="E30" s="396"/>
      <c r="F30" s="396"/>
      <c r="G30" s="396"/>
      <c r="H30" s="396"/>
      <c r="I30" s="407">
        <f>I29/F29</f>
        <v>1.5752308527973879E-2</v>
      </c>
      <c r="J30" s="407">
        <f>J29/G29</f>
        <v>-0.2369791666666666</v>
      </c>
      <c r="K30" s="407">
        <f ca="1">K29/H29</f>
        <v>-0.11231884057971001</v>
      </c>
      <c r="L30" s="407"/>
      <c r="M30" s="396"/>
      <c r="N30" s="396"/>
      <c r="O30" s="396"/>
      <c r="P30" s="407">
        <f>P29/M29</f>
        <v>0.18055555555555552</v>
      </c>
      <c r="Q30" s="407">
        <f t="shared" ref="Q30:R30" si="7">Q29/N29</f>
        <v>-0.88464566929133859</v>
      </c>
      <c r="R30" s="407">
        <f t="shared" ca="1" si="7"/>
        <v>-0.70266990291262132</v>
      </c>
    </row>
    <row r="31" spans="1:20">
      <c r="A31" t="s">
        <v>330</v>
      </c>
      <c r="B31" s="404" t="s">
        <v>31</v>
      </c>
      <c r="C31" s="396">
        <f>ROUND('[1]Table 1'!$G$62,2)</f>
        <v>38.950000000000003</v>
      </c>
      <c r="D31" s="396">
        <f>ROUND('[2]Table 1'!$G$62,2)</f>
        <v>3.12</v>
      </c>
      <c r="E31" s="396">
        <f ca="1">ROUND('Table 1'!$G$62,2)</f>
        <v>4.83</v>
      </c>
      <c r="F31" s="396">
        <f>ROUND('[3]Table 1'!$G$60,2)</f>
        <v>37.78</v>
      </c>
      <c r="G31" s="396">
        <f>ROUND('[4]Table 1'!$G$60,2)</f>
        <v>3.87</v>
      </c>
      <c r="H31" s="396">
        <f>ROUND('[5]Table 1'!$G$60,2)</f>
        <v>5.19</v>
      </c>
      <c r="I31" s="396">
        <f>C31-F31</f>
        <v>1.1700000000000017</v>
      </c>
      <c r="J31" s="396">
        <f>D31-G31</f>
        <v>-0.75</v>
      </c>
      <c r="K31" s="396">
        <f ca="1">E31-H31</f>
        <v>-0.36000000000000032</v>
      </c>
      <c r="L31" s="396"/>
      <c r="M31" s="396">
        <f>ROUND('[6]Table 1'!$G$55,2)</f>
        <v>32.21</v>
      </c>
      <c r="N31" s="396">
        <f>ROUND('[7]Table 1'!$G$55,2)</f>
        <v>26.07</v>
      </c>
      <c r="O31" s="396">
        <f>ROUND('[8]Table 1'!$G$55,2)</f>
        <v>17.739999999999998</v>
      </c>
      <c r="P31" s="396">
        <f t="shared" ref="P31:R31" si="8">C31-M31</f>
        <v>6.740000000000002</v>
      </c>
      <c r="Q31" s="396">
        <f t="shared" si="8"/>
        <v>-22.95</v>
      </c>
      <c r="R31" s="396">
        <f t="shared" ca="1" si="8"/>
        <v>-12.909999999999998</v>
      </c>
      <c r="S31" s="405"/>
      <c r="T31" s="405"/>
    </row>
    <row r="32" spans="1:20" ht="17.25" customHeight="1">
      <c r="B32" s="406"/>
      <c r="C32" s="396"/>
      <c r="D32" s="396"/>
      <c r="E32" s="396"/>
      <c r="F32" s="396"/>
      <c r="G32" s="396"/>
      <c r="H32" s="396"/>
      <c r="I32" s="407">
        <f>I31/F31</f>
        <v>3.0968766543144566E-2</v>
      </c>
      <c r="J32" s="407">
        <f>J31/G31</f>
        <v>-0.19379844961240308</v>
      </c>
      <c r="K32" s="407">
        <f ca="1">K31/H31</f>
        <v>-6.9364161849711045E-2</v>
      </c>
      <c r="L32" s="407"/>
      <c r="M32" s="396"/>
      <c r="N32" s="396"/>
      <c r="O32" s="396"/>
      <c r="P32" s="407">
        <f t="shared" ref="P32:R32" si="9">P31/M31</f>
        <v>0.20925178515988829</v>
      </c>
      <c r="Q32" s="407">
        <f t="shared" si="9"/>
        <v>-0.88032220943613348</v>
      </c>
      <c r="R32" s="407">
        <f t="shared" ca="1" si="9"/>
        <v>-0.72773393461104841</v>
      </c>
    </row>
    <row r="33" spans="1:16">
      <c r="A33"/>
      <c r="B33" s="404"/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396"/>
      <c r="N33" s="396"/>
      <c r="O33" s="396"/>
      <c r="P33" s="413"/>
    </row>
    <row r="34" spans="1:16" ht="17.25" customHeight="1">
      <c r="B34" s="406"/>
      <c r="C34" s="396"/>
      <c r="D34" s="396"/>
      <c r="E34" s="396"/>
      <c r="F34" s="396"/>
      <c r="G34" s="396"/>
      <c r="H34" s="396"/>
      <c r="I34" s="407"/>
      <c r="J34" s="407"/>
      <c r="K34" s="407"/>
      <c r="L34" s="407"/>
      <c r="M34" s="396"/>
      <c r="N34" s="396"/>
      <c r="O34" s="396"/>
      <c r="P34" s="413"/>
    </row>
    <row r="35" spans="1:16" ht="10.5" customHeight="1">
      <c r="B35" s="404"/>
      <c r="C35" s="396"/>
      <c r="D35" s="396"/>
      <c r="E35" s="396"/>
      <c r="F35" s="396"/>
      <c r="G35" s="396"/>
      <c r="H35" s="396"/>
      <c r="I35" s="396"/>
      <c r="J35" s="396"/>
      <c r="K35" s="396"/>
      <c r="L35" s="396"/>
      <c r="M35" s="396"/>
      <c r="N35" s="396"/>
      <c r="O35" s="396"/>
    </row>
    <row r="36" spans="1:16" ht="5.25" customHeight="1"/>
    <row r="37" spans="1:16">
      <c r="B37" s="43" t="s">
        <v>331</v>
      </c>
      <c r="C37" s="408"/>
      <c r="D37" s="408"/>
      <c r="E37" s="408"/>
      <c r="F37" s="408"/>
      <c r="G37" s="408"/>
      <c r="H37" s="408"/>
      <c r="I37" s="409"/>
      <c r="J37" s="409"/>
      <c r="K37" s="409"/>
      <c r="L37" s="409"/>
      <c r="M37" s="408"/>
      <c r="N37" s="408"/>
      <c r="O37" s="408"/>
    </row>
    <row r="38" spans="1:16">
      <c r="B38" s="41" t="s">
        <v>332</v>
      </c>
      <c r="C38" s="408"/>
      <c r="D38" s="408"/>
      <c r="E38" s="408"/>
      <c r="F38" s="408"/>
      <c r="G38" s="408"/>
      <c r="H38" s="408"/>
      <c r="I38" s="409"/>
      <c r="J38" s="409"/>
      <c r="K38" s="409"/>
      <c r="L38" s="409"/>
      <c r="M38" s="408"/>
      <c r="N38" s="408"/>
      <c r="O38" s="408"/>
    </row>
    <row r="39" spans="1:16">
      <c r="B39" s="410" t="str">
        <f>"(2)   Total Avoided Costs with Capacity, based on stated CF"</f>
        <v>(2)   Total Avoided Costs with Capacity, based on stated CF</v>
      </c>
    </row>
    <row r="40" spans="1:16">
      <c r="B40" s="43" t="str">
        <f>"(3)   15-Years: "&amp;B10&amp;" - "&amp;B24&amp;", levelized monthly"</f>
        <v>(3)   15-Years: 2026 - 2040, levelized monthly</v>
      </c>
    </row>
    <row r="41" spans="1:16">
      <c r="B41" s="9"/>
    </row>
    <row r="42" spans="1:16">
      <c r="B42" s="9"/>
    </row>
    <row r="43" spans="1:16">
      <c r="B43" s="9"/>
    </row>
    <row r="44" spans="1:16" hidden="1"/>
    <row r="45" spans="1:16">
      <c r="C45" s="396"/>
      <c r="D45" s="396"/>
      <c r="E45" s="396"/>
      <c r="F45" s="396"/>
      <c r="G45" s="396"/>
      <c r="H45" s="396"/>
      <c r="M45" s="396"/>
      <c r="N45" s="396"/>
      <c r="O45" s="396"/>
    </row>
    <row r="47" spans="1:16"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</row>
  </sheetData>
  <mergeCells count="6">
    <mergeCell ref="P9:R9"/>
    <mergeCell ref="B1:K1"/>
    <mergeCell ref="C9:E9"/>
    <mergeCell ref="F9:H9"/>
    <mergeCell ref="I9:K9"/>
    <mergeCell ref="M9:O9"/>
  </mergeCells>
  <conditionalFormatting sqref="I10:L26">
    <cfRule type="expression" dxfId="9" priority="7">
      <formula>ISNA(#REF!)</formula>
    </cfRule>
  </conditionalFormatting>
  <conditionalFormatting sqref="P10:Q26">
    <cfRule type="expression" dxfId="8" priority="6">
      <formula>ISNA(#REF!)</formula>
    </cfRule>
  </conditionalFormatting>
  <conditionalFormatting sqref="P29:Q29">
    <cfRule type="expression" dxfId="7" priority="4">
      <formula>ISNA(#REF!)</formula>
    </cfRule>
  </conditionalFormatting>
  <conditionalFormatting sqref="P31:Q31">
    <cfRule type="expression" dxfId="6" priority="2">
      <formula>ISNA(#REF!)</formula>
    </cfRule>
  </conditionalFormatting>
  <conditionalFormatting sqref="R10:R26">
    <cfRule type="expression" dxfId="5" priority="5">
      <formula>ISNA(M10)</formula>
    </cfRule>
  </conditionalFormatting>
  <conditionalFormatting sqref="R29">
    <cfRule type="expression" dxfId="4" priority="3">
      <formula>ISNA(M29)</formula>
    </cfRule>
  </conditionalFormatting>
  <conditionalFormatting sqref="R31">
    <cfRule type="expression" dxfId="3" priority="1">
      <formula>ISNA(M31)</formula>
    </cfRule>
  </conditionalFormatting>
  <printOptions horizontalCentered="1"/>
  <pageMargins left="0.25" right="0.25" top="0.75" bottom="0.75" header="0.3" footer="0.3"/>
  <pageSetup scale="54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2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2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2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2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2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2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2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2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2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2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2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2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2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2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tabColor rgb="FFFFFF00"/>
    <pageSetUpPr fitToPage="1"/>
  </sheetPr>
  <dimension ref="B1:AC89"/>
  <sheetViews>
    <sheetView topLeftCell="A29" workbookViewId="0">
      <selection activeCell="C38" sqref="C3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Assumptions'!$E$371:$E$394,'PV_.PX.NTN._.PTC.2031'!$B16-2023,1)</f>
        <v>23.863747481640001</v>
      </c>
      <c r="F16" s="237"/>
      <c r="G16" s="70">
        <f t="shared" ref="G16:G46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46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Assumptions'!$E$371:$E$394,'PV_.PX.NTN._.PTC.2031'!$B17-2023,1)/INDEX('2025 IRP Assumptions'!$E$371:$E$394,'PV_.PX.NTN._.PTC.2031'!$B17-2023-1,1)</f>
        <v>78.587932386487694</v>
      </c>
      <c r="E17" s="69" cm="1">
        <f t="array" ref="E17">$E$9*INDEX('2025 IRP Assumptions'!$E$371:$E$394,'PV_.PX.NTN._.PTC.2031'!$B17-2023,1)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Assumptions'!$E$371:$E$394,'PV_.PX.NTN._.PTC.2031'!$B18-2023,1)/INDEX('2025 IRP Assumptions'!$E$371:$E$394,'PV_.PX.NTN._.PTC.2031'!$B18-2023-1,1)</f>
        <v>80.301149313452228</v>
      </c>
      <c r="E18" s="69" cm="1">
        <f t="array" ref="E18">$E$9*INDEX('2025 IRP Assumptions'!$E$371:$E$394,'PV_.PX.NTN._.PTC.2031'!$B18-2023,1)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Assumptions'!$E$371:$E$394,'PV_.PX.NTN._.PTC.2031'!$B19-2023,1)/INDEX('2025 IRP Assumptions'!$E$371:$E$394,'PV_.PX.NTN._.PTC.2031'!$B19-2023-1,1)</f>
        <v>82.051714428350522</v>
      </c>
      <c r="E19" s="69" cm="1">
        <f t="array" ref="E19">$E$9*INDEX('2025 IRP Assumptions'!$E$371:$E$394,'PV_.PX.NTN._.PTC.2031'!$B19-2023,1)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Assumptions'!$E$371:$E$394,'PV_.PX.NTN._.PTC.2031'!$B20-2023,1)/INDEX('2025 IRP Assumptions'!$E$371:$E$394,'PV_.PX.NTN._.PTC.2031'!$B20-2023-1,1)</f>
        <v>83.840441781870993</v>
      </c>
      <c r="E20" s="69" cm="1">
        <f t="array" ref="E20">$E$9*INDEX('2025 IRP Assumptions'!$E$371:$E$394,'PV_.PX.NTN._.PTC.2031'!$B20-2023,1)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Assumptions'!$E$371:$E$394,'PV_.PX.NTN._.PTC.2031'!$B21-2023,1)/INDEX('2025 IRP Assumptions'!$E$371:$E$394,'PV_.PX.NTN._.PTC.2031'!$B21-2023-1,1)</f>
        <v>85.668163413310992</v>
      </c>
      <c r="E21" s="69" cm="1">
        <f t="array" ref="E21">$E$9*INDEX('2025 IRP Assumptions'!$E$371:$E$394,'PV_.PX.NTN._.PTC.2031'!$B21-2023,1)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Assumptions'!$E$371:$E$394,'PV_.PX.NTN._.PTC.2031'!$B22-2023,1)/INDEX('2025 IRP Assumptions'!$E$371:$E$394,'PV_.PX.NTN._.PTC.2031'!$B22-2023-1,1)</f>
        <v>87.535729350576801</v>
      </c>
      <c r="E22" s="69" cm="1">
        <f t="array" ref="E22">$E$9*INDEX('2025 IRP Assumptions'!$E$371:$E$394,'PV_.PX.NTN._.PTC.2031'!$B22-2023,1)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Assumptions'!$E$371:$E$394,'PV_.PX.NTN._.PTC.2031'!$B23-2023,1)/INDEX('2025 IRP Assumptions'!$E$371:$E$394,'PV_.PX.NTN._.PTC.2031'!$B23-2023-1,1)</f>
        <v>89.44400827152954</v>
      </c>
      <c r="E23" s="69" cm="1">
        <f t="array" ref="E23">$E$9*INDEX('2025 IRP Assumptions'!$E$371:$E$394,'PV_.PX.NTN._.PTC.2031'!$B23-2023,1)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Assumptions'!$E$371:$E$394,'PV_.PX.NTN._.PTC.2031'!$B24-2023,1)/INDEX('2025 IRP Assumptions'!$E$371:$E$394,'PV_.PX.NTN._.PTC.2031'!$B24-2023-1,1)</f>
        <v>91.393887636254348</v>
      </c>
      <c r="E24" s="69" cm="1">
        <f t="array" ref="E24">$E$9*INDEX('2025 IRP Assumptions'!$E$371:$E$394,'PV_.PX.NTN._.PTC.2031'!$B24-2023,1)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Assumptions'!$E$371:$E$394,'PV_.PX.NTN._.PTC.2031'!$B25-2023,1)/INDEX('2025 IRP Assumptions'!$E$371:$E$394,'PV_.PX.NTN._.PTC.2031'!$B25-2023-1,1)</f>
        <v>93.386274414540893</v>
      </c>
      <c r="E25" s="69" cm="1">
        <f t="array" ref="E25">$E$9*INDEX('2025 IRP Assumptions'!$E$371:$E$394,'PV_.PX.NTN._.PTC.2031'!$B25-2023,1)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Assumptions'!$E$371:$E$394,'PV_.PX.NTN._.PTC.2031'!$B26-2023,1)/INDEX('2025 IRP Assumptions'!$E$371:$E$394,'PV_.PX.NTN._.PTC.2031'!$B26-2023-1,1)</f>
        <v>95.422095152017988</v>
      </c>
      <c r="E26" s="69" cm="1">
        <f t="array" ref="E26">$E$9*INDEX('2025 IRP Assumptions'!$E$371:$E$394,'PV_.PX.NTN._.PTC.2031'!$B26-2023,1)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Assumptions'!$E$371:$E$394,'PV_.PX.NTN._.PTC.2031'!$B27-2023,1)/INDEX('2025 IRP Assumptions'!$E$371:$E$394,'PV_.PX.NTN._.PTC.2031'!$B27-2023-1,1)</f>
        <v>97.502296829903244</v>
      </c>
      <c r="E27" s="69" cm="1">
        <f t="array" ref="E27">$E$9*INDEX('2025 IRP Assumptions'!$E$371:$E$394,'PV_.PX.NTN._.PTC.2031'!$B27-2023,1)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Assumptions'!$E$371:$E$394,'PV_.PX.NTN._.PTC.2031'!$B28-2023,1)/INDEX('2025 IRP Assumptions'!$E$371:$E$394,'PV_.PX.NTN._.PTC.2031'!$B28-2023-1,1)</f>
        <v>99.627846931137697</v>
      </c>
      <c r="E28" s="69" cm="1">
        <f t="array" ref="E28">$E$9*INDEX('2025 IRP Assumptions'!$E$371:$E$394,'PV_.PX.NTN._.PTC.2031'!$B28-2023,1)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Assumptions'!$E$371:$E$394,'PV_.PX.NTN._.PTC.2031'!$B29-2023,1)/INDEX('2025 IRP Assumptions'!$E$371:$E$394,'PV_.PX.NTN._.PTC.2031'!$B29-2023-1,1)</f>
        <v>101.79973396946248</v>
      </c>
      <c r="E29" s="69" cm="1">
        <f t="array" ref="E29">$E$9*INDEX('2025 IRP Assumptions'!$E$371:$E$394,'PV_.PX.NTN._.PTC.2031'!$B29-2023,1)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Assumptions'!$E$371:$E$394,'PV_.PX.NTN._.PTC.2031'!$B30-2023,1)/INDEX('2025 IRP Assumptions'!$E$371:$E$394,'PV_.PX.NTN._.PTC.2031'!$B30-2023-1,1)</f>
        <v>104.01896821689942</v>
      </c>
      <c r="E30" s="69" cm="1">
        <f t="array" ref="E30">$E$9*INDEX('2025 IRP Assumptions'!$E$371:$E$394,'PV_.PX.NTN._.PTC.2031'!$B30-2023,1)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Assumptions'!$E$371:$E$394,'PV_.PX.NTN._.PTC.2031'!$B31-2023,1)/INDEX('2025 IRP Assumptions'!$E$371:$E$394,'PV_.PX.NTN._.PTC.2031'!$B31-2023-1,1)</f>
        <v>106.28658170375095</v>
      </c>
      <c r="E31" s="69" cm="1">
        <f t="array" ref="E31">$E$9*INDEX('2025 IRP Assumptions'!$E$371:$E$394,'PV_.PX.NTN._.PTC.2031'!$B31-2023,1)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Assumptions'!$E$371:$E$394,'PV_.PX.NTN._.PTC.2031'!$B32-2023,1)/INDEX('2025 IRP Assumptions'!$E$371:$E$394,'PV_.PX.NTN._.PTC.2031'!$B32-2023-1,1)</f>
        <v>108.6036291444845</v>
      </c>
      <c r="E32" s="69" cm="1">
        <f t="array" ref="E32">$E$9*INDEX('2025 IRP Assumptions'!$E$371:$E$394,'PV_.PX.NTN._.PTC.2031'!$B32-2023,1)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2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2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2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58.60742721528198</v>
      </c>
      <c r="H36" s="69"/>
      <c r="I36" s="322"/>
      <c r="J36" s="70">
        <f t="shared" ref="J36:J45" si="8">(G36+H36+I36)</f>
        <v>58.60742721528198</v>
      </c>
      <c r="K36" s="70">
        <f t="shared" si="3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59.885069106293642</v>
      </c>
      <c r="H37" s="69"/>
      <c r="I37" s="322"/>
      <c r="J37" s="70">
        <f t="shared" si="8"/>
        <v>59.885069106293642</v>
      </c>
      <c r="K37" s="70">
        <f t="shared" si="3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61.190563590043631</v>
      </c>
      <c r="H38" s="69"/>
      <c r="I38" s="322"/>
      <c r="J38" s="70">
        <f t="shared" si="8"/>
        <v>61.190563590043631</v>
      </c>
      <c r="K38" s="70">
        <f t="shared" si="3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62.524517853043044</v>
      </c>
      <c r="H39" s="69"/>
      <c r="I39" s="322"/>
      <c r="J39" s="70">
        <f t="shared" si="8"/>
        <v>62.524517853043044</v>
      </c>
      <c r="K39" s="70">
        <f t="shared" si="3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63.8875523184687</v>
      </c>
      <c r="H40" s="69"/>
      <c r="I40" s="322"/>
      <c r="J40" s="70">
        <f t="shared" si="8"/>
        <v>63.8875523184687</v>
      </c>
      <c r="K40" s="70">
        <f t="shared" si="3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65.280300934722433</v>
      </c>
      <c r="H41" s="69"/>
      <c r="I41" s="322"/>
      <c r="J41" s="70">
        <f t="shared" si="8"/>
        <v>65.280300934722433</v>
      </c>
      <c r="K41" s="70">
        <f t="shared" si="3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66.703411470281011</v>
      </c>
      <c r="H42" s="69"/>
      <c r="I42" s="322"/>
      <c r="J42" s="70">
        <f t="shared" si="8"/>
        <v>66.703411470281011</v>
      </c>
      <c r="K42" s="70">
        <f t="shared" si="3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68.157545814973716</v>
      </c>
      <c r="H43" s="69"/>
      <c r="I43" s="322"/>
      <c r="J43" s="70">
        <f t="shared" si="8"/>
        <v>68.157545814973716</v>
      </c>
      <c r="K43" s="70">
        <f t="shared" si="3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69.643380287827881</v>
      </c>
      <c r="H44" s="69"/>
      <c r="I44" s="322"/>
      <c r="J44" s="70">
        <f t="shared" si="8"/>
        <v>69.643380287827881</v>
      </c>
      <c r="K44" s="70">
        <f t="shared" si="3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71.161605951625376</v>
      </c>
      <c r="H45" s="69"/>
      <c r="I45" s="322"/>
      <c r="J45" s="70">
        <f t="shared" si="8"/>
        <v>71.161605951625376</v>
      </c>
      <c r="K45" s="70">
        <f t="shared" si="3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72.712928934316452</v>
      </c>
      <c r="H46" s="69"/>
      <c r="I46" s="322"/>
      <c r="J46" s="70">
        <f t="shared" ref="J46" si="19">(G46+H46+I46)</f>
        <v>72.712928934316452</v>
      </c>
      <c r="K46" s="70">
        <f t="shared" si="3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15.554983611854865</v>
      </c>
      <c r="K48" s="70">
        <f>-PMT(Discount_Rate,COUNT(K$16:K$40),NPV(Discount_Rate,K$16:K$40))</f>
        <v>41.170503669246266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6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3">
        <v>0.29953247911654929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6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1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7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8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8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11" zoomScale="70" zoomScaleNormal="80" zoomScaleSheetLayoutView="70" workbookViewId="0">
      <selection activeCell="B1" sqref="B1:K1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QF - Sch38 - UT - Wind - 80.0 MW and 30.4% CF</v>
      </c>
      <c r="C5" s="4"/>
      <c r="D5" s="4"/>
      <c r="E5" s="4"/>
      <c r="F5" s="4"/>
      <c r="G5" s="1"/>
      <c r="H5" s="33"/>
      <c r="P5" s="313">
        <v>0.39343474255914024</v>
      </c>
      <c r="Q5" s="313">
        <v>0.39343474255914024</v>
      </c>
      <c r="R5" s="313">
        <v>0.39343474255914024</v>
      </c>
      <c r="S5" s="313">
        <v>0.25792015761805415</v>
      </c>
      <c r="T5" s="313">
        <v>0.25792015761805415</v>
      </c>
      <c r="U5" s="313">
        <v>0.25792015761805415</v>
      </c>
      <c r="V5" s="313">
        <v>7.3718070273303168E-2</v>
      </c>
      <c r="W5" s="313">
        <v>7.1826765155882377E-2</v>
      </c>
      <c r="X5" s="313">
        <v>0.10785249233276019</v>
      </c>
      <c r="Y5" s="313">
        <v>8.8050975549411797E-2</v>
      </c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5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0.30409999999999998</v>
      </c>
      <c r="H9" s="33"/>
      <c r="I9" s="93"/>
      <c r="K9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21.172259907329156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21.172259907329156</v>
      </c>
      <c r="H13" s="8"/>
      <c r="I13" s="8"/>
      <c r="J13" s="8"/>
      <c r="K13" s="8"/>
      <c r="M13">
        <f ca="1">E13-K13</f>
        <v>21.172259907329156</v>
      </c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24.252065928193758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24.252065928193758</v>
      </c>
      <c r="H14" s="8"/>
      <c r="I14" s="8"/>
      <c r="J14" s="8"/>
      <c r="K14" s="8"/>
      <c r="M14">
        <f t="shared" ref="M14:M37" ca="1" si="25">E14-K14</f>
        <v>24.252065928193758</v>
      </c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6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25.381324963702042</v>
      </c>
      <c r="F15" s="33"/>
      <c r="G15" s="8">
        <f t="shared" ca="1" si="24"/>
        <v>25.381324963702042</v>
      </c>
      <c r="H15" s="8"/>
      <c r="I15" s="8"/>
      <c r="J15" s="8"/>
      <c r="K15" s="8"/>
      <c r="M15">
        <f t="shared" ca="1" si="25"/>
        <v>25.381324963702042</v>
      </c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6"/>
        <v>0</v>
      </c>
    </row>
    <row r="16" spans="1:161">
      <c r="A16"/>
      <c r="B16" s="210">
        <f t="shared" si="22"/>
        <v>2029</v>
      </c>
      <c r="C16" s="8">
        <f t="shared" si="7"/>
        <v>87.012450721802509</v>
      </c>
      <c r="D16" s="211"/>
      <c r="E16" s="8">
        <f t="shared" ca="1" si="23"/>
        <v>-37.708922993989304</v>
      </c>
      <c r="F16" s="33"/>
      <c r="G16" s="8">
        <f t="shared" ca="1" si="24"/>
        <v>-4.9684260347645886</v>
      </c>
      <c r="H16" s="8"/>
      <c r="I16" s="8"/>
      <c r="J16" s="8"/>
      <c r="K16" s="8"/>
      <c r="M16">
        <f t="shared" ca="1" si="25"/>
        <v>-37.708922993989304</v>
      </c>
      <c r="O16">
        <f t="shared" si="8"/>
        <v>2029</v>
      </c>
      <c r="P16" s="45">
        <v>0</v>
      </c>
      <c r="Q16" s="45">
        <v>0</v>
      </c>
      <c r="R16" s="45">
        <v>0</v>
      </c>
      <c r="S16" s="45">
        <v>14.559999999999999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56.451578404978505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6.9609960577442003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6.9609960577442003</v>
      </c>
      <c r="FC16">
        <f t="shared" si="21"/>
        <v>2029</v>
      </c>
      <c r="FD16" s="45"/>
      <c r="FE16" s="86">
        <f t="shared" si="26"/>
        <v>0</v>
      </c>
    </row>
    <row r="17" spans="2:161">
      <c r="B17" s="210">
        <f t="shared" si="22"/>
        <v>2030</v>
      </c>
      <c r="C17" s="8">
        <f t="shared" si="7"/>
        <v>88.909322101713684</v>
      </c>
      <c r="D17" s="211"/>
      <c r="E17" s="8">
        <f t="shared" ca="1" si="23"/>
        <v>-40.182582842210557</v>
      </c>
      <c r="F17" s="33"/>
      <c r="G17" s="8">
        <f t="shared" ca="1" si="24"/>
        <v>-6.7748639231400754</v>
      </c>
      <c r="H17" s="8"/>
      <c r="I17" s="8"/>
      <c r="J17" s="8"/>
      <c r="K17" s="8"/>
      <c r="M17">
        <f t="shared" ca="1" si="25"/>
        <v>-40.182582842210557</v>
      </c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7.1127457681370947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7.1127457681370947</v>
      </c>
      <c r="FC17">
        <f t="shared" si="21"/>
        <v>2030</v>
      </c>
      <c r="FD17" s="45"/>
      <c r="FE17" s="86">
        <f t="shared" si="26"/>
        <v>0</v>
      </c>
    </row>
    <row r="18" spans="2:161">
      <c r="B18" s="210">
        <f t="shared" si="22"/>
        <v>2031</v>
      </c>
      <c r="C18" s="8">
        <f t="shared" si="7"/>
        <v>90.847545320437561</v>
      </c>
      <c r="D18" s="211"/>
      <c r="E18" s="8">
        <f t="shared" ca="1" si="23"/>
        <v>-42.654597512852199</v>
      </c>
      <c r="F18" s="33"/>
      <c r="G18" s="8">
        <f t="shared" ca="1" si="24"/>
        <v>-8.5522953652737517</v>
      </c>
      <c r="H18" s="8"/>
      <c r="I18" s="8"/>
      <c r="J18" s="8"/>
      <c r="K18" s="8"/>
      <c r="M18">
        <f t="shared" ca="1" si="25"/>
        <v>-42.654597512852199</v>
      </c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7.2678036256350049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7.2678036256350049</v>
      </c>
      <c r="FC18">
        <f t="shared" si="21"/>
        <v>2031</v>
      </c>
      <c r="FD18" s="45"/>
      <c r="FE18" s="86">
        <f t="shared" si="26"/>
        <v>0</v>
      </c>
    </row>
    <row r="19" spans="2:161">
      <c r="B19" s="210">
        <f t="shared" si="22"/>
        <v>2032</v>
      </c>
      <c r="C19" s="8">
        <f t="shared" si="7"/>
        <v>92.828021783222212</v>
      </c>
      <c r="D19" s="211"/>
      <c r="E19" s="8">
        <f t="shared" ca="1" si="23"/>
        <v>-45.105255605456122</v>
      </c>
      <c r="F19" s="33"/>
      <c r="G19" s="8">
        <f t="shared" ca="1" si="24"/>
        <v>-10.33402792577302</v>
      </c>
      <c r="H19" s="8"/>
      <c r="I19" s="8"/>
      <c r="J19" s="8"/>
      <c r="K19" s="8"/>
      <c r="M19">
        <f t="shared" ca="1" si="25"/>
        <v>-45.105255605456122</v>
      </c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7.4262417426577771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7.4262417426577771</v>
      </c>
      <c r="FC19">
        <f t="shared" si="21"/>
        <v>2032</v>
      </c>
      <c r="FD19" s="45"/>
      <c r="FE19" s="86">
        <f t="shared" si="26"/>
        <v>0</v>
      </c>
    </row>
    <row r="20" spans="2:161">
      <c r="B20" s="210">
        <f t="shared" si="22"/>
        <v>2033</v>
      </c>
      <c r="C20" s="8">
        <f t="shared" si="7"/>
        <v>94.851672659205718</v>
      </c>
      <c r="D20" s="211"/>
      <c r="E20" s="8">
        <f t="shared" ca="1" si="23"/>
        <v>-44.736406575680633</v>
      </c>
      <c r="F20" s="33"/>
      <c r="G20" s="8">
        <f t="shared" ca="1" si="24"/>
        <v>-9.0611762360626305</v>
      </c>
      <c r="H20" s="8"/>
      <c r="I20" s="8"/>
      <c r="J20" s="8"/>
      <c r="K20" s="8"/>
      <c r="M20">
        <f t="shared" ca="1" si="25"/>
        <v>-44.736406575680633</v>
      </c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7.5881338127364577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7.5881338127364577</v>
      </c>
      <c r="FC20">
        <f t="shared" si="21"/>
        <v>2033</v>
      </c>
      <c r="FD20" s="314"/>
      <c r="FE20" s="86">
        <f t="shared" si="26"/>
        <v>0</v>
      </c>
    </row>
    <row r="21" spans="2:161">
      <c r="B21" s="210">
        <f t="shared" si="22"/>
        <v>2034</v>
      </c>
      <c r="C21" s="8">
        <f t="shared" si="7"/>
        <v>96.919439193888962</v>
      </c>
      <c r="D21" s="211"/>
      <c r="E21" s="8">
        <f t="shared" ca="1" si="23"/>
        <v>-45.523676484182502</v>
      </c>
      <c r="F21" s="33"/>
      <c r="G21" s="8">
        <f t="shared" ca="1" si="24"/>
        <v>-9.0786668942295758</v>
      </c>
      <c r="H21" s="8"/>
      <c r="I21" s="8"/>
      <c r="J21" s="8"/>
      <c r="K21" s="8"/>
      <c r="M21">
        <f t="shared" ca="1" si="25"/>
        <v>-45.523676484182502</v>
      </c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7.7535551355111165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7.7535551355111165</v>
      </c>
      <c r="FC21">
        <f t="shared" si="21"/>
        <v>2034</v>
      </c>
      <c r="FD21" s="69"/>
      <c r="FE21" s="86">
        <f t="shared" si="26"/>
        <v>0</v>
      </c>
    </row>
    <row r="22" spans="2:161">
      <c r="B22" s="210">
        <f t="shared" si="22"/>
        <v>2035</v>
      </c>
      <c r="C22" s="8">
        <f t="shared" si="7"/>
        <v>99.032282943489761</v>
      </c>
      <c r="D22" s="211"/>
      <c r="E22" s="8">
        <f t="shared" ca="1" si="23"/>
        <v>-46.997289095428442</v>
      </c>
      <c r="F22" s="33"/>
      <c r="G22" s="8">
        <f t="shared" ca="1" si="24"/>
        <v>-9.734045367896293</v>
      </c>
      <c r="H22" s="8"/>
      <c r="I22" s="8"/>
      <c r="J22" s="8"/>
      <c r="K22" s="8"/>
      <c r="M22">
        <f t="shared" ca="1" si="25"/>
        <v>-46.997289095428442</v>
      </c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7.9225826354791806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7.9225826354791806</v>
      </c>
      <c r="FC22">
        <f t="shared" si="21"/>
        <v>2035</v>
      </c>
      <c r="FD22" s="69"/>
      <c r="FE22" s="86">
        <f t="shared" si="26"/>
        <v>0</v>
      </c>
    </row>
    <row r="23" spans="2:161">
      <c r="B23" s="210">
        <f t="shared" si="22"/>
        <v>2036</v>
      </c>
      <c r="C23" s="8">
        <f t="shared" si="7"/>
        <v>101.19118671236092</v>
      </c>
      <c r="D23" s="211"/>
      <c r="E23" s="8">
        <f t="shared" ca="1" si="23"/>
        <v>-50.507995471933391</v>
      </c>
      <c r="F23" s="33"/>
      <c r="G23" s="8">
        <f t="shared" ca="1" si="24"/>
        <v>-12.509580894391352</v>
      </c>
      <c r="H23" s="8"/>
      <c r="I23" s="8"/>
      <c r="J23" s="8"/>
      <c r="K23" s="8"/>
      <c r="M23">
        <f t="shared" ca="1" si="25"/>
        <v>-50.507995471933391</v>
      </c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8.0952949369888731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8.0952949369888731</v>
      </c>
      <c r="FC23">
        <f t="shared" si="21"/>
        <v>2036</v>
      </c>
      <c r="FD23" s="69"/>
      <c r="FE23" s="86">
        <f t="shared" si="26"/>
        <v>0</v>
      </c>
    </row>
    <row r="24" spans="2:161">
      <c r="B24" s="210">
        <f t="shared" si="22"/>
        <v>2037</v>
      </c>
      <c r="C24" s="8">
        <f t="shared" si="7"/>
        <v>103.39715455298986</v>
      </c>
      <c r="D24" s="211"/>
      <c r="E24" s="8">
        <f ca="1">SUMIF(INDIRECT("'Table 5'!$J$"&amp;$K$3&amp;":$J$"&amp;$K$4),B24,INDIRECT("'Table 5'!$c$"&amp;$K$3&amp;":$c$"&amp;$K$4))/SUMIF(INDIRECT("'Table 5'!$J$"&amp;$K$3&amp;":$J$"&amp;$K$4),B24,INDIRECT("'Table 5'!$f$"&amp;$K$3&amp;":$f$"&amp;$K$4))</f>
        <v>-49.971041676004738</v>
      </c>
      <c r="F24" s="33"/>
      <c r="G24" s="8">
        <f t="shared" ca="1" si="24"/>
        <v>-11.148671820089106</v>
      </c>
      <c r="H24" s="8"/>
      <c r="I24" s="8"/>
      <c r="J24" s="8"/>
      <c r="K24" s="8"/>
      <c r="M24">
        <f t="shared" ca="1" si="25"/>
        <v>-49.971041676004738</v>
      </c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8.2717723642391885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8.2717723642391885</v>
      </c>
      <c r="FC24">
        <f t="shared" si="21"/>
        <v>2037</v>
      </c>
      <c r="FD24" s="69"/>
      <c r="FE24" s="86">
        <f t="shared" si="26"/>
        <v>0</v>
      </c>
    </row>
    <row r="25" spans="2:161">
      <c r="B25" s="210">
        <f t="shared" si="22"/>
        <v>2038</v>
      </c>
      <c r="C25" s="8">
        <f t="shared" si="7"/>
        <v>105.65121254718035</v>
      </c>
      <c r="D25" s="211"/>
      <c r="E25" s="8">
        <f t="shared" ca="1" si="23"/>
        <v>-49.489292295417329</v>
      </c>
      <c r="F25" s="33"/>
      <c r="G25" s="8">
        <f t="shared" ca="1" si="24"/>
        <v>-9.7567782771803131</v>
      </c>
      <c r="H25" s="8"/>
      <c r="I25" s="8"/>
      <c r="J25" s="8"/>
      <c r="K25" s="8"/>
      <c r="M25">
        <f t="shared" ca="1" si="25"/>
        <v>-49.489292295417329</v>
      </c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8.4520970037744281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8.4520970037744281</v>
      </c>
      <c r="FC25">
        <f t="shared" si="21"/>
        <v>2038</v>
      </c>
      <c r="FD25" s="69"/>
      <c r="FE25" s="86">
        <f t="shared" si="26"/>
        <v>0</v>
      </c>
    </row>
    <row r="26" spans="2:161">
      <c r="B26" s="210">
        <f t="shared" si="22"/>
        <v>2039</v>
      </c>
      <c r="C26" s="8">
        <f t="shared" si="7"/>
        <v>107.95440896228862</v>
      </c>
      <c r="D26" s="211"/>
      <c r="E26" s="8">
        <f t="shared" ca="1" si="23"/>
        <v>4.6713652684835569</v>
      </c>
      <c r="F26" s="33"/>
      <c r="G26" s="8">
        <f t="shared" ca="1" si="24"/>
        <v>45.274744185631057</v>
      </c>
      <c r="H26" s="8"/>
      <c r="I26" s="8"/>
      <c r="J26" s="8"/>
      <c r="K26" s="8"/>
      <c r="M26">
        <f t="shared" ca="1" si="25"/>
        <v>4.6713652684835569</v>
      </c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8.6363527169830903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8.6363527169830903</v>
      </c>
      <c r="FC26">
        <f t="shared" si="21"/>
        <v>2039</v>
      </c>
      <c r="FD26" s="69"/>
      <c r="FE26" s="86">
        <f t="shared" si="26"/>
        <v>0</v>
      </c>
    </row>
    <row r="27" spans="2:161">
      <c r="B27" s="210">
        <f t="shared" si="22"/>
        <v>2040</v>
      </c>
      <c r="C27" s="8">
        <f t="shared" si="7"/>
        <v>110.30781511052302</v>
      </c>
      <c r="D27" s="211"/>
      <c r="E27" s="8">
        <f t="shared" ca="1" si="23"/>
        <v>3.0723902346804306</v>
      </c>
      <c r="F27" s="33"/>
      <c r="G27" s="8">
        <f t="shared" ca="1" si="24"/>
        <v>44.467979552351807</v>
      </c>
      <c r="H27" s="8"/>
      <c r="I27" s="8"/>
      <c r="J27" s="8"/>
      <c r="K27" s="8"/>
      <c r="M27">
        <f t="shared" ca="1" si="25"/>
        <v>3.0723902346804306</v>
      </c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8.8246252088418426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8.8246252088418426</v>
      </c>
      <c r="FC27">
        <f t="shared" si="21"/>
        <v>2040</v>
      </c>
      <c r="FD27" s="69"/>
      <c r="FE27" s="86">
        <f t="shared" si="26"/>
        <v>0</v>
      </c>
    </row>
    <row r="28" spans="2:161">
      <c r="B28" s="210">
        <f t="shared" si="22"/>
        <v>2041</v>
      </c>
      <c r="C28" s="8">
        <f t="shared" si="7"/>
        <v>112.71252542706206</v>
      </c>
      <c r="D28" s="211"/>
      <c r="E28" s="8">
        <f t="shared" ca="1" si="23"/>
        <v>1.7664223522655798</v>
      </c>
      <c r="F28" s="33"/>
      <c r="G28" s="8">
        <f t="shared" ca="1" si="24"/>
        <v>44.118205934847794</v>
      </c>
      <c r="H28" s="33"/>
      <c r="I28" s="8"/>
      <c r="J28" s="8"/>
      <c r="K28" s="8"/>
      <c r="M28">
        <f t="shared" ca="1" si="25"/>
        <v>1.7664223522655798</v>
      </c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9.0170020341649657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9.0170020341649657</v>
      </c>
      <c r="FC28">
        <f t="shared" si="21"/>
        <v>2041</v>
      </c>
      <c r="FD28" s="69"/>
      <c r="FE28" s="86">
        <f t="shared" si="26"/>
        <v>0</v>
      </c>
    </row>
    <row r="29" spans="2:161">
      <c r="B29" s="210">
        <f t="shared" si="22"/>
        <v>2042</v>
      </c>
      <c r="C29" s="8">
        <f t="shared" si="7"/>
        <v>115.16965848559042</v>
      </c>
      <c r="D29" s="211"/>
      <c r="E29" s="8">
        <f t="shared" ca="1" si="23"/>
        <v>3.0405994414099919</v>
      </c>
      <c r="F29" s="33"/>
      <c r="G29" s="8">
        <f t="shared" ca="1" si="24"/>
        <v>46.272923199369181</v>
      </c>
      <c r="H29" s="33"/>
      <c r="I29" s="8"/>
      <c r="J29" s="8"/>
      <c r="K29" s="8"/>
      <c r="M29">
        <f t="shared" ca="1" si="25"/>
        <v>3.0405994414099919</v>
      </c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9.2135726788472336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9.2135726788472336</v>
      </c>
      <c r="FC29">
        <f t="shared" si="21"/>
        <v>2042</v>
      </c>
      <c r="FD29" s="69"/>
      <c r="FE29" s="86">
        <f t="shared" si="26"/>
        <v>0</v>
      </c>
    </row>
    <row r="30" spans="2:161">
      <c r="B30" s="210">
        <f t="shared" si="22"/>
        <v>2043</v>
      </c>
      <c r="C30" s="8">
        <f t="shared" si="7"/>
        <v>117.68035707641688</v>
      </c>
      <c r="D30" s="211"/>
      <c r="E30" s="8">
        <f t="shared" ca="1" si="23"/>
        <v>5.9227246274363754</v>
      </c>
      <c r="F30" s="33"/>
      <c r="G30" s="8">
        <f t="shared" ca="1" si="24"/>
        <v>50.107986465135255</v>
      </c>
      <c r="H30" s="33"/>
      <c r="I30" s="8"/>
      <c r="J30" s="8"/>
      <c r="K30" s="8"/>
      <c r="M30">
        <f t="shared" ca="1" si="25"/>
        <v>5.9227246274363754</v>
      </c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9.4144285661133509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9.4144285661133509</v>
      </c>
      <c r="FC30">
        <f t="shared" si="21"/>
        <v>2043</v>
      </c>
      <c r="FD30" s="69"/>
      <c r="FE30" s="86">
        <f t="shared" si="26"/>
        <v>0</v>
      </c>
    </row>
    <row r="31" spans="2:161">
      <c r="B31" s="210">
        <f t="shared" si="22"/>
        <v>2044</v>
      </c>
      <c r="C31" s="8">
        <f t="shared" si="7"/>
        <v>120.24578883141972</v>
      </c>
      <c r="D31" s="211"/>
      <c r="E31" s="8">
        <f t="shared" ca="1" si="23"/>
        <v>4.8453609984596495</v>
      </c>
      <c r="F31" s="33"/>
      <c r="G31" s="8">
        <f t="shared" ca="1" si="24"/>
        <v>49.967842311382583</v>
      </c>
      <c r="H31" s="33"/>
      <c r="I31" s="8"/>
      <c r="J31" s="8"/>
      <c r="K31" s="8"/>
      <c r="M31">
        <f t="shared" ca="1" si="25"/>
        <v>4.8453609984596495</v>
      </c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9.6196631065135776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9.6196631065135776</v>
      </c>
      <c r="FC31">
        <f t="shared" si="21"/>
        <v>2044</v>
      </c>
      <c r="FD31" s="69"/>
      <c r="FE31" s="86">
        <f t="shared" si="26"/>
        <v>0</v>
      </c>
    </row>
    <row r="32" spans="2:161">
      <c r="B32" s="210">
        <f t="shared" si="22"/>
        <v>2045</v>
      </c>
      <c r="C32" s="8">
        <f t="shared" si="7"/>
        <v>122.86714708334605</v>
      </c>
      <c r="D32" s="211"/>
      <c r="E32" s="8">
        <f t="shared" ca="1" si="23"/>
        <v>4.9664971516325558</v>
      </c>
      <c r="F32" s="33"/>
      <c r="G32" s="8">
        <f t="shared" ca="1" si="24"/>
        <v>51.217060337227011</v>
      </c>
      <c r="H32" s="33"/>
      <c r="I32" s="8"/>
      <c r="J32" s="8"/>
      <c r="K32" s="8"/>
      <c r="M32">
        <f t="shared" ca="1" si="25"/>
        <v>4.9664971516325558</v>
      </c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9.8293717666676841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9.8293717666676841</v>
      </c>
      <c r="FC32">
        <f t="shared" si="21"/>
        <v>2045</v>
      </c>
      <c r="FD32" s="69"/>
      <c r="FE32" s="86">
        <f t="shared" si="26"/>
        <v>0</v>
      </c>
    </row>
    <row r="33" spans="1:161">
      <c r="B33" s="210">
        <f t="shared" si="22"/>
        <v>2046</v>
      </c>
      <c r="C33" s="8">
        <f t="shared" si="7"/>
        <v>125.54565086581196</v>
      </c>
      <c r="D33" s="211"/>
      <c r="E33" s="8">
        <f t="shared" ref="E33" ca="1" si="27">SUMIF(INDIRECT("'Table 5'!$J$"&amp;$K$3&amp;":$J$"&amp;$K$4),B33,INDIRECT("'Table 5'!$c$"&amp;$K$3&amp;":$c$"&amp;$K$4))/SUMIF(INDIRECT("'Table 5'!$J$"&amp;$K$3&amp;":$J$"&amp;$K$4),B33,INDIRECT("'Table 5'!$f$"&amp;$K$3&amp;":$f$"&amp;$K$4))</f>
        <v>5.0747667895381472</v>
      </c>
      <c r="F33" s="33"/>
      <c r="G33" s="8">
        <f t="shared" ref="G33" ca="1" si="28">SUMIF(INDIRECT("'Table 5'!$J$"&amp;$K$3&amp;":$J$"&amp;$K$4),B33,INDIRECT("'Table 5'!$e$"&amp;$K$3&amp;":$e$"&amp;$K$4))/SUMIF(INDIRECT("'Table 5'!$J$"&amp;$K$3&amp;":$J$"&amp;$K$4),B33,INDIRECT("'Table 5'!$f$"&amp;$K$3&amp;":$f$"&amp;$K$4))</f>
        <v>52.333592243562734</v>
      </c>
      <c r="H33" s="33"/>
      <c r="I33" s="8"/>
      <c r="J33" s="8"/>
      <c r="K33" s="8"/>
      <c r="M33">
        <f t="shared" ca="1" si="25"/>
        <v>5.0747667895381472</v>
      </c>
      <c r="O33">
        <f t="shared" ref="O33" si="29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30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1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10.043652069264958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2">SUM(DR33:EZ33)</f>
        <v>10.043652069264958</v>
      </c>
      <c r="FC33">
        <f t="shared" ref="FC33" si="33">O33</f>
        <v>2046</v>
      </c>
      <c r="FD33" s="69"/>
      <c r="FE33" s="86">
        <f t="shared" ref="FE33" si="34">$FD$5*FD33/1000</f>
        <v>0</v>
      </c>
    </row>
    <row r="34" spans="1:161">
      <c r="B34" s="210">
        <f t="shared" si="22"/>
        <v>2047</v>
      </c>
      <c r="C34" s="8">
        <f t="shared" si="7"/>
        <v>128.28254600695647</v>
      </c>
      <c r="D34" s="211"/>
      <c r="E34" s="8">
        <f t="shared" ref="E34" ca="1" si="35">SUMIF(INDIRECT("'Table 5'!$J$"&amp;$K$3&amp;":$J$"&amp;$K$4),B34,INDIRECT("'Table 5'!$c$"&amp;$K$3&amp;":$c$"&amp;$K$4))/SUMIF(INDIRECT("'Table 5'!$J$"&amp;$K$3&amp;":$J$"&amp;$K$4),B34,INDIRECT("'Table 5'!$f$"&amp;$K$3&amp;":$f$"&amp;$K$4))</f>
        <v>5.1853967055500769</v>
      </c>
      <c r="F34" s="33"/>
      <c r="G34" s="8">
        <f t="shared" ref="G34" ca="1" si="36">SUMIF(INDIRECT("'Table 5'!$J$"&amp;$K$3&amp;":$J$"&amp;$K$4),B34,INDIRECT("'Table 5'!$e$"&amp;$K$3&amp;":$e$"&amp;$K$4))/SUMIF(INDIRECT("'Table 5'!$J$"&amp;$K$3&amp;":$J$"&amp;$K$4),B34,INDIRECT("'Table 5'!$f$"&amp;$K$3&amp;":$f$"&amp;$K$4))</f>
        <v>53.474464536505444</v>
      </c>
      <c r="H34" s="33"/>
      <c r="I34" s="8"/>
      <c r="J34" s="8"/>
      <c r="K34" s="8"/>
      <c r="M34">
        <f t="shared" ca="1" si="25"/>
        <v>5.1853967055500769</v>
      </c>
      <c r="O34">
        <f t="shared" ref="O34" si="37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10.262603680556518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10.262603680556518</v>
      </c>
      <c r="FC34">
        <f t="shared" si="21"/>
        <v>2047</v>
      </c>
      <c r="FD34" s="69"/>
      <c r="FE34" s="86"/>
    </row>
    <row r="35" spans="1:161">
      <c r="B35" s="210">
        <f t="shared" si="22"/>
        <v>2048</v>
      </c>
      <c r="C35" s="8">
        <f t="shared" si="7"/>
        <v>131.07910546113743</v>
      </c>
      <c r="D35" s="211"/>
      <c r="E35" s="8">
        <f t="shared" ref="E35:E41" ca="1" si="38">SUMIF(INDIRECT("'Table 5'!$J$"&amp;$K$3&amp;":$J$"&amp;$K$4),B35,INDIRECT("'Table 5'!$c$"&amp;$K$3&amp;":$c$"&amp;$K$4))/SUMIF(INDIRECT("'Table 5'!$J$"&amp;$K$3&amp;":$J$"&amp;$K$4),B35,INDIRECT("'Table 5'!$f$"&amp;$K$3&amp;":$f$"&amp;$K$4))</f>
        <v>5.2818946242866511</v>
      </c>
      <c r="F35" s="33"/>
      <c r="G35" s="8">
        <f t="shared" ref="G35:G41" ca="1" si="39">SUMIF(INDIRECT("'Table 5'!$J$"&amp;$K$3&amp;":$J$"&amp;$K$4),B35,INDIRECT("'Table 5'!$e$"&amp;$K$3&amp;":$e$"&amp;$K$4))/SUMIF(INDIRECT("'Table 5'!$J$"&amp;$K$3&amp;":$J$"&amp;$K$4),B35,INDIRECT("'Table 5'!$f$"&amp;$K$3&amp;":$f$"&amp;$K$4))</f>
        <v>54.469600440553563</v>
      </c>
      <c r="H35" s="33"/>
      <c r="I35" s="8"/>
      <c r="J35" s="8"/>
      <c r="K35" s="8"/>
      <c r="M35">
        <f t="shared" ca="1" si="25"/>
        <v>5.2818946242866511</v>
      </c>
      <c r="O35">
        <f t="shared" ref="O35:O41" si="40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1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2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10.486328436890995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3">SUM(DR35:EZ35)</f>
        <v>10.486328436890995</v>
      </c>
      <c r="FC35">
        <f t="shared" ref="FC35:FC41" si="44">O35</f>
        <v>2048</v>
      </c>
      <c r="FD35" s="69"/>
      <c r="FE35" s="86"/>
    </row>
    <row r="36" spans="1:161">
      <c r="B36" s="210">
        <f t="shared" si="22"/>
        <v>2049</v>
      </c>
      <c r="C36" s="8">
        <f t="shared" si="7"/>
        <v>133.93662991035634</v>
      </c>
      <c r="D36" s="211"/>
      <c r="E36" s="8">
        <f t="shared" ca="1" si="38"/>
        <v>5.4139443098424094</v>
      </c>
      <c r="F36" s="33"/>
      <c r="G36" s="8">
        <f t="shared" ca="1" si="39"/>
        <v>55.831364357305716</v>
      </c>
      <c r="H36" s="33"/>
      <c r="I36" s="8"/>
      <c r="J36" s="8"/>
      <c r="K36" s="8"/>
      <c r="M36">
        <f t="shared" ca="1" si="25"/>
        <v>5.4139443098424094</v>
      </c>
      <c r="O36">
        <f t="shared" si="40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1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2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10.714930392828508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3"/>
        <v>10.714930392828508</v>
      </c>
      <c r="FC36">
        <f t="shared" si="44"/>
        <v>2049</v>
      </c>
      <c r="FD36" s="69"/>
      <c r="FE36" s="86"/>
    </row>
    <row r="37" spans="1:161">
      <c r="B37" s="210">
        <f t="shared" si="22"/>
        <v>2050</v>
      </c>
      <c r="C37" s="8">
        <f t="shared" si="7"/>
        <v>136.85644839148185</v>
      </c>
      <c r="D37" s="211"/>
      <c r="E37" s="8">
        <f t="shared" ca="1" si="38"/>
        <v>5.5319682957969736</v>
      </c>
      <c r="F37" s="33"/>
      <c r="G37" s="8">
        <f t="shared" ca="1" si="39"/>
        <v>57.048488081127203</v>
      </c>
      <c r="H37" s="33"/>
      <c r="I37" s="8"/>
      <c r="J37" s="8"/>
      <c r="K37" s="8"/>
      <c r="M37">
        <f t="shared" ca="1" si="25"/>
        <v>5.5319682957969736</v>
      </c>
      <c r="O37">
        <f t="shared" si="40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1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2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10.948515871318548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3"/>
        <v>10.948515871318548</v>
      </c>
      <c r="FC37">
        <f t="shared" si="44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139.83991891438581</v>
      </c>
      <c r="D38" s="211"/>
      <c r="E38" s="8" t="e">
        <f t="shared" ca="1" si="38"/>
        <v>#DIV/0!</v>
      </c>
      <c r="F38" s="33"/>
      <c r="G38" s="8" t="e">
        <f t="shared" ca="1" si="39"/>
        <v>#DIV/0!</v>
      </c>
      <c r="H38" s="33"/>
      <c r="I38" s="8"/>
      <c r="J38" s="86"/>
      <c r="M38" s="86"/>
      <c r="O38">
        <f t="shared" si="40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1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2"/>
        <v>2051</v>
      </c>
      <c r="CH38" s="70">
        <f>INDEX(Table3Compare!$B$6:$K$37,MATCH($CG38,Table3Compare!$A$6:$A$37,0),MATCH(CH$9,Table3Compare!$B$5:$K$5,0))</f>
        <v>0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155.12108527403822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11.187193513150863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3"/>
        <v>11.187193513150863</v>
      </c>
      <c r="FC38">
        <f t="shared" si="44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142.88842909355478</v>
      </c>
      <c r="D39" s="211"/>
      <c r="E39" s="8" t="e">
        <f t="shared" ca="1" si="38"/>
        <v>#DIV/0!</v>
      </c>
      <c r="F39" s="33"/>
      <c r="G39" s="8" t="e">
        <f t="shared" ca="1" si="39"/>
        <v>#DIV/0!</v>
      </c>
      <c r="H39" s="33"/>
      <c r="I39" s="8"/>
      <c r="J39" s="86"/>
      <c r="M39" s="86"/>
      <c r="O39">
        <f t="shared" si="40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1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2"/>
        <v>2052</v>
      </c>
      <c r="CH39" s="70">
        <f>INDEX(Table3Compare!$B$6:$K$37,MATCH($CG39,Table3Compare!$A$6:$A$37,0),MATCH(CH$9,Table3Compare!$B$5:$K$5,0))</f>
        <v>0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158.50272487403802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11.431074327484383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3"/>
        <v>11.431074327484383</v>
      </c>
      <c r="FC39">
        <f t="shared" si="44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146.0033967934707</v>
      </c>
      <c r="D40" s="211"/>
      <c r="E40" s="8" t="e">
        <f t="shared" ca="1" si="38"/>
        <v>#DIV/0!</v>
      </c>
      <c r="F40" s="33"/>
      <c r="G40" s="8" t="e">
        <f t="shared" ca="1" si="39"/>
        <v>#DIV/0!</v>
      </c>
      <c r="H40" s="33"/>
      <c r="I40" s="8"/>
      <c r="J40" s="86"/>
      <c r="M40" s="86"/>
      <c r="O40">
        <f t="shared" si="40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1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2"/>
        <v>2053</v>
      </c>
      <c r="CH40" s="70">
        <f>INDEX(Table3Compare!$B$6:$K$37,MATCH($CG40,Table3Compare!$A$6:$A$37,0),MATCH(CH$9,Table3Compare!$B$5:$K$5,0))</f>
        <v>0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161.9580842160322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11.680271743477658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3"/>
        <v>11.680271743477658</v>
      </c>
      <c r="FC40">
        <f t="shared" si="44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149.18627078806054</v>
      </c>
      <c r="D41" s="211"/>
      <c r="E41" s="8" t="e">
        <f t="shared" ca="1" si="38"/>
        <v>#DIV/0!</v>
      </c>
      <c r="F41" s="33"/>
      <c r="G41" s="8" t="e">
        <f t="shared" ca="1" si="39"/>
        <v>#DIV/0!</v>
      </c>
      <c r="H41" s="33"/>
      <c r="I41" s="8"/>
      <c r="J41" s="86"/>
      <c r="M41" s="86"/>
      <c r="O41">
        <f t="shared" si="40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1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2"/>
        <v>2054</v>
      </c>
      <c r="CH41" s="70">
        <f>INDEX(Table3Compare!$B$6:$K$37,MATCH($CG41,Table3Compare!$A$6:$A$37,0),MATCH(CH$9,Table3Compare!$B$5:$K$5,0))</f>
        <v>0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165.48877039036819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11.934901663044842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3"/>
        <v>11.934901663044842</v>
      </c>
      <c r="FC41">
        <f t="shared" si="44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2"/>
      <c r="B48" s="422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1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9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3"/>
      <c r="B52" s="423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4" t="str">
        <f>'Table 5'!A10</f>
        <v>15 Year Starting 2026</v>
      </c>
      <c r="B54" s="425"/>
      <c r="C54" s="425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69.546191644538098</v>
      </c>
      <c r="D56" s="8"/>
      <c r="H56" s="33"/>
      <c r="I56" s="8"/>
    </row>
    <row r="57" spans="1:49">
      <c r="B57" s="40" t="s">
        <v>31</v>
      </c>
      <c r="E57" s="8">
        <f ca="1">'Table 5'!$C$10/'Table 5'!$F$10</f>
        <v>-21.203706400920368</v>
      </c>
      <c r="G57" s="90">
        <f ca="1">'Table 5'!$G$10</f>
        <v>4.903044579417644</v>
      </c>
      <c r="H57" s="8"/>
      <c r="I57" s="8"/>
      <c r="J57" s="8"/>
      <c r="K57" s="8"/>
    </row>
    <row r="58" spans="1:49" ht="8.25" customHeight="1">
      <c r="A58" s="423"/>
      <c r="B58" s="423"/>
      <c r="E58" s="8"/>
      <c r="G58" s="56"/>
      <c r="H58" s="33"/>
    </row>
    <row r="59" spans="1:49">
      <c r="A59" s="423" t="str">
        <f>'Table 5'!A8</f>
        <v>15 Year Starting 2027</v>
      </c>
      <c r="B59" s="423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78.685821793203885</v>
      </c>
      <c r="D61" s="8"/>
      <c r="E61" s="8">
        <f ca="1">'Table 5'!$C$8/'Table 5'!$F$8</f>
        <v>-24.707469295572576</v>
      </c>
      <c r="H61" s="33"/>
      <c r="I61" s="8"/>
    </row>
    <row r="62" spans="1:49">
      <c r="B62" s="40" t="s">
        <v>31</v>
      </c>
      <c r="E62" s="8"/>
      <c r="G62" s="90">
        <f ca="1">'Table 5'!$G$8</f>
        <v>4.8301819641532919</v>
      </c>
      <c r="H62" s="33"/>
      <c r="I62" s="8"/>
      <c r="J62" s="8"/>
      <c r="K62" s="8"/>
    </row>
    <row r="63" spans="1:49">
      <c r="A63" s="423"/>
      <c r="B63" s="423"/>
      <c r="E63" s="8"/>
      <c r="G63" s="56"/>
      <c r="H63" s="33"/>
    </row>
    <row r="64" spans="1:49">
      <c r="A64" s="423" t="str">
        <f>'Table 5'!A7</f>
        <v>15 Year Starting 2028</v>
      </c>
      <c r="B64" s="423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88.49661261549565</v>
      </c>
      <c r="D66" s="8"/>
      <c r="H66" s="33"/>
      <c r="I66" s="8"/>
    </row>
    <row r="67" spans="1:11">
      <c r="B67" s="40" t="s">
        <v>31</v>
      </c>
      <c r="E67" s="8">
        <f ca="1">'Table 5'!$C$7/'Table 5'!$F$7</f>
        <v>-28.700740567750337</v>
      </c>
      <c r="G67" s="90">
        <f ca="1">'Table 5'!$G$7</f>
        <v>4.5197561053788666</v>
      </c>
      <c r="H67" s="33"/>
      <c r="I67" s="8"/>
      <c r="J67" s="8"/>
      <c r="K67" s="8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3"/>
      <c r="B72" s="423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$4.81/MWH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$4.90/MWH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6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90" zoomScaleNormal="100" zoomScaleSheetLayoutView="90" workbookViewId="0">
      <selection activeCell="B1" sqref="B1:K1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QF - Sch38 - UT - Wind - 80.0 MW and 30.4%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21.140893919501671</v>
      </c>
      <c r="D13" s="182">
        <v>26.932292699251985</v>
      </c>
      <c r="E13" s="182">
        <v>25.381292668214286</v>
      </c>
      <c r="F13" s="182">
        <v>11.499886992480963</v>
      </c>
      <c r="G13" s="182">
        <v>7.0348971723587148</v>
      </c>
      <c r="H13" s="183">
        <v>14.432885386844205</v>
      </c>
      <c r="I13" s="184">
        <v>19.826604569249717</v>
      </c>
      <c r="J13" s="182">
        <v>28.734216840542057</v>
      </c>
      <c r="K13" s="182">
        <v>32.506040227189807</v>
      </c>
      <c r="L13" s="183">
        <v>19.197100557461845</v>
      </c>
      <c r="M13" s="184">
        <v>17.734356075376269</v>
      </c>
      <c r="N13" s="182">
        <v>28.441636049134932</v>
      </c>
      <c r="O13" s="183">
        <v>34.66957530905983</v>
      </c>
    </row>
    <row r="14" spans="2:16" ht="12.75" customHeight="1">
      <c r="B14" s="140">
        <v>2027</v>
      </c>
      <c r="C14" s="185">
        <v>24.219828392406995</v>
      </c>
      <c r="D14" s="186">
        <v>33.594913822226978</v>
      </c>
      <c r="E14" s="186">
        <v>32.224325068953966</v>
      </c>
      <c r="F14" s="186">
        <v>15.387696299879764</v>
      </c>
      <c r="G14" s="186">
        <v>11.922722097335548</v>
      </c>
      <c r="H14" s="187">
        <v>16.896032410814289</v>
      </c>
      <c r="I14" s="188">
        <v>18.967407075290762</v>
      </c>
      <c r="J14" s="186">
        <v>30.79931426519752</v>
      </c>
      <c r="K14" s="186">
        <v>36.067369767200766</v>
      </c>
      <c r="L14" s="187">
        <v>22.349128837330692</v>
      </c>
      <c r="M14" s="188">
        <v>19.789519736655425</v>
      </c>
      <c r="N14" s="186">
        <v>28.273534821097027</v>
      </c>
      <c r="O14" s="187">
        <v>38.3711577133002</v>
      </c>
    </row>
    <row r="15" spans="2:16" ht="12.75" customHeight="1">
      <c r="B15" s="140">
        <v>2028</v>
      </c>
      <c r="C15" s="185">
        <v>25.315977352779012</v>
      </c>
      <c r="D15" s="186">
        <v>36.747245555597658</v>
      </c>
      <c r="E15" s="186">
        <v>33.085216244470764</v>
      </c>
      <c r="F15" s="186">
        <v>14.663459953798174</v>
      </c>
      <c r="G15" s="186">
        <v>14.102771391617051</v>
      </c>
      <c r="H15" s="187">
        <v>15.667719192007748</v>
      </c>
      <c r="I15" s="188">
        <v>16.897570247616635</v>
      </c>
      <c r="J15" s="186">
        <v>32.591512212386448</v>
      </c>
      <c r="K15" s="186">
        <v>36.06790303480237</v>
      </c>
      <c r="L15" s="187">
        <v>26.918803520960136</v>
      </c>
      <c r="M15" s="188">
        <v>22.005907258677709</v>
      </c>
      <c r="N15" s="186">
        <v>31.650472174225847</v>
      </c>
      <c r="O15" s="187">
        <v>40.455226053530104</v>
      </c>
    </row>
    <row r="16" spans="2:16" ht="12.75" customHeight="1">
      <c r="B16" s="140">
        <v>2029</v>
      </c>
      <c r="C16" s="185">
        <v>-37.523743371504125</v>
      </c>
      <c r="D16" s="186">
        <v>-46.801504259178365</v>
      </c>
      <c r="E16" s="186">
        <v>-21.560554611849511</v>
      </c>
      <c r="F16" s="186">
        <v>-42.039053061775547</v>
      </c>
      <c r="G16" s="186">
        <v>-27.381539074511192</v>
      </c>
      <c r="H16" s="187">
        <v>-22.840849946158642</v>
      </c>
      <c r="I16" s="188">
        <v>-11.626823519895177</v>
      </c>
      <c r="J16" s="186">
        <v>-20.370457899658618</v>
      </c>
      <c r="K16" s="186">
        <v>-30.02317614205861</v>
      </c>
      <c r="L16" s="187">
        <v>-28.006178950676759</v>
      </c>
      <c r="M16" s="188">
        <v>-33.750455940487626</v>
      </c>
      <c r="N16" s="186">
        <v>-67.697362152631058</v>
      </c>
      <c r="O16" s="187">
        <v>-127.18876914627657</v>
      </c>
    </row>
    <row r="17" spans="2:15" ht="12.75" customHeight="1">
      <c r="B17" s="140">
        <v>2030</v>
      </c>
      <c r="C17" s="185">
        <v>-39.95948196156192</v>
      </c>
      <c r="D17" s="186">
        <v>-37.758208241660697</v>
      </c>
      <c r="E17" s="186">
        <v>-30.308117444453419</v>
      </c>
      <c r="F17" s="186">
        <v>-40.713056186686693</v>
      </c>
      <c r="G17" s="186">
        <v>-35.071104104535159</v>
      </c>
      <c r="H17" s="187">
        <v>-25.51852496019751</v>
      </c>
      <c r="I17" s="188">
        <v>-12.140881202271316</v>
      </c>
      <c r="J17" s="186">
        <v>-24.833604027319925</v>
      </c>
      <c r="K17" s="186">
        <v>-31.783852485881482</v>
      </c>
      <c r="L17" s="187">
        <v>-28.5529187715467</v>
      </c>
      <c r="M17" s="188">
        <v>-34.197730886747777</v>
      </c>
      <c r="N17" s="186">
        <v>-61.777289872632693</v>
      </c>
      <c r="O17" s="187">
        <v>-155.52697545497264</v>
      </c>
    </row>
    <row r="18" spans="2:15" ht="12.75" customHeight="1">
      <c r="B18" s="140">
        <v>2031</v>
      </c>
      <c r="C18" s="185">
        <v>-42.484099532383262</v>
      </c>
      <c r="D18" s="186">
        <v>-75.96590043019016</v>
      </c>
      <c r="E18" s="186">
        <v>-24.947937911140492</v>
      </c>
      <c r="F18" s="186">
        <v>-41.170513976180473</v>
      </c>
      <c r="G18" s="186">
        <v>-36.807080019308124</v>
      </c>
      <c r="H18" s="187">
        <v>-22.978843162680228</v>
      </c>
      <c r="I18" s="188">
        <v>-22.071242725018447</v>
      </c>
      <c r="J18" s="186">
        <v>-14.473820908768886</v>
      </c>
      <c r="K18" s="186">
        <v>-39.588827627353119</v>
      </c>
      <c r="L18" s="187">
        <v>-20.604647266632899</v>
      </c>
      <c r="M18" s="188">
        <v>-40.784539172291993</v>
      </c>
      <c r="N18" s="186">
        <v>-79.064491743609153</v>
      </c>
      <c r="O18" s="187">
        <v>-114.85260472782851</v>
      </c>
    </row>
    <row r="19" spans="2:15" ht="12.75" customHeight="1">
      <c r="B19" s="140">
        <v>2032</v>
      </c>
      <c r="C19" s="185">
        <v>-44.769434853354298</v>
      </c>
      <c r="D19" s="186">
        <v>-70.319603486830502</v>
      </c>
      <c r="E19" s="186">
        <v>-27.879459329760198</v>
      </c>
      <c r="F19" s="186">
        <v>-48.308005433602027</v>
      </c>
      <c r="G19" s="186">
        <v>-39.579415585001911</v>
      </c>
      <c r="H19" s="187">
        <v>-22.724281594732837</v>
      </c>
      <c r="I19" s="188">
        <v>-25.126454149140674</v>
      </c>
      <c r="J19" s="186">
        <v>-21.426900508656573</v>
      </c>
      <c r="K19" s="186">
        <v>-32.793108069875935</v>
      </c>
      <c r="L19" s="187">
        <v>-26.185842465009088</v>
      </c>
      <c r="M19" s="188">
        <v>-45.120544967192899</v>
      </c>
      <c r="N19" s="186">
        <v>-82.699473458012008</v>
      </c>
      <c r="O19" s="187">
        <v>-116.4091989324797</v>
      </c>
    </row>
    <row r="20" spans="2:15" ht="12.75" customHeight="1">
      <c r="B20" s="140">
        <v>2033</v>
      </c>
      <c r="C20" s="185">
        <v>-44.567829075502168</v>
      </c>
      <c r="D20" s="186">
        <v>-59.363409665297965</v>
      </c>
      <c r="E20" s="186">
        <v>-27.063616958611423</v>
      </c>
      <c r="F20" s="186">
        <v>-49.89979680060425</v>
      </c>
      <c r="G20" s="186">
        <v>-37.747967514338342</v>
      </c>
      <c r="H20" s="187">
        <v>-22.401139640732108</v>
      </c>
      <c r="I20" s="188">
        <v>-25.842591562427721</v>
      </c>
      <c r="J20" s="186">
        <v>-28.336361643081265</v>
      </c>
      <c r="K20" s="186">
        <v>-36.908345859869605</v>
      </c>
      <c r="L20" s="187">
        <v>-27.301248939889629</v>
      </c>
      <c r="M20" s="188">
        <v>-42.829922255831249</v>
      </c>
      <c r="N20" s="186">
        <v>-80.562809681858212</v>
      </c>
      <c r="O20" s="187">
        <v>-121.93870461355284</v>
      </c>
    </row>
    <row r="21" spans="2:15" ht="12.75" customHeight="1">
      <c r="B21" s="140">
        <v>2034</v>
      </c>
      <c r="C21" s="185">
        <v>-45.343005554159078</v>
      </c>
      <c r="D21" s="186">
        <v>-54.171750378414259</v>
      </c>
      <c r="E21" s="186">
        <v>-28.373958666780066</v>
      </c>
      <c r="F21" s="186">
        <v>-49.840112722276196</v>
      </c>
      <c r="G21" s="186">
        <v>-38.237558952539572</v>
      </c>
      <c r="H21" s="187">
        <v>-25.002709192477738</v>
      </c>
      <c r="I21" s="188">
        <v>-25.016567895643522</v>
      </c>
      <c r="J21" s="186">
        <v>-30.771418380667747</v>
      </c>
      <c r="K21" s="186">
        <v>-32.694236945990447</v>
      </c>
      <c r="L21" s="187">
        <v>-29.60718425388847</v>
      </c>
      <c r="M21" s="188">
        <v>-44.089093221792588</v>
      </c>
      <c r="N21" s="186">
        <v>-81.593644313112762</v>
      </c>
      <c r="O21" s="187">
        <v>-129.54162149655707</v>
      </c>
    </row>
    <row r="22" spans="2:15" ht="12.75" customHeight="1">
      <c r="B22" s="140">
        <v>2035</v>
      </c>
      <c r="C22" s="185">
        <v>-46.80674002935806</v>
      </c>
      <c r="D22" s="186">
        <v>-54.926410486943865</v>
      </c>
      <c r="E22" s="186">
        <v>-36.569243996139654</v>
      </c>
      <c r="F22" s="186">
        <v>-50.575453461277299</v>
      </c>
      <c r="G22" s="186">
        <v>-35.652034309925483</v>
      </c>
      <c r="H22" s="187">
        <v>-28.146151901209524</v>
      </c>
      <c r="I22" s="188">
        <v>-23.844696136922817</v>
      </c>
      <c r="J22" s="186">
        <v>-22.459680075145357</v>
      </c>
      <c r="K22" s="186">
        <v>-39.232439970569615</v>
      </c>
      <c r="L22" s="187">
        <v>-31.722093345554498</v>
      </c>
      <c r="M22" s="188">
        <v>-46.701623074575998</v>
      </c>
      <c r="N22" s="186">
        <v>-78.58984846272881</v>
      </c>
      <c r="O22" s="187">
        <v>-139.0716809075474</v>
      </c>
    </row>
    <row r="23" spans="2:15" ht="12.75" customHeight="1">
      <c r="B23" s="140">
        <v>2036</v>
      </c>
      <c r="C23" s="185">
        <v>-50.062922521797603</v>
      </c>
      <c r="D23" s="186">
        <v>-55.190786163822573</v>
      </c>
      <c r="E23" s="186">
        <v>-40.548815770519255</v>
      </c>
      <c r="F23" s="186">
        <v>-50.031204400708916</v>
      </c>
      <c r="G23" s="186">
        <v>-36.341996758280189</v>
      </c>
      <c r="H23" s="187">
        <v>-31.21311754648692</v>
      </c>
      <c r="I23" s="188">
        <v>-19.029326741258789</v>
      </c>
      <c r="J23" s="186">
        <v>-33.990302681076933</v>
      </c>
      <c r="K23" s="186">
        <v>-52.781907273580451</v>
      </c>
      <c r="L23" s="187">
        <v>-32.792191021201432</v>
      </c>
      <c r="M23" s="188">
        <v>-47.492913618415479</v>
      </c>
      <c r="N23" s="186">
        <v>-81.737540370259325</v>
      </c>
      <c r="O23" s="187">
        <v>-164.38809086496315</v>
      </c>
    </row>
    <row r="24" spans="2:15" ht="12.75" customHeight="1">
      <c r="B24" s="140">
        <v>2037</v>
      </c>
      <c r="C24" s="185">
        <v>-49.779465841734051</v>
      </c>
      <c r="D24" s="186">
        <v>-81.487298607706379</v>
      </c>
      <c r="E24" s="186">
        <v>-25.956926464239682</v>
      </c>
      <c r="F24" s="186">
        <v>-53.213140508848191</v>
      </c>
      <c r="G24" s="186">
        <v>-44.037069262434116</v>
      </c>
      <c r="H24" s="187">
        <v>-22.327027529318769</v>
      </c>
      <c r="I24" s="188">
        <v>-28.137543828830896</v>
      </c>
      <c r="J24" s="186">
        <v>-22.998056260609602</v>
      </c>
      <c r="K24" s="186">
        <v>-40.878801861080177</v>
      </c>
      <c r="L24" s="187">
        <v>-29.132876786548643</v>
      </c>
      <c r="M24" s="188">
        <v>-51.461791918854466</v>
      </c>
      <c r="N24" s="186">
        <v>-89.881601632242251</v>
      </c>
      <c r="O24" s="187">
        <v>-132.40936540322508</v>
      </c>
    </row>
    <row r="25" spans="2:15" ht="12.75" customHeight="1">
      <c r="B25" s="140">
        <v>2038</v>
      </c>
      <c r="C25" s="185">
        <v>-49.309713729956123</v>
      </c>
      <c r="D25" s="186">
        <v>-73.05067841520848</v>
      </c>
      <c r="E25" s="186">
        <v>-29.446038630511325</v>
      </c>
      <c r="F25" s="186">
        <v>-52.34519342995987</v>
      </c>
      <c r="G25" s="186">
        <v>-45.07841330506897</v>
      </c>
      <c r="H25" s="187">
        <v>-20.614052986031616</v>
      </c>
      <c r="I25" s="188">
        <v>-27.024582316485038</v>
      </c>
      <c r="J25" s="186">
        <v>-24.291105817471522</v>
      </c>
      <c r="K25" s="186">
        <v>-41.879138591962601</v>
      </c>
      <c r="L25" s="187">
        <v>-31.421755986555109</v>
      </c>
      <c r="M25" s="188">
        <v>-51.200513231611652</v>
      </c>
      <c r="N25" s="186">
        <v>-91.569577180602153</v>
      </c>
      <c r="O25" s="187">
        <v>-128.13941819592927</v>
      </c>
    </row>
    <row r="26" spans="2:15" ht="12.75" customHeight="1">
      <c r="B26" s="140">
        <v>2039</v>
      </c>
      <c r="C26" s="185">
        <v>4.732472363384864</v>
      </c>
      <c r="D26" s="186">
        <v>6.0657870277374775</v>
      </c>
      <c r="E26" s="186">
        <v>17.334417894395195</v>
      </c>
      <c r="F26" s="186">
        <v>3.3100090755754255</v>
      </c>
      <c r="G26" s="186">
        <v>2.6592937296268944</v>
      </c>
      <c r="H26" s="187">
        <v>6.6771717955363332</v>
      </c>
      <c r="I26" s="188">
        <v>10.431274041150767</v>
      </c>
      <c r="J26" s="186">
        <v>9.5049272095674393</v>
      </c>
      <c r="K26" s="186">
        <v>6.2308876409980751</v>
      </c>
      <c r="L26" s="187">
        <v>11.600577287396522</v>
      </c>
      <c r="M26" s="188">
        <v>6.944219576029294</v>
      </c>
      <c r="N26" s="186">
        <v>-8.5938280463419243</v>
      </c>
      <c r="O26" s="187">
        <v>-23.3134378504114</v>
      </c>
    </row>
    <row r="27" spans="2:15" ht="12.75" customHeight="1">
      <c r="B27" s="140">
        <v>2040</v>
      </c>
      <c r="C27" s="185">
        <v>3.2738145127714455</v>
      </c>
      <c r="D27" s="186">
        <v>10.716238794733629</v>
      </c>
      <c r="E27" s="186">
        <v>16.821507772629094</v>
      </c>
      <c r="F27" s="186">
        <v>0.52121644038394854</v>
      </c>
      <c r="G27" s="186">
        <v>4.350595858936722</v>
      </c>
      <c r="H27" s="187">
        <v>4.4214531680444811</v>
      </c>
      <c r="I27" s="188">
        <v>11.319506520653363</v>
      </c>
      <c r="J27" s="186">
        <v>3.5770233961837019</v>
      </c>
      <c r="K27" s="186">
        <v>7.6641533689906138</v>
      </c>
      <c r="L27" s="187">
        <v>8.3895031755311464</v>
      </c>
      <c r="M27" s="188">
        <v>0.9846502109691434</v>
      </c>
      <c r="N27" s="186">
        <v>2.0791644179897633</v>
      </c>
      <c r="O27" s="187">
        <v>-45.096067157469641</v>
      </c>
    </row>
    <row r="28" spans="2:15" ht="12.75" customHeight="1">
      <c r="B28" s="140">
        <v>2041</v>
      </c>
      <c r="C28" s="185">
        <v>1.8809926843360414</v>
      </c>
      <c r="D28" s="186">
        <v>6.4116608059167417</v>
      </c>
      <c r="E28" s="186">
        <v>9.3361149546424027</v>
      </c>
      <c r="F28" s="186">
        <v>6.0725277777638897</v>
      </c>
      <c r="G28" s="186">
        <v>4.3985673474212659</v>
      </c>
      <c r="H28" s="187">
        <v>3.9594364001451297</v>
      </c>
      <c r="I28" s="188">
        <v>12.653170293954863</v>
      </c>
      <c r="J28" s="186">
        <v>10.151864847646703</v>
      </c>
      <c r="K28" s="186">
        <v>2.0896313097980634</v>
      </c>
      <c r="L28" s="187">
        <v>12.170109071038723</v>
      </c>
      <c r="M28" s="188">
        <v>4.456159221302487</v>
      </c>
      <c r="N28" s="186">
        <v>-9.0144347879248947</v>
      </c>
      <c r="O28" s="187">
        <v>-57.467074735119922</v>
      </c>
    </row>
    <row r="29" spans="2:15" ht="12.75" customHeight="1">
      <c r="B29" s="140">
        <v>2042</v>
      </c>
      <c r="C29" s="185">
        <v>3.1547420022548565</v>
      </c>
      <c r="D29" s="186">
        <v>-8.2414804646314845</v>
      </c>
      <c r="E29" s="186">
        <v>21.261717741856703</v>
      </c>
      <c r="F29" s="186">
        <v>8.1349081016091827</v>
      </c>
      <c r="G29" s="186">
        <v>6.0196378593769424</v>
      </c>
      <c r="H29" s="187">
        <v>8.0231130456033757</v>
      </c>
      <c r="I29" s="188">
        <v>13.034473874141284</v>
      </c>
      <c r="J29" s="186">
        <v>12.162270133321435</v>
      </c>
      <c r="K29" s="186">
        <v>6.4123897050758165</v>
      </c>
      <c r="L29" s="187">
        <v>15.466765094687979</v>
      </c>
      <c r="M29" s="188">
        <v>11.064209124417641</v>
      </c>
      <c r="N29" s="186">
        <v>-28.926714182098539</v>
      </c>
      <c r="O29" s="187">
        <v>-45.293494655705651</v>
      </c>
    </row>
    <row r="30" spans="2:15" ht="12.75" customHeight="1">
      <c r="B30" s="141">
        <v>2043</v>
      </c>
      <c r="C30" s="189">
        <v>5.985306332450576</v>
      </c>
      <c r="D30" s="190">
        <v>-11.684829843331432</v>
      </c>
      <c r="E30" s="190">
        <v>23.475345195113199</v>
      </c>
      <c r="F30" s="190">
        <v>4.4330822298930004</v>
      </c>
      <c r="G30" s="190">
        <v>7.3481249241005475</v>
      </c>
      <c r="H30" s="191">
        <v>12.030250281039896</v>
      </c>
      <c r="I30" s="192">
        <v>13.894608184121486</v>
      </c>
      <c r="J30" s="190">
        <v>17.63595251677329</v>
      </c>
      <c r="K30" s="190">
        <v>8.2513355462464055</v>
      </c>
      <c r="L30" s="191">
        <v>10.538359296258919</v>
      </c>
      <c r="M30" s="192">
        <v>4.4060463586681431</v>
      </c>
      <c r="N30" s="190">
        <v>-5.9391958095931425</v>
      </c>
      <c r="O30" s="191">
        <v>-21.007242177063748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>
      <selection activeCell="B1" sqref="B1:K1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Wind - 80.0 MW and 30.4% CF</v>
      </c>
      <c r="C5" s="1"/>
      <c r="D5" s="1"/>
      <c r="H5" s="48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3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3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3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3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3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3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3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3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3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3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3">
        <f t="shared" si="0"/>
        <v>2027</v>
      </c>
    </row>
    <row r="49" spans="2:15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3">
        <f t="shared" si="0"/>
        <v>2027</v>
      </c>
      <c r="N49" s="3"/>
      <c r="O49" s="3"/>
    </row>
    <row r="50" spans="2:15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3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3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3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3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3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3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3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3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3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3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3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3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3">
        <f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3">
        <f>YEAR(H342)</f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3">
        <f>YEAR(H343)</f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3">
        <f t="shared" ref="M344:M365" si="14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3">
        <f t="shared" si="14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3">
        <f t="shared" si="14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3">
        <f t="shared" si="14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3">
        <f t="shared" si="14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3">
        <f t="shared" si="14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3">
        <f t="shared" si="14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3">
        <f t="shared" si="14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3">
        <f t="shared" si="14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3">
        <f t="shared" si="14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3">
        <f t="shared" si="14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3">
        <f t="shared" si="14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3">
        <f t="shared" si="14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3">
        <f t="shared" si="14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3">
        <f t="shared" si="14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3">
        <f t="shared" si="14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3">
        <f t="shared" si="14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3">
        <f t="shared" si="14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3">
        <f t="shared" si="14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3">
        <f t="shared" si="14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83"/>
  <sheetViews>
    <sheetView view="pageBreakPreview" topLeftCell="B253" zoomScale="70" zoomScaleNormal="100" zoomScaleSheetLayoutView="70" workbookViewId="0">
      <selection activeCell="B1" sqref="B1:K1"/>
    </sheetView>
  </sheetViews>
  <sheetFormatPr defaultColWidth="9.33203125" defaultRowHeight="17.45" customHeight="1" outlineLevelRow="1"/>
  <cols>
    <col min="1" max="1" width="18.5" style="330" customWidth="1"/>
    <col min="2" max="2" width="22.83203125" style="330" customWidth="1"/>
    <col min="3" max="3" width="42" style="330" customWidth="1"/>
    <col min="4" max="4" width="18.33203125" style="330" customWidth="1"/>
    <col min="5" max="5" width="18.5" style="330" customWidth="1"/>
    <col min="6" max="7" width="16.1640625" style="330" customWidth="1"/>
    <col min="8" max="8" width="6.5" style="330" customWidth="1"/>
    <col min="9" max="9" width="9.5" style="330" customWidth="1"/>
    <col min="10" max="11" width="10" style="330" customWidth="1"/>
    <col min="12" max="12" width="9.33203125" style="330" customWidth="1"/>
    <col min="13" max="13" width="30.1640625" style="330" customWidth="1"/>
    <col min="14" max="14" width="20" style="330" customWidth="1"/>
    <col min="15" max="15" width="14.6640625" style="330" customWidth="1"/>
    <col min="16" max="16" width="14.33203125" style="330" customWidth="1"/>
    <col min="17" max="17" width="14.6640625" style="330" customWidth="1"/>
    <col min="18" max="18" width="13.6640625" style="330" customWidth="1"/>
    <col min="19" max="19" width="16" style="330" customWidth="1"/>
    <col min="20" max="20" width="15.1640625" style="330" bestFit="1" customWidth="1"/>
    <col min="21" max="21" width="13.83203125" style="330" customWidth="1"/>
    <col min="22" max="23" width="9.33203125" style="330"/>
    <col min="24" max="24" width="14.33203125" style="330" bestFit="1" customWidth="1"/>
    <col min="25" max="27" width="9.33203125" style="330"/>
    <col min="28" max="28" width="11.1640625" style="330" bestFit="1" customWidth="1"/>
    <col min="29" max="29" width="15.1640625" style="330" customWidth="1"/>
    <col min="30" max="30" width="11.1640625" style="330" bestFit="1" customWidth="1"/>
    <col min="31" max="16384" width="9.33203125" style="330"/>
  </cols>
  <sheetData>
    <row r="1" spans="1:30" s="3" customFormat="1" ht="17.45" customHeight="1">
      <c r="B1" s="1" t="s">
        <v>334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0" t="s">
        <v>51</v>
      </c>
      <c r="O3" s="331"/>
    </row>
    <row r="4" spans="1:30" ht="17.45" customHeight="1">
      <c r="B4" s="193" t="str">
        <f ca="1">'Table 1'!B5</f>
        <v>QF - Sch38 - UT - Wind - 80.0 MW and 30.4% CF</v>
      </c>
      <c r="C4" s="193"/>
      <c r="D4" s="193"/>
      <c r="E4" s="193"/>
      <c r="F4" s="193"/>
      <c r="G4" s="193"/>
      <c r="K4" s="332">
        <f>MIN(K13:K24)</f>
        <v>46023</v>
      </c>
      <c r="M4" s="333" t="s">
        <v>340</v>
      </c>
      <c r="P4" s="334"/>
      <c r="Q4" s="334" t="s">
        <v>314</v>
      </c>
      <c r="R4" s="334" t="s">
        <v>312</v>
      </c>
      <c r="S4" s="334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0" t="s">
        <v>36</v>
      </c>
      <c r="K5" s="332">
        <f>MIN(K13:K24)</f>
        <v>46023</v>
      </c>
      <c r="M5" s="330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5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0" t="s">
        <v>39</v>
      </c>
      <c r="K6" s="332">
        <f>EDATE(K5,20*12-1)</f>
        <v>53297</v>
      </c>
      <c r="M6" s="333">
        <v>80</v>
      </c>
      <c r="N6" s="330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5">
        <f>S5+15*12-1</f>
        <v>192</v>
      </c>
    </row>
    <row r="7" spans="1:30" ht="17.45" customHeight="1">
      <c r="A7" s="334" t="str">
        <f>Q4</f>
        <v>15 Year Starting 2028</v>
      </c>
      <c r="B7" s="193"/>
      <c r="C7" s="336">
        <f ca="1">NPV($K$10,INDIRECT("C"&amp;$Q$5&amp;":C"&amp;$Q$6))</f>
        <v>-59695948.678968854</v>
      </c>
      <c r="D7" s="336">
        <f ca="1">NPV($K$10,INDIRECT("D"&amp;$Q$5&amp;":D"&amp;$Q$6))</f>
        <v>69096790.718958825</v>
      </c>
      <c r="E7" s="336">
        <f ca="1">NPV($K$10,INDIRECT("e"&amp;$Q$5&amp;":e"&amp;$Q$6))</f>
        <v>9400842.0399899967</v>
      </c>
      <c r="F7" s="337">
        <f ca="1">NPV($K$10,INDIRECT("F"&amp;$Q$5&amp;":F"&amp;$Q$6))</f>
        <v>2079944.5414327171</v>
      </c>
      <c r="G7" s="338">
        <f ca="1">($C7+D7)/$F7</f>
        <v>4.5197561053788666</v>
      </c>
      <c r="K7" s="332"/>
      <c r="M7" s="333"/>
      <c r="O7" s="3"/>
      <c r="P7"/>
      <c r="Q7"/>
      <c r="R7"/>
      <c r="S7"/>
      <c r="AB7" s="330" t="s">
        <v>316</v>
      </c>
    </row>
    <row r="8" spans="1:30" ht="17.45" customHeight="1">
      <c r="A8" s="334" t="str">
        <f>R4</f>
        <v>15 Year Starting 2027</v>
      </c>
      <c r="C8" s="336">
        <f ca="1">NPV($K$10,INDIRECT("C"&amp;$R$5&amp;":C"&amp;$R$6))</f>
        <v>-51383497.915015317</v>
      </c>
      <c r="D8" s="336">
        <f ca="1">NPV($K$10,INDIRECT("D"&amp;$R$5&amp;":D"&amp;$R$6))</f>
        <v>61428704.970223099</v>
      </c>
      <c r="E8" s="336">
        <f ca="1">NPV($K$10,INDIRECT("e"&amp;$R$5&amp;":e"&amp;$R$6))</f>
        <v>10045207.055207793</v>
      </c>
      <c r="F8" s="337">
        <f ca="1">NPV($K$10,INDIRECT("F"&amp;$R$5&amp;":F"&amp;$R$6))</f>
        <v>2079674.6643826819</v>
      </c>
      <c r="G8" s="338">
        <f ca="1">($C8+D8)/$F8</f>
        <v>4.8301819641532919</v>
      </c>
      <c r="M8" s="339">
        <f ca="1">ROUNDUP(SUM(OFFSET(F12,MATCH(K5,B13:B24,0),0,12))/(EDATE(K5,12)-K5)/24/Study_MW,4)</f>
        <v>0.30409999999999998</v>
      </c>
      <c r="N8" s="340" t="s">
        <v>33</v>
      </c>
      <c r="AB8" s="331" t="s">
        <v>317</v>
      </c>
    </row>
    <row r="9" spans="1:30" ht="17.45" customHeight="1">
      <c r="A9" s="334"/>
      <c r="B9" s="334" t="str">
        <f>"Nominal NPV at "&amp;TEXT(J10,"0.00%")&amp;" Discount Rate"</f>
        <v>Nominal NPV at 6.38% Discount Rate</v>
      </c>
      <c r="J9" s="330" t="str">
        <f>'Table 1'!I49</f>
        <v>Discount Rate - 2025 IRP</v>
      </c>
      <c r="AB9" s="330" t="s">
        <v>341</v>
      </c>
    </row>
    <row r="10" spans="1:30" ht="17.45" customHeight="1">
      <c r="A10" s="334" t="str">
        <f>S4</f>
        <v>15 Year Starting 2026</v>
      </c>
      <c r="C10" s="336">
        <f ca="1">NPV($K$10,INDIRECT("C"&amp;$S$5&amp;":C"&amp;$S$6))</f>
        <v>-44098549.253510959</v>
      </c>
      <c r="D10" s="336">
        <f ca="1">NPV($K$10,INDIRECT("d"&amp;$S$5&amp;":d"&amp;$S$6))</f>
        <v>54295688.790786564</v>
      </c>
      <c r="E10" s="336">
        <f ca="1">NPV($K$10,INDIRECT("e"&amp;$S$5&amp;":e"&amp;$S$6))</f>
        <v>10197139.537275629</v>
      </c>
      <c r="F10" s="337">
        <f ca="1">NPV($K$10,INDIRECT("F"&amp;$S$5&amp;":F"&amp;$S$6))</f>
        <v>2079756.6434704463</v>
      </c>
      <c r="G10" s="338">
        <f ca="1">($C10+D10)/$F10</f>
        <v>4.903044579417644</v>
      </c>
      <c r="J10" s="341">
        <f>'Table 1'!I50</f>
        <v>6.3799999999999996E-2</v>
      </c>
      <c r="K10" s="342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0" t="s">
        <v>132</v>
      </c>
      <c r="U11" s="330" t="s">
        <v>132</v>
      </c>
      <c r="AA11" s="330" t="s">
        <v>107</v>
      </c>
      <c r="AB11" s="330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30.4% CF</v>
      </c>
      <c r="E12" s="200" t="s">
        <v>47</v>
      </c>
      <c r="F12" s="329" t="s">
        <v>44</v>
      </c>
      <c r="G12" s="199" t="str">
        <f>D12</f>
        <v>30.4%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0" t="s">
        <v>41</v>
      </c>
      <c r="Q12" s="330" t="s">
        <v>63</v>
      </c>
      <c r="R12" s="330" t="s">
        <v>64</v>
      </c>
      <c r="S12" s="330" t="s">
        <v>18</v>
      </c>
      <c r="U12" s="330" t="s">
        <v>6</v>
      </c>
      <c r="V12" s="330" t="str">
        <f t="shared" ref="V12:V75" si="0">IFERROR(IF(AND(MONTH(K13)&gt;=6,MONTH(K13)&lt;=9),"Summer","Winter"),"-")</f>
        <v>Winter</v>
      </c>
    </row>
    <row r="13" spans="1:30" ht="17.45" customHeight="1">
      <c r="B13" s="312">
        <v>46023</v>
      </c>
      <c r="C13" s="343">
        <v>483254.44697709463</v>
      </c>
      <c r="D13" s="344">
        <f>IF(ISNUMBER($F13),VLOOKUP($J13,'Table 1'!$B$13:$C$37,2,FALSE)/12*1000*Study_MW,"")</f>
        <v>0</v>
      </c>
      <c r="E13" s="345">
        <f t="shared" ref="E13" si="1">IF(ISNUMBER(C13+D13),C13+D13,"")</f>
        <v>483254.44697709463</v>
      </c>
      <c r="F13" s="346">
        <v>17943.308888460004</v>
      </c>
      <c r="G13" s="347">
        <f t="shared" ref="G13:G76" si="2">IF(ISNUMBER($F13),E13/$F13,"")</f>
        <v>26.932292699251985</v>
      </c>
      <c r="I13" s="348">
        <f>(YEAR(B13)-2025)*13+1</f>
        <v>14</v>
      </c>
      <c r="J13" s="349">
        <f>YEAR(B13)</f>
        <v>2026</v>
      </c>
      <c r="K13" s="202">
        <f t="shared" ref="K13:K24" si="3">IF(ISNUMBER(F13),B13,"")</f>
        <v>46023</v>
      </c>
      <c r="L13" s="330">
        <v>840</v>
      </c>
      <c r="M13" s="334" t="s">
        <v>117</v>
      </c>
      <c r="V13" s="330" t="str">
        <f t="shared" si="0"/>
        <v>Winter</v>
      </c>
      <c r="AA13" s="350">
        <f t="shared" ref="AA13:AA76" si="4">Inflation</f>
        <v>2.18E-2</v>
      </c>
      <c r="AB13" s="351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2">
        <v>511041.5049133735</v>
      </c>
      <c r="D14" s="353">
        <f>IF(ISNUMBER($F14),VLOOKUP($J14,'Table 1'!$B$13:$C$37,2,FALSE)/12*1000*Study_MW,"")</f>
        <v>0</v>
      </c>
      <c r="E14" s="353">
        <f t="shared" ref="E14:E77" si="6">IF(ISNUMBER(C14+D14),C14+D14,"")</f>
        <v>511041.5049133735</v>
      </c>
      <c r="F14" s="352">
        <v>20134.57358511</v>
      </c>
      <c r="G14" s="354">
        <f t="shared" si="2"/>
        <v>25.381292668214286</v>
      </c>
      <c r="I14" s="355">
        <f>I13+1</f>
        <v>15</v>
      </c>
      <c r="J14" s="349">
        <f t="shared" ref="J14:J77" si="7">YEAR(B14)</f>
        <v>2026</v>
      </c>
      <c r="K14" s="203">
        <f t="shared" si="3"/>
        <v>46054</v>
      </c>
      <c r="L14" s="330">
        <v>1151</v>
      </c>
      <c r="M14" s="356" t="s">
        <v>341</v>
      </c>
      <c r="V14" s="330" t="str">
        <f t="shared" si="0"/>
        <v>Winter</v>
      </c>
      <c r="AA14" s="350">
        <f t="shared" si="4"/>
        <v>2.18E-2</v>
      </c>
      <c r="AB14" s="351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2">
        <v>211012.86884734873</v>
      </c>
      <c r="D15" s="353">
        <f>IF(ISNUMBER($F15),VLOOKUP($J15,'Table 1'!$B$13:$C$37,2,FALSE)/12*1000*Study_MW,"")</f>
        <v>0</v>
      </c>
      <c r="E15" s="353">
        <f t="shared" si="6"/>
        <v>211012.86884734873</v>
      </c>
      <c r="F15" s="352">
        <v>18349.125429259999</v>
      </c>
      <c r="G15" s="354">
        <f t="shared" si="2"/>
        <v>11.499886992480963</v>
      </c>
      <c r="I15" s="355">
        <f t="shared" ref="I15:I24" si="9">I14+1</f>
        <v>16</v>
      </c>
      <c r="J15" s="349">
        <f t="shared" si="7"/>
        <v>2026</v>
      </c>
      <c r="K15" s="203">
        <f t="shared" si="3"/>
        <v>46082</v>
      </c>
      <c r="V15" s="330" t="str">
        <f t="shared" si="0"/>
        <v>Winter</v>
      </c>
      <c r="AA15" s="350">
        <f t="shared" si="4"/>
        <v>2.18E-2</v>
      </c>
      <c r="AB15" s="351">
        <f t="shared" si="8"/>
        <v>0</v>
      </c>
    </row>
    <row r="16" spans="1:30" ht="17.45" customHeight="1">
      <c r="B16" s="203">
        <f t="shared" si="5"/>
        <v>46113</v>
      </c>
      <c r="C16" s="352">
        <v>145351.65962109022</v>
      </c>
      <c r="D16" s="353">
        <f>IF(ISNUMBER($F16),VLOOKUP($J16,'Table 1'!$B$13:$C$37,2,FALSE)/12*1000*Study_MW,"")</f>
        <v>0</v>
      </c>
      <c r="E16" s="353">
        <f t="shared" si="6"/>
        <v>145351.65962109022</v>
      </c>
      <c r="F16" s="352">
        <v>20661.518720159998</v>
      </c>
      <c r="G16" s="354">
        <f t="shared" si="2"/>
        <v>7.0348971723587148</v>
      </c>
      <c r="I16" s="355">
        <f t="shared" si="9"/>
        <v>17</v>
      </c>
      <c r="J16" s="349">
        <f t="shared" si="7"/>
        <v>2026</v>
      </c>
      <c r="K16" s="203">
        <f t="shared" si="3"/>
        <v>46113</v>
      </c>
      <c r="L16" s="349">
        <f>YEAR(B13)</f>
        <v>2026</v>
      </c>
      <c r="M16" s="330">
        <f>SUMIF($J$13:$J$350,L16,$C$13:$C$350)</f>
        <v>4511113.438976435</v>
      </c>
      <c r="N16" s="330">
        <f>SUMIF($J$13:$J$350,L16,$D$13:$D$350)</f>
        <v>0</v>
      </c>
      <c r="O16" s="330">
        <f>SUMIF($J$13:$J$350,L16,$F$13:$F$350)</f>
        <v>213067.16707245939</v>
      </c>
      <c r="P16" s="357">
        <f t="shared" ref="P16:P25" si="10">(M16+N16)/O16</f>
        <v>21.172259907329156</v>
      </c>
      <c r="Q16" s="358">
        <f>M16/O16</f>
        <v>21.172259907329156</v>
      </c>
      <c r="R16" s="358">
        <f>IFERROR(N16/O16,0)</f>
        <v>0</v>
      </c>
      <c r="S16" s="330">
        <f>SUMIFS($C$13:$C$312,$J$13:$J$312,L16,$V$13:$V$312,"Summer")</f>
        <v>1594128.5506207133</v>
      </c>
      <c r="U16" s="330">
        <f>SUMIFS($D$13:$D$276,$J$13:$J$276,L16,$V$12:$V$275,"Summer")</f>
        <v>0</v>
      </c>
      <c r="V16" s="330" t="str">
        <f t="shared" si="0"/>
        <v>Winter</v>
      </c>
      <c r="X16" s="330">
        <f>M16+N16</f>
        <v>4511113.438976435</v>
      </c>
      <c r="AA16" s="350">
        <f t="shared" si="4"/>
        <v>2.18E-2</v>
      </c>
      <c r="AB16" s="351">
        <f t="shared" si="8"/>
        <v>0</v>
      </c>
    </row>
    <row r="17" spans="2:28" ht="17.45" customHeight="1">
      <c r="B17" s="203">
        <f t="shared" si="5"/>
        <v>46143</v>
      </c>
      <c r="C17" s="352">
        <v>324224.57084376219</v>
      </c>
      <c r="D17" s="353">
        <f>IF(ISNUMBER($F17),VLOOKUP($J17,'Table 1'!$B$13:$C$37,2,FALSE)/12*1000*Study_MW,"")</f>
        <v>0</v>
      </c>
      <c r="E17" s="353">
        <f t="shared" si="6"/>
        <v>324224.57084376219</v>
      </c>
      <c r="F17" s="352">
        <v>22464.29332414001</v>
      </c>
      <c r="G17" s="354">
        <f t="shared" si="2"/>
        <v>14.432885386844205</v>
      </c>
      <c r="I17" s="355">
        <f t="shared" si="9"/>
        <v>18</v>
      </c>
      <c r="J17" s="349">
        <f t="shared" si="7"/>
        <v>2026</v>
      </c>
      <c r="K17" s="203">
        <f t="shared" si="3"/>
        <v>46143</v>
      </c>
      <c r="L17" s="349">
        <f>L16+1</f>
        <v>2027</v>
      </c>
      <c r="M17" s="330">
        <f t="shared" ref="M17:M41" si="11">SUMIF($J$13:$J$350,L17,$C$13:$C$350)</f>
        <v>5159019.4789320724</v>
      </c>
      <c r="N17" s="330">
        <f t="shared" ref="N17:N41" si="12">SUMIF($J$13:$J$350,L17,$D$13:$D$350)</f>
        <v>0</v>
      </c>
      <c r="O17" s="330">
        <f t="shared" ref="O17:O41" si="13">SUMIF($J$13:$J$350,L17,$F$13:$F$350)</f>
        <v>212724.94863765634</v>
      </c>
      <c r="P17" s="357">
        <f t="shared" si="10"/>
        <v>24.252065928193758</v>
      </c>
      <c r="Q17" s="358">
        <f t="shared" ref="Q17:Q33" si="14">M17/O17</f>
        <v>24.252065928193758</v>
      </c>
      <c r="R17" s="358">
        <f t="shared" ref="R17:R33" si="15">IFERROR(N17/O17,0)</f>
        <v>0</v>
      </c>
      <c r="S17" s="330">
        <f t="shared" ref="S17:S41" si="16">SUMIFS($C$13:$C$312,$J$13:$J$312,L17,$V$13:$V$312,"Summer")</f>
        <v>1691941.4651712067</v>
      </c>
      <c r="U17" s="330">
        <f t="shared" ref="U17:U41" si="17">SUMIFS($D$13:$D$276,$J$13:$J$276,L17,$V$12:$V$275,"Summer")</f>
        <v>0</v>
      </c>
      <c r="V17" s="330" t="str">
        <f t="shared" si="0"/>
        <v>Summer</v>
      </c>
      <c r="X17" s="330">
        <f t="shared" ref="X17:X50" si="18">M17+N17</f>
        <v>5159019.4789320724</v>
      </c>
      <c r="AA17" s="350">
        <f t="shared" si="4"/>
        <v>2.18E-2</v>
      </c>
      <c r="AB17" s="351">
        <f t="shared" si="8"/>
        <v>0</v>
      </c>
    </row>
    <row r="18" spans="2:28" ht="17.45" customHeight="1">
      <c r="B18" s="203">
        <f t="shared" si="5"/>
        <v>46174</v>
      </c>
      <c r="C18" s="352">
        <v>426748.18046274595</v>
      </c>
      <c r="D18" s="353">
        <f>IF(ISNUMBER($F18),VLOOKUP($J18,'Table 1'!$B$13:$C$37,2,FALSE)/12*1000*Study_MW,"")</f>
        <v>0</v>
      </c>
      <c r="E18" s="353">
        <f t="shared" si="6"/>
        <v>426748.18046274595</v>
      </c>
      <c r="F18" s="352">
        <v>21524.017336009998</v>
      </c>
      <c r="G18" s="354">
        <f t="shared" si="2"/>
        <v>19.826604569249717</v>
      </c>
      <c r="I18" s="355">
        <f t="shared" si="9"/>
        <v>19</v>
      </c>
      <c r="J18" s="349">
        <f t="shared" si="7"/>
        <v>2026</v>
      </c>
      <c r="K18" s="203">
        <f t="shared" si="3"/>
        <v>46174</v>
      </c>
      <c r="L18" s="349">
        <f t="shared" ref="L18:L42" si="19">L17+1</f>
        <v>2028</v>
      </c>
      <c r="M18" s="330">
        <f t="shared" si="11"/>
        <v>5410206.7664234508</v>
      </c>
      <c r="N18" s="330">
        <f t="shared" si="12"/>
        <v>0</v>
      </c>
      <c r="O18" s="330">
        <f t="shared" si="13"/>
        <v>213156.9874370473</v>
      </c>
      <c r="P18" s="357">
        <f t="shared" si="10"/>
        <v>25.381324963702042</v>
      </c>
      <c r="Q18" s="358">
        <f t="shared" si="14"/>
        <v>25.381324963702042</v>
      </c>
      <c r="R18" s="358">
        <f t="shared" si="15"/>
        <v>0</v>
      </c>
      <c r="S18" s="330">
        <f t="shared" si="16"/>
        <v>1617643.0678878971</v>
      </c>
      <c r="U18" s="330">
        <f t="shared" si="17"/>
        <v>0</v>
      </c>
      <c r="V18" s="330" t="str">
        <f t="shared" si="0"/>
        <v>Summer</v>
      </c>
      <c r="X18" s="330">
        <f t="shared" si="18"/>
        <v>5410206.7664234508</v>
      </c>
      <c r="AA18" s="350">
        <f t="shared" si="4"/>
        <v>2.18E-2</v>
      </c>
      <c r="AB18" s="351">
        <f t="shared" si="8"/>
        <v>0</v>
      </c>
    </row>
    <row r="19" spans="2:28" ht="17.45" customHeight="1">
      <c r="B19" s="203">
        <f t="shared" si="5"/>
        <v>46204</v>
      </c>
      <c r="C19" s="352">
        <v>435251.86667965318</v>
      </c>
      <c r="D19" s="353">
        <f>IF(ISNUMBER($F19),VLOOKUP($J19,'Table 1'!$B$13:$C$37,2,FALSE)/12*1000*Study_MW,"")</f>
        <v>0</v>
      </c>
      <c r="E19" s="353">
        <f t="shared" si="6"/>
        <v>435251.86667965318</v>
      </c>
      <c r="F19" s="352">
        <v>15147.51103519</v>
      </c>
      <c r="G19" s="354">
        <f t="shared" si="2"/>
        <v>28.734216840542057</v>
      </c>
      <c r="I19" s="355">
        <f t="shared" si="9"/>
        <v>20</v>
      </c>
      <c r="J19" s="349">
        <f t="shared" si="7"/>
        <v>2026</v>
      </c>
      <c r="K19" s="203">
        <f t="shared" si="3"/>
        <v>46204</v>
      </c>
      <c r="L19" s="349">
        <f t="shared" si="19"/>
        <v>2029</v>
      </c>
      <c r="M19" s="330">
        <f t="shared" si="11"/>
        <v>-8017339.0351969451</v>
      </c>
      <c r="N19" s="330">
        <f t="shared" si="12"/>
        <v>6960996.0577442022</v>
      </c>
      <c r="O19" s="330">
        <f t="shared" si="13"/>
        <v>212611.19116223199</v>
      </c>
      <c r="P19" s="357">
        <f t="shared" si="10"/>
        <v>-4.9684260347645823</v>
      </c>
      <c r="Q19" s="358">
        <f t="shared" si="14"/>
        <v>-37.708922993989304</v>
      </c>
      <c r="R19" s="358">
        <f t="shared" si="15"/>
        <v>32.740496959224721</v>
      </c>
      <c r="S19" s="330">
        <f t="shared" si="16"/>
        <v>-1416019.4505863364</v>
      </c>
      <c r="U19" s="330">
        <f t="shared" si="17"/>
        <v>2320332.0192480669</v>
      </c>
      <c r="V19" s="330" t="str">
        <f t="shared" si="0"/>
        <v>Summer</v>
      </c>
      <c r="X19" s="330">
        <f t="shared" si="18"/>
        <v>-1056342.9774527429</v>
      </c>
      <c r="AA19" s="350">
        <f t="shared" si="4"/>
        <v>2.18E-2</v>
      </c>
      <c r="AB19" s="351">
        <f t="shared" si="8"/>
        <v>0</v>
      </c>
    </row>
    <row r="20" spans="2:28" ht="17.45" customHeight="1">
      <c r="B20" s="203">
        <f t="shared" si="5"/>
        <v>46235</v>
      </c>
      <c r="C20" s="352">
        <v>407903.93263455189</v>
      </c>
      <c r="D20" s="353">
        <f>IF(ISNUMBER($F20),VLOOKUP($J20,'Table 1'!$B$13:$C$37,2,FALSE)/12*1000*Study_MW,"")</f>
        <v>0</v>
      </c>
      <c r="E20" s="353">
        <f t="shared" si="6"/>
        <v>407903.93263455189</v>
      </c>
      <c r="F20" s="352">
        <v>12548.558045939999</v>
      </c>
      <c r="G20" s="354">
        <f t="shared" si="2"/>
        <v>32.506040227189807</v>
      </c>
      <c r="I20" s="355">
        <f t="shared" si="9"/>
        <v>21</v>
      </c>
      <c r="J20" s="349">
        <f t="shared" si="7"/>
        <v>2026</v>
      </c>
      <c r="K20" s="203">
        <f t="shared" si="3"/>
        <v>46235</v>
      </c>
      <c r="L20" s="349">
        <f t="shared" si="19"/>
        <v>2030</v>
      </c>
      <c r="M20" s="330">
        <f t="shared" si="11"/>
        <v>-8555163.4565687254</v>
      </c>
      <c r="N20" s="330">
        <f t="shared" si="12"/>
        <v>7112745.7681370964</v>
      </c>
      <c r="O20" s="330">
        <f t="shared" si="13"/>
        <v>212907.25611549767</v>
      </c>
      <c r="P20" s="357">
        <f t="shared" si="10"/>
        <v>-6.7748639231400736</v>
      </c>
      <c r="Q20" s="358">
        <f t="shared" si="14"/>
        <v>-40.182582842210557</v>
      </c>
      <c r="R20" s="358">
        <f t="shared" si="15"/>
        <v>33.407718919070483</v>
      </c>
      <c r="S20" s="330">
        <f t="shared" si="16"/>
        <v>-1575193.2042215613</v>
      </c>
      <c r="U20" s="330">
        <f t="shared" si="17"/>
        <v>2370915.2560456982</v>
      </c>
      <c r="V20" s="330" t="str">
        <f t="shared" si="0"/>
        <v>Summer</v>
      </c>
      <c r="X20" s="330">
        <f t="shared" si="18"/>
        <v>-1442417.688431629</v>
      </c>
      <c r="AA20" s="350">
        <f t="shared" si="4"/>
        <v>2.18E-2</v>
      </c>
      <c r="AB20" s="351">
        <f t="shared" si="8"/>
        <v>0</v>
      </c>
    </row>
    <row r="21" spans="2:28" ht="17.45" customHeight="1">
      <c r="B21" s="203">
        <f t="shared" si="5"/>
        <v>46266</v>
      </c>
      <c r="C21" s="352">
        <v>236055.89841293113</v>
      </c>
      <c r="D21" s="353">
        <f>IF(ISNUMBER($F21),VLOOKUP($J21,'Table 1'!$B$13:$C$37,2,FALSE)/12*1000*Study_MW,"")</f>
        <v>0</v>
      </c>
      <c r="E21" s="353">
        <f t="shared" si="6"/>
        <v>236055.89841293113</v>
      </c>
      <c r="F21" s="352">
        <v>12296.434959349997</v>
      </c>
      <c r="G21" s="354">
        <f t="shared" si="2"/>
        <v>19.197100557461845</v>
      </c>
      <c r="I21" s="355">
        <f t="shared" si="9"/>
        <v>22</v>
      </c>
      <c r="J21" s="349">
        <f t="shared" si="7"/>
        <v>2026</v>
      </c>
      <c r="K21" s="203">
        <f t="shared" si="3"/>
        <v>46266</v>
      </c>
      <c r="L21" s="349">
        <f t="shared" si="19"/>
        <v>2031</v>
      </c>
      <c r="M21" s="330">
        <f t="shared" si="11"/>
        <v>-9090448.9999635406</v>
      </c>
      <c r="N21" s="330">
        <f t="shared" si="12"/>
        <v>7267803.6256350065</v>
      </c>
      <c r="O21" s="330">
        <f t="shared" si="13"/>
        <v>213117.683204595</v>
      </c>
      <c r="P21" s="357">
        <f t="shared" si="10"/>
        <v>-8.5522953652737357</v>
      </c>
      <c r="Q21" s="358">
        <f t="shared" si="14"/>
        <v>-42.654597512852199</v>
      </c>
      <c r="R21" s="358">
        <f t="shared" si="15"/>
        <v>34.102302147578463</v>
      </c>
      <c r="S21" s="330">
        <f t="shared" si="16"/>
        <v>-1693182.7162457576</v>
      </c>
      <c r="U21" s="330">
        <f t="shared" si="17"/>
        <v>2422601.2085450017</v>
      </c>
      <c r="V21" s="330" t="str">
        <f t="shared" si="0"/>
        <v>Winter</v>
      </c>
      <c r="X21" s="330">
        <f t="shared" si="18"/>
        <v>-1822645.3743285341</v>
      </c>
      <c r="AA21" s="350">
        <f t="shared" si="4"/>
        <v>2.18E-2</v>
      </c>
      <c r="AB21" s="351">
        <f t="shared" si="8"/>
        <v>0</v>
      </c>
    </row>
    <row r="22" spans="2:28" ht="17.45" customHeight="1">
      <c r="B22" s="203">
        <f t="shared" si="5"/>
        <v>46296</v>
      </c>
      <c r="C22" s="352">
        <v>404147.68616885156</v>
      </c>
      <c r="D22" s="353">
        <f>IF(ISNUMBER($F22),VLOOKUP($J22,'Table 1'!$B$13:$C$37,2,FALSE)/12*1000*Study_MW,"")</f>
        <v>0</v>
      </c>
      <c r="E22" s="353">
        <f t="shared" si="6"/>
        <v>404147.68616885156</v>
      </c>
      <c r="F22" s="352">
        <v>22788.968736790001</v>
      </c>
      <c r="G22" s="354">
        <f t="shared" si="2"/>
        <v>17.734356075376269</v>
      </c>
      <c r="I22" s="355">
        <f t="shared" si="9"/>
        <v>23</v>
      </c>
      <c r="J22" s="349">
        <f t="shared" si="7"/>
        <v>2026</v>
      </c>
      <c r="K22" s="203">
        <f t="shared" si="3"/>
        <v>46296</v>
      </c>
      <c r="L22" s="349">
        <f t="shared" si="19"/>
        <v>2032</v>
      </c>
      <c r="M22" s="330">
        <f t="shared" si="11"/>
        <v>-9633324.8591681533</v>
      </c>
      <c r="N22" s="330">
        <f t="shared" si="12"/>
        <v>7426241.7426577797</v>
      </c>
      <c r="O22" s="330">
        <f t="shared" si="13"/>
        <v>213574.33252197035</v>
      </c>
      <c r="P22" s="357">
        <f t="shared" si="10"/>
        <v>-10.334027925773015</v>
      </c>
      <c r="Q22" s="358">
        <f t="shared" si="14"/>
        <v>-45.105255605456122</v>
      </c>
      <c r="R22" s="358">
        <f t="shared" si="15"/>
        <v>34.771227679683108</v>
      </c>
      <c r="S22" s="330">
        <f t="shared" si="16"/>
        <v>-1789295.356263625</v>
      </c>
      <c r="U22" s="330">
        <f t="shared" si="17"/>
        <v>2475413.9142192593</v>
      </c>
      <c r="V22" s="330" t="str">
        <f t="shared" si="0"/>
        <v>Winter</v>
      </c>
      <c r="X22" s="330">
        <f t="shared" si="18"/>
        <v>-2207083.1165103735</v>
      </c>
      <c r="AA22" s="350">
        <f t="shared" si="4"/>
        <v>2.18E-2</v>
      </c>
      <c r="AB22" s="351">
        <f t="shared" si="8"/>
        <v>0</v>
      </c>
    </row>
    <row r="23" spans="2:28" ht="17.45" customHeight="1">
      <c r="B23" s="203">
        <f t="shared" si="5"/>
        <v>46327</v>
      </c>
      <c r="C23" s="352">
        <v>395199.40284668701</v>
      </c>
      <c r="D23" s="353">
        <f>IF(ISNUMBER($F23),VLOOKUP($J23,'Table 1'!$B$13:$C$37,2,FALSE)/12*1000*Study_MW,"")</f>
        <v>0</v>
      </c>
      <c r="E23" s="353">
        <f t="shared" si="6"/>
        <v>395199.40284668701</v>
      </c>
      <c r="F23" s="352">
        <v>13895.100906430001</v>
      </c>
      <c r="G23" s="354">
        <f t="shared" si="2"/>
        <v>28.441636049134932</v>
      </c>
      <c r="I23" s="355">
        <f t="shared" si="9"/>
        <v>24</v>
      </c>
      <c r="J23" s="349">
        <f t="shared" si="7"/>
        <v>2026</v>
      </c>
      <c r="K23" s="203">
        <f t="shared" si="3"/>
        <v>46327</v>
      </c>
      <c r="L23" s="349">
        <f t="shared" si="19"/>
        <v>2033</v>
      </c>
      <c r="M23" s="330">
        <f t="shared" si="11"/>
        <v>-9515449.127185164</v>
      </c>
      <c r="N23" s="330">
        <f t="shared" si="12"/>
        <v>7588133.8127364581</v>
      </c>
      <c r="O23" s="330">
        <f t="shared" si="13"/>
        <v>212700.34532362066</v>
      </c>
      <c r="P23" s="357">
        <f t="shared" si="10"/>
        <v>-9.0611762360626269</v>
      </c>
      <c r="Q23" s="358">
        <f t="shared" si="14"/>
        <v>-44.736406575680633</v>
      </c>
      <c r="R23" s="358">
        <f t="shared" si="15"/>
        <v>35.675230339618004</v>
      </c>
      <c r="S23" s="330">
        <f t="shared" si="16"/>
        <v>-1943111.619580952</v>
      </c>
      <c r="T23" s="350"/>
      <c r="U23" s="330">
        <f t="shared" si="17"/>
        <v>2529377.9375788192</v>
      </c>
      <c r="V23" s="330" t="str">
        <f t="shared" si="0"/>
        <v>Winter</v>
      </c>
      <c r="X23" s="330">
        <f t="shared" si="18"/>
        <v>-1927315.3144487059</v>
      </c>
      <c r="AA23" s="350">
        <f t="shared" si="4"/>
        <v>2.18E-2</v>
      </c>
      <c r="AB23" s="351">
        <f t="shared" si="8"/>
        <v>0</v>
      </c>
    </row>
    <row r="24" spans="2:28" ht="17.45" customHeight="1">
      <c r="B24" s="204">
        <f t="shared" si="5"/>
        <v>46357</v>
      </c>
      <c r="C24" s="359">
        <v>530921.42056834418</v>
      </c>
      <c r="D24" s="360">
        <f>IF(ISNUMBER($F24),VLOOKUP($J24,'Table 1'!$B$13:$C$37,2,FALSE)/12*1000*Study_MW,"")</f>
        <v>0</v>
      </c>
      <c r="E24" s="360">
        <f t="shared" si="6"/>
        <v>530921.42056834418</v>
      </c>
      <c r="F24" s="359">
        <v>15313.756105619334</v>
      </c>
      <c r="G24" s="361">
        <f t="shared" si="2"/>
        <v>34.669575309059823</v>
      </c>
      <c r="I24" s="362">
        <f t="shared" si="9"/>
        <v>25</v>
      </c>
      <c r="J24" s="349">
        <f t="shared" si="7"/>
        <v>2026</v>
      </c>
      <c r="K24" s="204">
        <f t="shared" si="3"/>
        <v>46357</v>
      </c>
      <c r="L24" s="349">
        <f t="shared" si="19"/>
        <v>2034</v>
      </c>
      <c r="M24" s="330">
        <f t="shared" si="11"/>
        <v>-9685011.4614480976</v>
      </c>
      <c r="N24" s="330">
        <f t="shared" si="12"/>
        <v>7753555.135511118</v>
      </c>
      <c r="O24" s="330">
        <f t="shared" si="13"/>
        <v>212746.689402672</v>
      </c>
      <c r="P24" s="357">
        <f t="shared" si="10"/>
        <v>-9.0786668942295723</v>
      </c>
      <c r="Q24" s="358">
        <f t="shared" si="14"/>
        <v>-45.523676484182502</v>
      </c>
      <c r="R24" s="358">
        <f t="shared" si="15"/>
        <v>36.445009589952932</v>
      </c>
      <c r="S24" s="330">
        <f t="shared" si="16"/>
        <v>-1929153.3740682644</v>
      </c>
      <c r="U24" s="330">
        <f t="shared" si="17"/>
        <v>2584518.3785037054</v>
      </c>
      <c r="V24" s="330" t="str">
        <f t="shared" si="0"/>
        <v>Winter</v>
      </c>
      <c r="X24" s="330">
        <f t="shared" si="18"/>
        <v>-1931456.3259369796</v>
      </c>
      <c r="AA24" s="350">
        <f t="shared" si="4"/>
        <v>2.18E-2</v>
      </c>
      <c r="AB24" s="351">
        <f t="shared" si="8"/>
        <v>0</v>
      </c>
    </row>
    <row r="25" spans="2:28" ht="17.45" customHeight="1">
      <c r="B25" s="202">
        <f t="shared" si="5"/>
        <v>46388</v>
      </c>
      <c r="C25" s="343">
        <v>633572.76264276146</v>
      </c>
      <c r="D25" s="344">
        <f>IF(ISNUMBER($F25),VLOOKUP($J25,'Table 1'!$B$13:$C$37,2,FALSE)/12*1000*Study_MW,"")</f>
        <v>0</v>
      </c>
      <c r="E25" s="345">
        <f t="shared" si="6"/>
        <v>633572.76264276146</v>
      </c>
      <c r="F25" s="346">
        <v>18859.187018470002</v>
      </c>
      <c r="G25" s="347">
        <f t="shared" si="2"/>
        <v>33.594913822226978</v>
      </c>
      <c r="I25" s="363">
        <f>I13+13</f>
        <v>27</v>
      </c>
      <c r="J25" s="349">
        <f t="shared" si="7"/>
        <v>2027</v>
      </c>
      <c r="K25" s="202">
        <f>IF(ISNUMBER(F25),IF(F25&lt;&gt;0,B25,""),"")</f>
        <v>46388</v>
      </c>
      <c r="L25" s="349">
        <f t="shared" si="19"/>
        <v>2035</v>
      </c>
      <c r="M25" s="330">
        <f t="shared" si="11"/>
        <v>-9992149.6159748174</v>
      </c>
      <c r="N25" s="330">
        <f t="shared" si="12"/>
        <v>7922582.6354791792</v>
      </c>
      <c r="O25" s="330">
        <f t="shared" si="13"/>
        <v>212611.19116223199</v>
      </c>
      <c r="P25" s="357">
        <f t="shared" si="10"/>
        <v>-9.7340453678962966</v>
      </c>
      <c r="Q25" s="358">
        <f t="shared" si="14"/>
        <v>-46.997289095428442</v>
      </c>
      <c r="R25" s="358">
        <f t="shared" si="15"/>
        <v>37.263243727532149</v>
      </c>
      <c r="S25" s="330">
        <f t="shared" si="16"/>
        <v>-1942060.3685648676</v>
      </c>
      <c r="U25" s="330">
        <f t="shared" si="17"/>
        <v>2640860.8784930599</v>
      </c>
      <c r="V25" s="330" t="str">
        <f t="shared" si="0"/>
        <v>Winter</v>
      </c>
      <c r="X25" s="330">
        <f t="shared" si="18"/>
        <v>-2069566.9804956382</v>
      </c>
      <c r="AA25" s="350">
        <f t="shared" si="4"/>
        <v>2.18E-2</v>
      </c>
      <c r="AB25" s="351">
        <f t="shared" si="8"/>
        <v>0</v>
      </c>
    </row>
    <row r="26" spans="2:28" ht="17.45" customHeight="1">
      <c r="B26" s="203">
        <f t="shared" si="5"/>
        <v>46419</v>
      </c>
      <c r="C26" s="352">
        <v>613175.11973260844</v>
      </c>
      <c r="D26" s="353">
        <f>IF(ISNUMBER($F26),VLOOKUP($J26,'Table 1'!$B$13:$C$37,2,FALSE)/12*1000*Study_MW,"")</f>
        <v>0</v>
      </c>
      <c r="E26" s="353">
        <f t="shared" si="6"/>
        <v>613175.11973260844</v>
      </c>
      <c r="F26" s="352">
        <v>19028.330878009998</v>
      </c>
      <c r="G26" s="354">
        <f t="shared" si="2"/>
        <v>32.224325068953966</v>
      </c>
      <c r="I26" s="355">
        <f t="shared" ref="I26:I89" si="20">I14+13</f>
        <v>28</v>
      </c>
      <c r="J26" s="349">
        <f t="shared" si="7"/>
        <v>2027</v>
      </c>
      <c r="K26" s="203">
        <f t="shared" ref="K26:K89" si="21">IF(ISNUMBER(F26),IF(F26&lt;&gt;0,B26,""),"")</f>
        <v>46419</v>
      </c>
      <c r="L26" s="349">
        <f t="shared" si="19"/>
        <v>2036</v>
      </c>
      <c r="M26" s="330">
        <f t="shared" si="11"/>
        <v>-10760373.151543414</v>
      </c>
      <c r="N26" s="330">
        <f t="shared" si="12"/>
        <v>8095294.9369888715</v>
      </c>
      <c r="O26" s="330">
        <f t="shared" si="13"/>
        <v>213042.96579187759</v>
      </c>
      <c r="P26" s="357">
        <f t="shared" ref="P26:P41" si="22">(M26+N26)/O26</f>
        <v>-12.509580894391354</v>
      </c>
      <c r="Q26" s="358">
        <f t="shared" si="14"/>
        <v>-50.507995471933391</v>
      </c>
      <c r="R26" s="358">
        <f t="shared" si="15"/>
        <v>37.998414577542043</v>
      </c>
      <c r="S26" s="330">
        <f t="shared" si="16"/>
        <v>-2190318.353194234</v>
      </c>
      <c r="U26" s="330">
        <f t="shared" si="17"/>
        <v>2698431.6456629578</v>
      </c>
      <c r="V26" s="330" t="str">
        <f t="shared" si="0"/>
        <v>Winter</v>
      </c>
      <c r="X26" s="330">
        <f t="shared" si="18"/>
        <v>-2665078.2145545427</v>
      </c>
      <c r="AA26" s="350">
        <f t="shared" si="4"/>
        <v>2.18E-2</v>
      </c>
      <c r="AB26" s="351">
        <f t="shared" si="8"/>
        <v>0</v>
      </c>
    </row>
    <row r="27" spans="2:28" ht="17.45" customHeight="1">
      <c r="B27" s="203">
        <f t="shared" si="5"/>
        <v>46447</v>
      </c>
      <c r="C27" s="352">
        <v>280376.02067068656</v>
      </c>
      <c r="D27" s="353">
        <f>IF(ISNUMBER($F27),VLOOKUP($J27,'Table 1'!$B$13:$C$37,2,FALSE)/12*1000*Study_MW,"")</f>
        <v>0</v>
      </c>
      <c r="E27" s="353">
        <f t="shared" si="6"/>
        <v>280376.02067068656</v>
      </c>
      <c r="F27" s="352">
        <v>18220.792456949996</v>
      </c>
      <c r="G27" s="354">
        <f t="shared" si="2"/>
        <v>15.387696299879764</v>
      </c>
      <c r="I27" s="355">
        <f t="shared" si="20"/>
        <v>29</v>
      </c>
      <c r="J27" s="349">
        <f t="shared" si="7"/>
        <v>2027</v>
      </c>
      <c r="K27" s="203">
        <f t="shared" si="21"/>
        <v>46447</v>
      </c>
      <c r="L27" s="349">
        <f t="shared" si="19"/>
        <v>2037</v>
      </c>
      <c r="M27" s="330">
        <f t="shared" si="11"/>
        <v>-10647188.285566133</v>
      </c>
      <c r="N27" s="330">
        <f t="shared" si="12"/>
        <v>8271772.364239187</v>
      </c>
      <c r="O27" s="330">
        <f t="shared" si="13"/>
        <v>213067.16707245939</v>
      </c>
      <c r="P27" s="357">
        <f t="shared" si="22"/>
        <v>-11.148671820089106</v>
      </c>
      <c r="Q27" s="358">
        <f t="shared" si="14"/>
        <v>-49.971041676004738</v>
      </c>
      <c r="R27" s="358">
        <f t="shared" si="15"/>
        <v>38.822369855915632</v>
      </c>
      <c r="S27" s="330">
        <f t="shared" si="16"/>
        <v>-1968527.2056370124</v>
      </c>
      <c r="U27" s="330">
        <f t="shared" si="17"/>
        <v>2757257.4547463958</v>
      </c>
      <c r="V27" s="330" t="str">
        <f t="shared" si="0"/>
        <v>Winter</v>
      </c>
      <c r="X27" s="330">
        <f t="shared" si="18"/>
        <v>-2375415.9213269455</v>
      </c>
      <c r="AA27" s="350">
        <f t="shared" si="4"/>
        <v>2.18E-2</v>
      </c>
      <c r="AB27" s="351">
        <f t="shared" si="8"/>
        <v>0</v>
      </c>
    </row>
    <row r="28" spans="2:28" ht="17.45" customHeight="1">
      <c r="B28" s="203">
        <f t="shared" si="5"/>
        <v>46478</v>
      </c>
      <c r="C28" s="352">
        <v>257097.24911603917</v>
      </c>
      <c r="D28" s="353">
        <f>IF(ISNUMBER($F28),VLOOKUP($J28,'Table 1'!$B$13:$C$37,2,FALSE)/12*1000*Study_MW,"")</f>
        <v>0</v>
      </c>
      <c r="E28" s="353">
        <f t="shared" si="6"/>
        <v>257097.24911603917</v>
      </c>
      <c r="F28" s="352">
        <v>21563.636811889999</v>
      </c>
      <c r="G28" s="354">
        <f t="shared" si="2"/>
        <v>11.922722097335548</v>
      </c>
      <c r="I28" s="355">
        <f t="shared" si="20"/>
        <v>30</v>
      </c>
      <c r="J28" s="349">
        <f t="shared" si="7"/>
        <v>2027</v>
      </c>
      <c r="K28" s="203">
        <f t="shared" si="21"/>
        <v>46478</v>
      </c>
      <c r="L28" s="349">
        <f t="shared" si="19"/>
        <v>2038</v>
      </c>
      <c r="M28" s="330">
        <f t="shared" si="11"/>
        <v>-10527607.161656613</v>
      </c>
      <c r="N28" s="330">
        <f t="shared" si="12"/>
        <v>8452097.0037744287</v>
      </c>
      <c r="O28" s="330">
        <f t="shared" si="13"/>
        <v>212724.94863765634</v>
      </c>
      <c r="P28" s="357">
        <f t="shared" si="22"/>
        <v>-9.7567782771803149</v>
      </c>
      <c r="Q28" s="358">
        <f t="shared" si="14"/>
        <v>-49.489292295417329</v>
      </c>
      <c r="R28" s="358">
        <f t="shared" si="15"/>
        <v>39.732514018237012</v>
      </c>
      <c r="S28" s="330">
        <f t="shared" si="16"/>
        <v>-1939503.7438073014</v>
      </c>
      <c r="U28" s="330">
        <f t="shared" si="17"/>
        <v>2817365.6679248093</v>
      </c>
      <c r="V28" s="330" t="str">
        <f t="shared" si="0"/>
        <v>Winter</v>
      </c>
      <c r="X28" s="330">
        <f t="shared" si="18"/>
        <v>-2075510.1578821838</v>
      </c>
      <c r="AA28" s="350">
        <f t="shared" si="4"/>
        <v>2.18E-2</v>
      </c>
      <c r="AB28" s="351">
        <f t="shared" si="8"/>
        <v>0</v>
      </c>
    </row>
    <row r="29" spans="2:28" ht="17.45" customHeight="1">
      <c r="B29" s="203">
        <f t="shared" si="5"/>
        <v>46508</v>
      </c>
      <c r="C29" s="352">
        <v>386105.56512307085</v>
      </c>
      <c r="D29" s="353">
        <f>IF(ISNUMBER($F29),VLOOKUP($J29,'Table 1'!$B$13:$C$37,2,FALSE)/12*1000*Study_MW,"")</f>
        <v>0</v>
      </c>
      <c r="E29" s="353">
        <f t="shared" si="6"/>
        <v>386105.56512307085</v>
      </c>
      <c r="F29" s="352">
        <v>22851.848039540004</v>
      </c>
      <c r="G29" s="354">
        <f t="shared" si="2"/>
        <v>16.896032410814289</v>
      </c>
      <c r="I29" s="355">
        <f t="shared" si="20"/>
        <v>31</v>
      </c>
      <c r="J29" s="349">
        <f t="shared" si="7"/>
        <v>2027</v>
      </c>
      <c r="K29" s="203">
        <f t="shared" si="21"/>
        <v>46508</v>
      </c>
      <c r="L29" s="349">
        <f t="shared" si="19"/>
        <v>2039</v>
      </c>
      <c r="M29" s="330">
        <f t="shared" si="11"/>
        <v>993601.00573922042</v>
      </c>
      <c r="N29" s="330">
        <f t="shared" si="12"/>
        <v>8636352.7169830892</v>
      </c>
      <c r="O29" s="330">
        <f t="shared" si="13"/>
        <v>212700.34532362066</v>
      </c>
      <c r="P29" s="357">
        <f t="shared" si="22"/>
        <v>45.27474418563105</v>
      </c>
      <c r="Q29" s="358">
        <f t="shared" si="14"/>
        <v>4.6713652684835569</v>
      </c>
      <c r="R29" s="358">
        <f t="shared" si="15"/>
        <v>40.603378917147488</v>
      </c>
      <c r="S29" s="330">
        <f t="shared" si="16"/>
        <v>590008.26332600263</v>
      </c>
      <c r="U29" s="330">
        <f t="shared" si="17"/>
        <v>2878784.2389943632</v>
      </c>
      <c r="V29" s="330" t="str">
        <f t="shared" si="0"/>
        <v>Summer</v>
      </c>
      <c r="X29" s="330">
        <f t="shared" si="18"/>
        <v>9629953.7227223106</v>
      </c>
      <c r="AA29" s="350">
        <f t="shared" si="4"/>
        <v>2.18E-2</v>
      </c>
      <c r="AB29" s="351">
        <f t="shared" si="8"/>
        <v>0</v>
      </c>
    </row>
    <row r="30" spans="2:28" ht="17.45" customHeight="1">
      <c r="B30" s="203">
        <f t="shared" si="5"/>
        <v>46539</v>
      </c>
      <c r="C30" s="352">
        <v>416607.61433335574</v>
      </c>
      <c r="D30" s="353">
        <f>IF(ISNUMBER($F30),VLOOKUP($J30,'Table 1'!$B$13:$C$37,2,FALSE)/12*1000*Study_MW,"")</f>
        <v>0</v>
      </c>
      <c r="E30" s="353">
        <f t="shared" si="6"/>
        <v>416607.61433335574</v>
      </c>
      <c r="F30" s="352">
        <v>21964.394641799998</v>
      </c>
      <c r="G30" s="354">
        <f t="shared" si="2"/>
        <v>18.967407075290762</v>
      </c>
      <c r="I30" s="355">
        <f t="shared" si="20"/>
        <v>32</v>
      </c>
      <c r="J30" s="349">
        <f t="shared" si="7"/>
        <v>2027</v>
      </c>
      <c r="K30" s="203">
        <f t="shared" si="21"/>
        <v>46539</v>
      </c>
      <c r="L30" s="349">
        <f t="shared" si="19"/>
        <v>2040</v>
      </c>
      <c r="M30" s="330">
        <f t="shared" si="11"/>
        <v>654965.72855374939</v>
      </c>
      <c r="N30" s="330">
        <f t="shared" si="12"/>
        <v>8824625.2088418417</v>
      </c>
      <c r="O30" s="330">
        <f t="shared" si="13"/>
        <v>213177.9098763717</v>
      </c>
      <c r="P30" s="357">
        <f t="shared" si="22"/>
        <v>44.4679795523518</v>
      </c>
      <c r="Q30" s="358">
        <f t="shared" si="14"/>
        <v>3.0723902346804306</v>
      </c>
      <c r="R30" s="358">
        <f t="shared" si="15"/>
        <v>41.395589317671366</v>
      </c>
      <c r="S30" s="330">
        <f t="shared" si="16"/>
        <v>485376.2738042787</v>
      </c>
      <c r="U30" s="330">
        <f t="shared" si="17"/>
        <v>2941541.7362806145</v>
      </c>
      <c r="V30" s="330" t="str">
        <f t="shared" si="0"/>
        <v>Summer</v>
      </c>
      <c r="X30" s="330">
        <f t="shared" si="18"/>
        <v>9479590.9373955913</v>
      </c>
      <c r="AA30" s="350">
        <f t="shared" si="4"/>
        <v>2.18E-2</v>
      </c>
      <c r="AB30" s="351">
        <f t="shared" si="8"/>
        <v>0</v>
      </c>
    </row>
    <row r="31" spans="2:28" ht="17.45" customHeight="1">
      <c r="B31" s="203">
        <f t="shared" si="5"/>
        <v>46569</v>
      </c>
      <c r="C31" s="352">
        <v>423307.47557982977</v>
      </c>
      <c r="D31" s="353">
        <f>IF(ISNUMBER($F31),VLOOKUP($J31,'Table 1'!$B$13:$C$37,2,FALSE)/12*1000*Study_MW,"")</f>
        <v>0</v>
      </c>
      <c r="E31" s="353">
        <f t="shared" si="6"/>
        <v>423307.47557982977</v>
      </c>
      <c r="F31" s="352">
        <v>13744.05520639</v>
      </c>
      <c r="G31" s="354">
        <f t="shared" si="2"/>
        <v>30.79931426519752</v>
      </c>
      <c r="I31" s="355">
        <f t="shared" si="20"/>
        <v>33</v>
      </c>
      <c r="J31" s="349">
        <f t="shared" si="7"/>
        <v>2027</v>
      </c>
      <c r="K31" s="203">
        <f t="shared" si="21"/>
        <v>46569</v>
      </c>
      <c r="L31" s="349">
        <f t="shared" si="19"/>
        <v>2041</v>
      </c>
      <c r="M31" s="330">
        <f t="shared" si="11"/>
        <v>376084.13616194762</v>
      </c>
      <c r="N31" s="330">
        <f t="shared" si="12"/>
        <v>9017002.0341649614</v>
      </c>
      <c r="O31" s="330">
        <f t="shared" si="13"/>
        <v>212907.25611549767</v>
      </c>
      <c r="P31" s="357">
        <f t="shared" si="22"/>
        <v>44.118205934847794</v>
      </c>
      <c r="Q31" s="358">
        <f t="shared" si="14"/>
        <v>1.7664223522655798</v>
      </c>
      <c r="R31" s="358">
        <f t="shared" si="15"/>
        <v>42.351783582582215</v>
      </c>
      <c r="S31" s="330">
        <f t="shared" si="16"/>
        <v>504928.40195936058</v>
      </c>
      <c r="U31" s="330">
        <f t="shared" si="17"/>
        <v>3005667.3447216544</v>
      </c>
      <c r="V31" s="330" t="str">
        <f t="shared" si="0"/>
        <v>Summer</v>
      </c>
      <c r="X31" s="330">
        <f t="shared" si="18"/>
        <v>9393086.1703269091</v>
      </c>
      <c r="AA31" s="350">
        <f t="shared" si="4"/>
        <v>2.18E-2</v>
      </c>
      <c r="AB31" s="351">
        <f t="shared" si="8"/>
        <v>0</v>
      </c>
    </row>
    <row r="32" spans="2:28" ht="17.45" customHeight="1">
      <c r="B32" s="203">
        <f t="shared" si="5"/>
        <v>46600</v>
      </c>
      <c r="C32" s="352">
        <v>465920.81013495044</v>
      </c>
      <c r="D32" s="353">
        <f>IF(ISNUMBER($F32),VLOOKUP($J32,'Table 1'!$B$13:$C$37,2,FALSE)/12*1000*Study_MW,"")</f>
        <v>0</v>
      </c>
      <c r="E32" s="353">
        <f t="shared" si="6"/>
        <v>465920.81013495044</v>
      </c>
      <c r="F32" s="352">
        <v>12918.0700767</v>
      </c>
      <c r="G32" s="354">
        <f t="shared" si="2"/>
        <v>36.067369767200766</v>
      </c>
      <c r="I32" s="355">
        <f t="shared" si="20"/>
        <v>34</v>
      </c>
      <c r="J32" s="349">
        <f t="shared" si="7"/>
        <v>2027</v>
      </c>
      <c r="K32" s="203">
        <f t="shared" si="21"/>
        <v>46600</v>
      </c>
      <c r="L32" s="349">
        <f t="shared" si="19"/>
        <v>2042</v>
      </c>
      <c r="M32" s="330">
        <f t="shared" si="11"/>
        <v>648005.50850648317</v>
      </c>
      <c r="N32" s="330">
        <f t="shared" si="12"/>
        <v>9213572.6788472328</v>
      </c>
      <c r="O32" s="330">
        <f t="shared" si="13"/>
        <v>213117.683204595</v>
      </c>
      <c r="P32" s="357">
        <f t="shared" si="22"/>
        <v>46.272923199369181</v>
      </c>
      <c r="Q32" s="358">
        <f t="shared" si="14"/>
        <v>3.0405994414099919</v>
      </c>
      <c r="R32" s="358">
        <f t="shared" si="15"/>
        <v>43.232323757959193</v>
      </c>
      <c r="S32" s="330">
        <f t="shared" si="16"/>
        <v>731205.76370024355</v>
      </c>
      <c r="U32" s="330">
        <f t="shared" si="17"/>
        <v>3071190.8929490773</v>
      </c>
      <c r="V32" s="330" t="str">
        <f t="shared" si="0"/>
        <v>Summer</v>
      </c>
      <c r="X32" s="330">
        <f t="shared" si="18"/>
        <v>9861578.1873537153</v>
      </c>
      <c r="AA32" s="350">
        <f t="shared" si="4"/>
        <v>2.18E-2</v>
      </c>
      <c r="AB32" s="351">
        <f t="shared" si="8"/>
        <v>0</v>
      </c>
    </row>
    <row r="33" spans="2:28" ht="17.45" customHeight="1">
      <c r="B33" s="203">
        <f t="shared" si="5"/>
        <v>46631</v>
      </c>
      <c r="C33" s="352">
        <v>265317.39477532392</v>
      </c>
      <c r="D33" s="353">
        <f>IF(ISNUMBER($F33),VLOOKUP($J33,'Table 1'!$B$13:$C$37,2,FALSE)/12*1000*Study_MW,"")</f>
        <v>0</v>
      </c>
      <c r="E33" s="353">
        <f t="shared" si="6"/>
        <v>265317.39477532392</v>
      </c>
      <c r="F33" s="352">
        <v>11871.487103879999</v>
      </c>
      <c r="G33" s="354">
        <f t="shared" si="2"/>
        <v>22.349128837330692</v>
      </c>
      <c r="I33" s="355">
        <f t="shared" si="20"/>
        <v>35</v>
      </c>
      <c r="J33" s="349">
        <f t="shared" si="7"/>
        <v>2027</v>
      </c>
      <c r="K33" s="203">
        <f t="shared" si="21"/>
        <v>46631</v>
      </c>
      <c r="L33" s="349">
        <f t="shared" si="19"/>
        <v>2043</v>
      </c>
      <c r="M33" s="330">
        <f t="shared" si="11"/>
        <v>1261938.157718156</v>
      </c>
      <c r="N33" s="330">
        <f t="shared" si="12"/>
        <v>9414428.5661133509</v>
      </c>
      <c r="O33" s="330">
        <f t="shared" si="13"/>
        <v>213067.16707245939</v>
      </c>
      <c r="P33" s="357">
        <f t="shared" si="22"/>
        <v>50.107986465135255</v>
      </c>
      <c r="Q33" s="358">
        <f t="shared" si="14"/>
        <v>5.9227246274363754</v>
      </c>
      <c r="R33" s="358">
        <f t="shared" si="15"/>
        <v>44.185261837698881</v>
      </c>
      <c r="S33" s="330">
        <f t="shared" si="16"/>
        <v>940002.00693070656</v>
      </c>
      <c r="U33" s="330">
        <f t="shared" si="17"/>
        <v>3138142.8553711167</v>
      </c>
      <c r="V33" s="330" t="str">
        <f t="shared" si="0"/>
        <v>Winter</v>
      </c>
      <c r="X33" s="330">
        <f t="shared" si="18"/>
        <v>10676366.723831506</v>
      </c>
      <c r="AA33" s="350">
        <f t="shared" si="4"/>
        <v>2.18E-2</v>
      </c>
      <c r="AB33" s="351">
        <f t="shared" si="8"/>
        <v>0</v>
      </c>
    </row>
    <row r="34" spans="2:28" ht="17.45" customHeight="1">
      <c r="B34" s="203">
        <f t="shared" si="5"/>
        <v>46661</v>
      </c>
      <c r="C34" s="352">
        <v>457144.69578110951</v>
      </c>
      <c r="D34" s="353">
        <f>IF(ISNUMBER($F34),VLOOKUP($J34,'Table 1'!$B$13:$C$37,2,FALSE)/12*1000*Study_MW,"")</f>
        <v>0</v>
      </c>
      <c r="E34" s="353">
        <f t="shared" si="6"/>
        <v>457144.69578110951</v>
      </c>
      <c r="F34" s="352">
        <v>23100.34310405</v>
      </c>
      <c r="G34" s="354">
        <f t="shared" si="2"/>
        <v>19.789519736655425</v>
      </c>
      <c r="I34" s="355">
        <f t="shared" si="20"/>
        <v>36</v>
      </c>
      <c r="J34" s="349">
        <f t="shared" si="7"/>
        <v>2027</v>
      </c>
      <c r="K34" s="203">
        <f t="shared" si="21"/>
        <v>46661</v>
      </c>
      <c r="L34" s="349">
        <f t="shared" si="19"/>
        <v>2044</v>
      </c>
      <c r="M34" s="330">
        <f t="shared" si="11"/>
        <v>1032982.65251368</v>
      </c>
      <c r="N34" s="330">
        <f t="shared" si="12"/>
        <v>9619663.1065135784</v>
      </c>
      <c r="O34" s="330">
        <f t="shared" si="13"/>
        <v>213190.02915202137</v>
      </c>
      <c r="P34" s="357">
        <f t="shared" si="22"/>
        <v>49.967842311382576</v>
      </c>
      <c r="Q34" s="358">
        <f t="shared" ref="Q34:Q41" si="23">M34/O34</f>
        <v>4.8453609984596495</v>
      </c>
      <c r="R34" s="358">
        <f t="shared" ref="R34:R41" si="24">IFERROR(N34/O34,0)</f>
        <v>45.122481312922929</v>
      </c>
      <c r="S34" s="330">
        <f t="shared" si="16"/>
        <v>845723.65525076748</v>
      </c>
      <c r="U34" s="330">
        <f t="shared" si="17"/>
        <v>3206554.3688378595</v>
      </c>
      <c r="V34" s="330" t="str">
        <f t="shared" si="0"/>
        <v>Winter</v>
      </c>
      <c r="X34" s="330">
        <f t="shared" si="18"/>
        <v>10652645.759027258</v>
      </c>
      <c r="AA34" s="350">
        <f t="shared" si="4"/>
        <v>2.18E-2</v>
      </c>
      <c r="AB34" s="351">
        <f t="shared" si="8"/>
        <v>0</v>
      </c>
    </row>
    <row r="35" spans="2:28" ht="17.45" customHeight="1">
      <c r="B35" s="203">
        <f t="shared" si="5"/>
        <v>46692</v>
      </c>
      <c r="C35" s="352">
        <v>383960.72524462943</v>
      </c>
      <c r="D35" s="353">
        <f>IF(ISNUMBER($F35),VLOOKUP($J35,'Table 1'!$B$13:$C$37,2,FALSE)/12*1000*Study_MW,"")</f>
        <v>0</v>
      </c>
      <c r="E35" s="353">
        <f t="shared" si="6"/>
        <v>383960.72524462943</v>
      </c>
      <c r="F35" s="352">
        <v>13580.216540810003</v>
      </c>
      <c r="G35" s="354">
        <f t="shared" si="2"/>
        <v>28.273534821097027</v>
      </c>
      <c r="I35" s="355">
        <f t="shared" si="20"/>
        <v>37</v>
      </c>
      <c r="J35" s="349">
        <f t="shared" si="7"/>
        <v>2027</v>
      </c>
      <c r="K35" s="203">
        <f t="shared" si="21"/>
        <v>46692</v>
      </c>
      <c r="L35" s="349">
        <f t="shared" si="19"/>
        <v>2045</v>
      </c>
      <c r="M35" s="330">
        <f t="shared" si="11"/>
        <v>1055501.6743384781</v>
      </c>
      <c r="N35" s="330">
        <f t="shared" si="12"/>
        <v>9829371.7666676845</v>
      </c>
      <c r="O35" s="330">
        <f t="shared" si="13"/>
        <v>212524.36921090758</v>
      </c>
      <c r="P35" s="357">
        <f t="shared" si="22"/>
        <v>51.217060337227011</v>
      </c>
      <c r="Q35" s="358">
        <f t="shared" si="23"/>
        <v>4.9664971516325558</v>
      </c>
      <c r="R35" s="358">
        <f t="shared" si="24"/>
        <v>46.250563185594451</v>
      </c>
      <c r="S35" s="330">
        <f t="shared" si="16"/>
        <v>864160.4309352343</v>
      </c>
      <c r="U35" s="330">
        <f t="shared" si="17"/>
        <v>3276457.2555558947</v>
      </c>
      <c r="V35" s="330" t="str">
        <f t="shared" si="0"/>
        <v>Winter</v>
      </c>
      <c r="X35" s="330">
        <f t="shared" si="18"/>
        <v>10884873.441006163</v>
      </c>
      <c r="AA35" s="350">
        <f t="shared" si="4"/>
        <v>2.18E-2</v>
      </c>
      <c r="AB35" s="351">
        <f t="shared" si="8"/>
        <v>0</v>
      </c>
    </row>
    <row r="36" spans="2:28" ht="17.45" customHeight="1">
      <c r="B36" s="204">
        <f t="shared" si="5"/>
        <v>46722</v>
      </c>
      <c r="C36" s="359">
        <v>576434.04579770681</v>
      </c>
      <c r="D36" s="360">
        <f>IF(ISNUMBER($F36),VLOOKUP($J36,'Table 1'!$B$13:$C$37,2,FALSE)/12*1000*Study_MW,"")</f>
        <v>0</v>
      </c>
      <c r="E36" s="360">
        <f t="shared" si="6"/>
        <v>576434.04579770681</v>
      </c>
      <c r="F36" s="359">
        <v>15022.586759166337</v>
      </c>
      <c r="G36" s="361">
        <f t="shared" si="2"/>
        <v>38.3711577133002</v>
      </c>
      <c r="I36" s="362">
        <f t="shared" si="20"/>
        <v>38</v>
      </c>
      <c r="J36" s="349">
        <f t="shared" si="7"/>
        <v>2027</v>
      </c>
      <c r="K36" s="204">
        <f t="shared" si="21"/>
        <v>46722</v>
      </c>
      <c r="L36" s="349">
        <f t="shared" si="19"/>
        <v>2046</v>
      </c>
      <c r="M36" s="330">
        <f t="shared" si="11"/>
        <v>1078511.6108390572</v>
      </c>
      <c r="N36" s="330">
        <f t="shared" si="12"/>
        <v>10043652.06926496</v>
      </c>
      <c r="O36" s="330">
        <f t="shared" si="13"/>
        <v>212524.36921090758</v>
      </c>
      <c r="P36" s="357">
        <f t="shared" si="22"/>
        <v>52.333592243562741</v>
      </c>
      <c r="Q36" s="358">
        <f t="shared" si="23"/>
        <v>5.0747667895381472</v>
      </c>
      <c r="R36" s="358">
        <f t="shared" si="24"/>
        <v>47.258825454024596</v>
      </c>
      <c r="S36" s="330">
        <f t="shared" si="16"/>
        <v>882999.12832962244</v>
      </c>
      <c r="U36" s="330">
        <f t="shared" si="17"/>
        <v>3347884.0230883192</v>
      </c>
      <c r="V36" s="330" t="str">
        <f t="shared" si="0"/>
        <v>Winter</v>
      </c>
      <c r="X36" s="330">
        <f t="shared" si="18"/>
        <v>11122163.680104017</v>
      </c>
      <c r="AA36" s="350">
        <f t="shared" si="4"/>
        <v>2.18E-2</v>
      </c>
      <c r="AB36" s="351">
        <f t="shared" si="8"/>
        <v>0</v>
      </c>
    </row>
    <row r="37" spans="2:28" ht="17.45" customHeight="1">
      <c r="B37" s="202">
        <f t="shared" si="5"/>
        <v>46753</v>
      </c>
      <c r="C37" s="343">
        <v>698892.09400107944</v>
      </c>
      <c r="D37" s="344">
        <f>IF(ISNUMBER($F37),VLOOKUP($J37,'Table 1'!$B$13:$C$37,2,FALSE)/12*1000*Study_MW,"")</f>
        <v>0</v>
      </c>
      <c r="E37" s="345">
        <f t="shared" si="6"/>
        <v>698892.09400107944</v>
      </c>
      <c r="F37" s="346">
        <v>19018.897428480002</v>
      </c>
      <c r="G37" s="347">
        <f t="shared" si="2"/>
        <v>36.747245555597658</v>
      </c>
      <c r="I37" s="363">
        <f>I25+13</f>
        <v>40</v>
      </c>
      <c r="J37" s="349">
        <f t="shared" si="7"/>
        <v>2028</v>
      </c>
      <c r="K37" s="202">
        <f t="shared" si="21"/>
        <v>46753</v>
      </c>
      <c r="L37" s="349">
        <f t="shared" si="19"/>
        <v>2047</v>
      </c>
      <c r="M37" s="330">
        <f t="shared" si="11"/>
        <v>1102023.1639553483</v>
      </c>
      <c r="N37" s="330">
        <f t="shared" si="12"/>
        <v>10262603.680556517</v>
      </c>
      <c r="O37" s="330">
        <f t="shared" si="13"/>
        <v>212524.36921090758</v>
      </c>
      <c r="P37" s="357">
        <f t="shared" si="22"/>
        <v>53.474464536505437</v>
      </c>
      <c r="Q37" s="358">
        <f t="shared" si="23"/>
        <v>5.1853967055500769</v>
      </c>
      <c r="R37" s="358">
        <f t="shared" si="24"/>
        <v>48.289067830955361</v>
      </c>
      <c r="S37" s="330">
        <f t="shared" si="16"/>
        <v>902248.50932720816</v>
      </c>
      <c r="U37" s="330">
        <f t="shared" si="17"/>
        <v>3420867.893518839</v>
      </c>
      <c r="V37" s="330" t="str">
        <f t="shared" si="0"/>
        <v>Winter</v>
      </c>
      <c r="X37" s="330">
        <f t="shared" si="18"/>
        <v>11364626.844511865</v>
      </c>
      <c r="AA37" s="350">
        <f t="shared" si="4"/>
        <v>2.18E-2</v>
      </c>
      <c r="AB37" s="351">
        <f t="shared" si="8"/>
        <v>0</v>
      </c>
    </row>
    <row r="38" spans="2:28" ht="17.45" customHeight="1">
      <c r="B38" s="203">
        <f t="shared" si="5"/>
        <v>46784</v>
      </c>
      <c r="C38" s="352">
        <v>657653.65892727277</v>
      </c>
      <c r="D38" s="353">
        <f>IF(ISNUMBER($F38),VLOOKUP($J38,'Table 1'!$B$13:$C$37,2,FALSE)/12*1000*Study_MW,"")</f>
        <v>0</v>
      </c>
      <c r="E38" s="353">
        <f t="shared" si="6"/>
        <v>657653.65892727277</v>
      </c>
      <c r="F38" s="352">
        <v>19877.56870222</v>
      </c>
      <c r="G38" s="354">
        <f t="shared" si="2"/>
        <v>33.085216244470764</v>
      </c>
      <c r="I38" s="355">
        <f t="shared" si="20"/>
        <v>41</v>
      </c>
      <c r="J38" s="349">
        <f t="shared" si="7"/>
        <v>2028</v>
      </c>
      <c r="K38" s="203">
        <f t="shared" si="21"/>
        <v>46784</v>
      </c>
      <c r="L38" s="349">
        <f t="shared" si="19"/>
        <v>2048</v>
      </c>
      <c r="M38" s="330">
        <f t="shared" si="11"/>
        <v>1126047.268929576</v>
      </c>
      <c r="N38" s="330">
        <f t="shared" si="12"/>
        <v>10486328.436890997</v>
      </c>
      <c r="O38" s="330">
        <f t="shared" si="13"/>
        <v>213190.02915202137</v>
      </c>
      <c r="P38" s="357">
        <f t="shared" si="22"/>
        <v>54.469600440553577</v>
      </c>
      <c r="Q38" s="358">
        <f t="shared" si="23"/>
        <v>5.2818946242866511</v>
      </c>
      <c r="R38" s="358">
        <f t="shared" si="24"/>
        <v>49.187705816266927</v>
      </c>
      <c r="S38" s="330">
        <f t="shared" si="16"/>
        <v>921917.52683054132</v>
      </c>
      <c r="U38" s="330">
        <f t="shared" si="17"/>
        <v>0</v>
      </c>
      <c r="V38" s="330" t="str">
        <f t="shared" si="0"/>
        <v>Winter</v>
      </c>
      <c r="X38" s="330">
        <f t="shared" si="18"/>
        <v>11612375.705820573</v>
      </c>
      <c r="AA38" s="350">
        <f t="shared" si="4"/>
        <v>2.18E-2</v>
      </c>
      <c r="AB38" s="351">
        <f t="shared" si="8"/>
        <v>0</v>
      </c>
    </row>
    <row r="39" spans="2:28" ht="17.45" customHeight="1">
      <c r="B39" s="203">
        <f t="shared" si="5"/>
        <v>46813</v>
      </c>
      <c r="C39" s="352">
        <v>255264.157562935</v>
      </c>
      <c r="D39" s="353">
        <f>IF(ISNUMBER($F39),VLOOKUP($J39,'Table 1'!$B$13:$C$37,2,FALSE)/12*1000*Study_MW,"")</f>
        <v>0</v>
      </c>
      <c r="E39" s="353">
        <f t="shared" si="6"/>
        <v>255264.157562935</v>
      </c>
      <c r="F39" s="352">
        <v>17408.180495410001</v>
      </c>
      <c r="G39" s="354">
        <f t="shared" si="2"/>
        <v>14.663459953798174</v>
      </c>
      <c r="I39" s="355">
        <f t="shared" si="20"/>
        <v>42</v>
      </c>
      <c r="J39" s="349">
        <f t="shared" si="7"/>
        <v>2028</v>
      </c>
      <c r="K39" s="203">
        <f t="shared" si="21"/>
        <v>46813</v>
      </c>
      <c r="L39" s="349">
        <f t="shared" si="19"/>
        <v>2049</v>
      </c>
      <c r="M39" s="330">
        <f t="shared" si="11"/>
        <v>1150595.0993922404</v>
      </c>
      <c r="N39" s="330">
        <f t="shared" si="12"/>
        <v>10714930.392828509</v>
      </c>
      <c r="O39" s="330">
        <f t="shared" si="13"/>
        <v>212524.36921090758</v>
      </c>
      <c r="P39" s="357">
        <f t="shared" si="22"/>
        <v>55.831364357305738</v>
      </c>
      <c r="Q39" s="358">
        <f t="shared" si="23"/>
        <v>5.4139443098424094</v>
      </c>
      <c r="R39" s="358">
        <f t="shared" si="24"/>
        <v>50.417420047463324</v>
      </c>
      <c r="S39" s="330">
        <f t="shared" si="16"/>
        <v>942015.32891544723</v>
      </c>
      <c r="U39" s="330">
        <f t="shared" si="17"/>
        <v>0</v>
      </c>
      <c r="V39" s="330" t="str">
        <f t="shared" si="0"/>
        <v>Winter</v>
      </c>
      <c r="X39" s="330">
        <f t="shared" si="18"/>
        <v>11865525.49222075</v>
      </c>
      <c r="AA39" s="350">
        <f t="shared" si="4"/>
        <v>2.18E-2</v>
      </c>
      <c r="AB39" s="351">
        <f t="shared" si="8"/>
        <v>0</v>
      </c>
    </row>
    <row r="40" spans="2:28" ht="17.45" customHeight="1">
      <c r="B40" s="203">
        <f t="shared" si="5"/>
        <v>46844</v>
      </c>
      <c r="C40" s="352">
        <v>332661.05553836498</v>
      </c>
      <c r="D40" s="353">
        <f>IF(ISNUMBER($F40),VLOOKUP($J40,'Table 1'!$B$13:$C$37,2,FALSE)/12*1000*Study_MW,"")</f>
        <v>0</v>
      </c>
      <c r="E40" s="353">
        <f t="shared" si="6"/>
        <v>332661.05553836498</v>
      </c>
      <c r="F40" s="352">
        <v>23588.34631157</v>
      </c>
      <c r="G40" s="354">
        <f t="shared" si="2"/>
        <v>14.102771391617051</v>
      </c>
      <c r="I40" s="355">
        <f t="shared" si="20"/>
        <v>43</v>
      </c>
      <c r="J40" s="349">
        <f t="shared" si="7"/>
        <v>2028</v>
      </c>
      <c r="K40" s="203">
        <f t="shared" si="21"/>
        <v>46844</v>
      </c>
      <c r="L40" s="349">
        <f t="shared" si="19"/>
        <v>2050</v>
      </c>
      <c r="M40" s="330">
        <f t="shared" si="11"/>
        <v>1175678.0725589911</v>
      </c>
      <c r="N40" s="330">
        <f t="shared" si="12"/>
        <v>10948515.871318547</v>
      </c>
      <c r="O40" s="330">
        <f t="shared" si="13"/>
        <v>212524.36921090758</v>
      </c>
      <c r="P40" s="357">
        <f t="shared" si="22"/>
        <v>57.048488081127203</v>
      </c>
      <c r="Q40" s="358">
        <f t="shared" si="23"/>
        <v>5.5319682957969736</v>
      </c>
      <c r="R40" s="358">
        <f t="shared" si="24"/>
        <v>51.516519785330232</v>
      </c>
      <c r="S40" s="330">
        <f t="shared" si="16"/>
        <v>962551.26308580406</v>
      </c>
      <c r="T40" s="338"/>
      <c r="U40" s="330">
        <f t="shared" si="17"/>
        <v>0</v>
      </c>
      <c r="V40" s="330" t="str">
        <f t="shared" si="0"/>
        <v>Winter</v>
      </c>
      <c r="X40" s="330">
        <f t="shared" si="18"/>
        <v>12124193.943877539</v>
      </c>
      <c r="AA40" s="350">
        <f t="shared" si="4"/>
        <v>2.18E-2</v>
      </c>
      <c r="AB40" s="351">
        <f t="shared" si="8"/>
        <v>0</v>
      </c>
    </row>
    <row r="41" spans="2:28" ht="17.45" customHeight="1">
      <c r="B41" s="203">
        <f t="shared" si="5"/>
        <v>46874</v>
      </c>
      <c r="C41" s="352">
        <v>342350.24575370335</v>
      </c>
      <c r="D41" s="353">
        <f>IF(ISNUMBER($F41),VLOOKUP($J41,'Table 1'!$B$13:$C$37,2,FALSE)/12*1000*Study_MW,"")</f>
        <v>0</v>
      </c>
      <c r="E41" s="353">
        <f t="shared" si="6"/>
        <v>342350.24575370335</v>
      </c>
      <c r="F41" s="352">
        <v>21850.675363670001</v>
      </c>
      <c r="G41" s="354">
        <f t="shared" si="2"/>
        <v>15.667719192007748</v>
      </c>
      <c r="I41" s="355">
        <f t="shared" si="20"/>
        <v>44</v>
      </c>
      <c r="J41" s="349">
        <f t="shared" si="7"/>
        <v>2028</v>
      </c>
      <c r="K41" s="203">
        <f t="shared" si="21"/>
        <v>46874</v>
      </c>
      <c r="L41" s="349">
        <f t="shared" si="19"/>
        <v>2051</v>
      </c>
      <c r="M41" s="330">
        <f t="shared" si="11"/>
        <v>0</v>
      </c>
      <c r="N41" s="330">
        <f t="shared" si="12"/>
        <v>0</v>
      </c>
      <c r="O41" s="330">
        <f t="shared" si="13"/>
        <v>0</v>
      </c>
      <c r="P41" s="357" t="e">
        <f t="shared" si="22"/>
        <v>#DIV/0!</v>
      </c>
      <c r="Q41" s="358" t="e">
        <f t="shared" si="23"/>
        <v>#DIV/0!</v>
      </c>
      <c r="R41" s="358">
        <f t="shared" si="24"/>
        <v>0</v>
      </c>
      <c r="S41" s="330">
        <f t="shared" si="16"/>
        <v>0</v>
      </c>
      <c r="T41" s="338"/>
      <c r="U41" s="330">
        <f t="shared" si="17"/>
        <v>0</v>
      </c>
      <c r="V41" s="330" t="str">
        <f t="shared" si="0"/>
        <v>Summer</v>
      </c>
      <c r="X41" s="330">
        <f t="shared" si="18"/>
        <v>0</v>
      </c>
      <c r="AA41" s="350">
        <f t="shared" si="4"/>
        <v>2.18E-2</v>
      </c>
      <c r="AB41" s="351">
        <f t="shared" si="8"/>
        <v>0</v>
      </c>
    </row>
    <row r="42" spans="2:28" ht="17.45" customHeight="1">
      <c r="B42" s="203">
        <f t="shared" si="5"/>
        <v>46905</v>
      </c>
      <c r="C42" s="352">
        <v>367137.25055609393</v>
      </c>
      <c r="D42" s="353">
        <f>IF(ISNUMBER($F42),VLOOKUP($J42,'Table 1'!$B$13:$C$37,2,FALSE)/12*1000*Study_MW,"")</f>
        <v>0</v>
      </c>
      <c r="E42" s="353">
        <f t="shared" si="6"/>
        <v>367137.25055609393</v>
      </c>
      <c r="F42" s="352">
        <v>21727.221439299999</v>
      </c>
      <c r="G42" s="354">
        <f t="shared" si="2"/>
        <v>16.897570247616635</v>
      </c>
      <c r="I42" s="355">
        <f t="shared" si="20"/>
        <v>45</v>
      </c>
      <c r="J42" s="349">
        <f t="shared" si="7"/>
        <v>2028</v>
      </c>
      <c r="K42" s="203">
        <f t="shared" si="21"/>
        <v>46905</v>
      </c>
      <c r="L42" s="349">
        <f t="shared" si="19"/>
        <v>2052</v>
      </c>
      <c r="P42" s="357"/>
      <c r="Q42" s="358"/>
      <c r="R42" s="358"/>
      <c r="V42" s="330" t="str">
        <f t="shared" si="0"/>
        <v>Summer</v>
      </c>
      <c r="X42" s="330">
        <f t="shared" si="18"/>
        <v>0</v>
      </c>
      <c r="AA42" s="350">
        <f t="shared" si="4"/>
        <v>2.18E-2</v>
      </c>
      <c r="AB42" s="351">
        <f t="shared" si="8"/>
        <v>0</v>
      </c>
    </row>
    <row r="43" spans="2:28" ht="17.45" customHeight="1">
      <c r="B43" s="203">
        <f t="shared" si="5"/>
        <v>46935</v>
      </c>
      <c r="C43" s="352">
        <v>426546.71991312352</v>
      </c>
      <c r="D43" s="353">
        <f>IF(ISNUMBER($F43),VLOOKUP($J43,'Table 1'!$B$13:$C$37,2,FALSE)/12*1000*Study_MW,"")</f>
        <v>0</v>
      </c>
      <c r="E43" s="353">
        <f t="shared" si="6"/>
        <v>426546.71991312352</v>
      </c>
      <c r="F43" s="352">
        <v>13087.66273665</v>
      </c>
      <c r="G43" s="354">
        <f t="shared" si="2"/>
        <v>32.591512212386448</v>
      </c>
      <c r="I43" s="355">
        <f t="shared" si="20"/>
        <v>46</v>
      </c>
      <c r="J43" s="349">
        <f t="shared" si="7"/>
        <v>2028</v>
      </c>
      <c r="K43" s="203">
        <f t="shared" si="21"/>
        <v>46935</v>
      </c>
      <c r="V43" s="330" t="str">
        <f t="shared" si="0"/>
        <v>Summer</v>
      </c>
      <c r="X43" s="330">
        <f t="shared" si="18"/>
        <v>0</v>
      </c>
      <c r="AA43" s="350">
        <f t="shared" si="4"/>
        <v>2.18E-2</v>
      </c>
      <c r="AB43" s="351">
        <f t="shared" si="8"/>
        <v>0</v>
      </c>
    </row>
    <row r="44" spans="2:28" ht="17.45" customHeight="1">
      <c r="B44" s="203">
        <f t="shared" si="5"/>
        <v>46966</v>
      </c>
      <c r="C44" s="352">
        <v>481608.8516649761</v>
      </c>
      <c r="D44" s="353">
        <f>IF(ISNUMBER($F44),VLOOKUP($J44,'Table 1'!$B$13:$C$37,2,FALSE)/12*1000*Study_MW,"")</f>
        <v>0</v>
      </c>
      <c r="E44" s="353">
        <f t="shared" si="6"/>
        <v>481608.8516649761</v>
      </c>
      <c r="F44" s="352">
        <v>13352.837596360001</v>
      </c>
      <c r="G44" s="354">
        <f t="shared" si="2"/>
        <v>36.06790303480237</v>
      </c>
      <c r="I44" s="355">
        <f t="shared" si="20"/>
        <v>47</v>
      </c>
      <c r="J44" s="349">
        <f t="shared" si="7"/>
        <v>2028</v>
      </c>
      <c r="K44" s="203">
        <f t="shared" si="21"/>
        <v>46966</v>
      </c>
      <c r="V44" s="330" t="str">
        <f t="shared" si="0"/>
        <v>Summer</v>
      </c>
      <c r="X44" s="330">
        <f t="shared" si="18"/>
        <v>0</v>
      </c>
      <c r="AA44" s="350">
        <f t="shared" si="4"/>
        <v>2.18E-2</v>
      </c>
      <c r="AB44" s="351">
        <f t="shared" si="8"/>
        <v>0</v>
      </c>
    </row>
    <row r="45" spans="2:28" ht="17.45" customHeight="1">
      <c r="B45" s="203">
        <f t="shared" si="5"/>
        <v>46997</v>
      </c>
      <c r="C45" s="352">
        <v>304348.2953114144</v>
      </c>
      <c r="D45" s="353">
        <f>IF(ISNUMBER($F45),VLOOKUP($J45,'Table 1'!$B$13:$C$37,2,FALSE)/12*1000*Study_MW,"")</f>
        <v>0</v>
      </c>
      <c r="E45" s="353">
        <f t="shared" si="6"/>
        <v>304348.2953114144</v>
      </c>
      <c r="F45" s="352">
        <v>11306.15984007</v>
      </c>
      <c r="G45" s="354">
        <f t="shared" si="2"/>
        <v>26.918803520960136</v>
      </c>
      <c r="I45" s="355">
        <f t="shared" si="20"/>
        <v>48</v>
      </c>
      <c r="J45" s="349">
        <f t="shared" si="7"/>
        <v>2028</v>
      </c>
      <c r="K45" s="203">
        <f t="shared" si="21"/>
        <v>46997</v>
      </c>
      <c r="V45" s="330" t="str">
        <f t="shared" si="0"/>
        <v>Winter</v>
      </c>
      <c r="X45" s="330">
        <f t="shared" si="18"/>
        <v>0</v>
      </c>
      <c r="AA45" s="350">
        <f t="shared" si="4"/>
        <v>2.18E-2</v>
      </c>
      <c r="AB45" s="351">
        <f t="shared" si="8"/>
        <v>0</v>
      </c>
    </row>
    <row r="46" spans="2:28" ht="17.45" customHeight="1">
      <c r="B46" s="203">
        <f t="shared" si="5"/>
        <v>47027</v>
      </c>
      <c r="C46" s="352">
        <v>515045.45377437351</v>
      </c>
      <c r="D46" s="353">
        <f>IF(ISNUMBER($F46),VLOOKUP($J46,'Table 1'!$B$13:$C$37,2,FALSE)/12*1000*Study_MW,"")</f>
        <v>0</v>
      </c>
      <c r="E46" s="353">
        <f t="shared" si="6"/>
        <v>515045.45377437351</v>
      </c>
      <c r="F46" s="352">
        <v>23404.872506280004</v>
      </c>
      <c r="G46" s="354">
        <f t="shared" si="2"/>
        <v>22.005907258677709</v>
      </c>
      <c r="I46" s="355">
        <f t="shared" si="20"/>
        <v>49</v>
      </c>
      <c r="J46" s="349">
        <f t="shared" si="7"/>
        <v>2028</v>
      </c>
      <c r="K46" s="203">
        <f t="shared" si="21"/>
        <v>47027</v>
      </c>
      <c r="V46" s="330" t="str">
        <f t="shared" si="0"/>
        <v>Winter</v>
      </c>
      <c r="X46" s="330">
        <f t="shared" si="18"/>
        <v>0</v>
      </c>
      <c r="AA46" s="350">
        <f t="shared" si="4"/>
        <v>2.18E-2</v>
      </c>
      <c r="AB46" s="351">
        <f t="shared" si="8"/>
        <v>0</v>
      </c>
    </row>
    <row r="47" spans="2:28" ht="17.45" customHeight="1">
      <c r="B47" s="203">
        <f t="shared" si="5"/>
        <v>47058</v>
      </c>
      <c r="C47" s="352">
        <v>451758.12645551923</v>
      </c>
      <c r="D47" s="353">
        <f>IF(ISNUMBER($F47),VLOOKUP($J47,'Table 1'!$B$13:$C$37,2,FALSE)/12*1000*Study_MW,"")</f>
        <v>0</v>
      </c>
      <c r="E47" s="353">
        <f t="shared" si="6"/>
        <v>451758.12645551923</v>
      </c>
      <c r="F47" s="352">
        <v>14273.345559230002</v>
      </c>
      <c r="G47" s="354">
        <f t="shared" si="2"/>
        <v>31.650472174225847</v>
      </c>
      <c r="I47" s="355">
        <f t="shared" si="20"/>
        <v>50</v>
      </c>
      <c r="J47" s="349">
        <f t="shared" si="7"/>
        <v>2028</v>
      </c>
      <c r="K47" s="203">
        <f t="shared" si="21"/>
        <v>47058</v>
      </c>
      <c r="V47" s="330" t="str">
        <f t="shared" si="0"/>
        <v>Winter</v>
      </c>
      <c r="X47" s="330">
        <f t="shared" si="18"/>
        <v>0</v>
      </c>
      <c r="AA47" s="350">
        <f t="shared" si="4"/>
        <v>2.18E-2</v>
      </c>
      <c r="AB47" s="351">
        <f t="shared" si="8"/>
        <v>0</v>
      </c>
    </row>
    <row r="48" spans="2:28" ht="17.45" customHeight="1">
      <c r="B48" s="204">
        <f t="shared" si="5"/>
        <v>47088</v>
      </c>
      <c r="C48" s="359">
        <v>576940.85696459399</v>
      </c>
      <c r="D48" s="360">
        <f>IF(ISNUMBER($F48),VLOOKUP($J48,'Table 1'!$B$13:$C$37,2,FALSE)/12*1000*Study_MW,"")</f>
        <v>0</v>
      </c>
      <c r="E48" s="360">
        <f t="shared" si="6"/>
        <v>576940.85696459399</v>
      </c>
      <c r="F48" s="359">
        <v>14261.219457807241</v>
      </c>
      <c r="G48" s="361">
        <f t="shared" si="2"/>
        <v>40.455226053530104</v>
      </c>
      <c r="I48" s="362">
        <f t="shared" si="20"/>
        <v>51</v>
      </c>
      <c r="J48" s="349">
        <f t="shared" si="7"/>
        <v>2028</v>
      </c>
      <c r="K48" s="204">
        <f t="shared" si="21"/>
        <v>47088</v>
      </c>
      <c r="V48" s="330" t="str">
        <f t="shared" si="0"/>
        <v>Winter</v>
      </c>
      <c r="X48" s="330">
        <f t="shared" si="18"/>
        <v>0</v>
      </c>
      <c r="AA48" s="350">
        <f t="shared" si="4"/>
        <v>2.18E-2</v>
      </c>
      <c r="AB48" s="351">
        <f t="shared" si="8"/>
        <v>0</v>
      </c>
    </row>
    <row r="49" spans="2:28" ht="17.45" hidden="1" customHeight="1" outlineLevel="1">
      <c r="B49" s="202">
        <f t="shared" si="5"/>
        <v>47119</v>
      </c>
      <c r="C49" s="343">
        <v>-980739.01157564251</v>
      </c>
      <c r="D49" s="344">
        <f>IF(ISNUMBER($F49),VLOOKUP($J49,'Table 1'!$B$13:$C$37,2,FALSE)/12*1000*Study_MW,"")</f>
        <v>580083.00481201673</v>
      </c>
      <c r="E49" s="345">
        <f t="shared" si="6"/>
        <v>-400656.00676362577</v>
      </c>
      <c r="F49" s="346">
        <v>20955.288234849999</v>
      </c>
      <c r="G49" s="347">
        <f t="shared" si="2"/>
        <v>-19.119565537509953</v>
      </c>
      <c r="I49" s="363">
        <f>I37+13</f>
        <v>53</v>
      </c>
      <c r="J49" s="349">
        <f t="shared" si="7"/>
        <v>2029</v>
      </c>
      <c r="K49" s="202">
        <f t="shared" si="21"/>
        <v>47119</v>
      </c>
      <c r="V49" s="330" t="str">
        <f t="shared" si="0"/>
        <v>Winter</v>
      </c>
      <c r="X49" s="330">
        <f t="shared" si="18"/>
        <v>0</v>
      </c>
      <c r="AA49" s="350">
        <f t="shared" si="4"/>
        <v>2.18E-2</v>
      </c>
      <c r="AB49" s="351">
        <f t="shared" si="8"/>
        <v>0</v>
      </c>
    </row>
    <row r="50" spans="2:28" ht="17.45" hidden="1" customHeight="1" outlineLevel="1">
      <c r="B50" s="203">
        <f t="shared" si="5"/>
        <v>47150</v>
      </c>
      <c r="C50" s="352">
        <v>-375577.72614862915</v>
      </c>
      <c r="D50" s="353">
        <f>IF(ISNUMBER($F50),VLOOKUP($J50,'Table 1'!$B$13:$C$37,2,FALSE)/12*1000*Study_MW,"")</f>
        <v>580083.00481201673</v>
      </c>
      <c r="E50" s="353">
        <f t="shared" si="6"/>
        <v>204505.27866338758</v>
      </c>
      <c r="F50" s="352">
        <v>17419.669062789999</v>
      </c>
      <c r="G50" s="354">
        <f t="shared" si="2"/>
        <v>11.739906075496549</v>
      </c>
      <c r="I50" s="355">
        <f t="shared" si="20"/>
        <v>54</v>
      </c>
      <c r="J50" s="349">
        <f t="shared" si="7"/>
        <v>2029</v>
      </c>
      <c r="K50" s="203">
        <f t="shared" si="21"/>
        <v>47150</v>
      </c>
      <c r="V50" s="330" t="str">
        <f t="shared" si="0"/>
        <v>Winter</v>
      </c>
      <c r="X50" s="330">
        <f t="shared" si="18"/>
        <v>0</v>
      </c>
      <c r="AA50" s="350">
        <f t="shared" si="4"/>
        <v>2.18E-2</v>
      </c>
      <c r="AB50" s="351">
        <f t="shared" si="8"/>
        <v>0</v>
      </c>
    </row>
    <row r="51" spans="2:28" ht="17.45" hidden="1" customHeight="1" outlineLevel="1">
      <c r="B51" s="203">
        <f t="shared" si="5"/>
        <v>47178</v>
      </c>
      <c r="C51" s="352">
        <v>-734082.25381290319</v>
      </c>
      <c r="D51" s="353">
        <f>IF(ISNUMBER($F51),VLOOKUP($J51,'Table 1'!$B$13:$C$37,2,FALSE)/12*1000*Study_MW,"")</f>
        <v>580083.00481201673</v>
      </c>
      <c r="E51" s="353">
        <f t="shared" si="6"/>
        <v>-153999.24900088646</v>
      </c>
      <c r="F51" s="352">
        <v>17461.912206590001</v>
      </c>
      <c r="G51" s="354">
        <f t="shared" si="2"/>
        <v>-8.8191514869012018</v>
      </c>
      <c r="I51" s="355">
        <f t="shared" si="20"/>
        <v>55</v>
      </c>
      <c r="J51" s="349">
        <f t="shared" si="7"/>
        <v>2029</v>
      </c>
      <c r="K51" s="203">
        <f t="shared" si="21"/>
        <v>47178</v>
      </c>
      <c r="V51" s="330" t="str">
        <f t="shared" si="0"/>
        <v>Winter</v>
      </c>
      <c r="AA51" s="350">
        <f t="shared" si="4"/>
        <v>2.18E-2</v>
      </c>
      <c r="AB51" s="351">
        <f t="shared" si="8"/>
        <v>0</v>
      </c>
    </row>
    <row r="52" spans="2:28" ht="17.45" hidden="1" customHeight="1" outlineLevel="1">
      <c r="B52" s="203">
        <f t="shared" si="5"/>
        <v>47209</v>
      </c>
      <c r="C52" s="352">
        <v>-656235.10091841768</v>
      </c>
      <c r="D52" s="353">
        <f>IF(ISNUMBER($F52),VLOOKUP($J52,'Table 1'!$B$13:$C$37,2,FALSE)/12*1000*Study_MW,"")</f>
        <v>580083.00481201673</v>
      </c>
      <c r="E52" s="353">
        <f t="shared" si="6"/>
        <v>-76152.096106400946</v>
      </c>
      <c r="F52" s="352">
        <v>23966.333635690004</v>
      </c>
      <c r="G52" s="354">
        <f t="shared" si="2"/>
        <v>-3.1774612364152914</v>
      </c>
      <c r="I52" s="355">
        <f t="shared" si="20"/>
        <v>56</v>
      </c>
      <c r="J52" s="349">
        <f t="shared" si="7"/>
        <v>2029</v>
      </c>
      <c r="K52" s="203">
        <f t="shared" si="21"/>
        <v>47209</v>
      </c>
      <c r="V52" s="330" t="str">
        <f t="shared" si="0"/>
        <v>Winter</v>
      </c>
      <c r="AA52" s="350">
        <f t="shared" si="4"/>
        <v>2.18E-2</v>
      </c>
      <c r="AB52" s="351">
        <f t="shared" si="8"/>
        <v>0</v>
      </c>
    </row>
    <row r="53" spans="2:28" ht="17.45" hidden="1" customHeight="1" outlineLevel="1">
      <c r="B53" s="203">
        <f t="shared" si="5"/>
        <v>47239</v>
      </c>
      <c r="C53" s="352">
        <v>-515563.63901784422</v>
      </c>
      <c r="D53" s="353">
        <f>IF(ISNUMBER($F53),VLOOKUP($J53,'Table 1'!$B$13:$C$37,2,FALSE)/12*1000*Study_MW,"")</f>
        <v>580083.00481201673</v>
      </c>
      <c r="E53" s="353">
        <f t="shared" si="6"/>
        <v>64519.365794172511</v>
      </c>
      <c r="F53" s="352">
        <v>22571.998863140001</v>
      </c>
      <c r="G53" s="354">
        <f t="shared" si="2"/>
        <v>2.8583806948321455</v>
      </c>
      <c r="I53" s="355">
        <f t="shared" si="20"/>
        <v>57</v>
      </c>
      <c r="J53" s="349">
        <f t="shared" si="7"/>
        <v>2029</v>
      </c>
      <c r="K53" s="203">
        <f t="shared" si="21"/>
        <v>47239</v>
      </c>
      <c r="V53" s="330" t="str">
        <f t="shared" si="0"/>
        <v>Summer</v>
      </c>
      <c r="AA53" s="350">
        <f t="shared" si="4"/>
        <v>2.18E-2</v>
      </c>
      <c r="AB53" s="351">
        <f t="shared" si="8"/>
        <v>0</v>
      </c>
    </row>
    <row r="54" spans="2:28" ht="17.45" hidden="1" customHeight="1" outlineLevel="1">
      <c r="B54" s="203">
        <f t="shared" si="5"/>
        <v>47270</v>
      </c>
      <c r="C54" s="352">
        <v>-245250.05087857426</v>
      </c>
      <c r="D54" s="353">
        <f>IF(ISNUMBER($F54),VLOOKUP($J54,'Table 1'!$B$13:$C$37,2,FALSE)/12*1000*Study_MW,"")</f>
        <v>580083.00481201673</v>
      </c>
      <c r="E54" s="353">
        <f t="shared" si="6"/>
        <v>334832.95393344248</v>
      </c>
      <c r="F54" s="352">
        <v>21093.46980789</v>
      </c>
      <c r="G54" s="354">
        <f t="shared" si="2"/>
        <v>15.873773114757933</v>
      </c>
      <c r="I54" s="355">
        <f t="shared" si="20"/>
        <v>58</v>
      </c>
      <c r="J54" s="349">
        <f t="shared" si="7"/>
        <v>2029</v>
      </c>
      <c r="K54" s="203">
        <f t="shared" si="21"/>
        <v>47270</v>
      </c>
      <c r="V54" s="330" t="str">
        <f t="shared" si="0"/>
        <v>Summer</v>
      </c>
      <c r="AA54" s="350">
        <f t="shared" si="4"/>
        <v>2.18E-2</v>
      </c>
      <c r="AB54" s="351">
        <f t="shared" si="8"/>
        <v>0</v>
      </c>
    </row>
    <row r="55" spans="2:28" ht="17.45" hidden="1" customHeight="1" outlineLevel="1">
      <c r="B55" s="203">
        <f t="shared" si="5"/>
        <v>47300</v>
      </c>
      <c r="C55" s="352">
        <v>-256661.99718471034</v>
      </c>
      <c r="D55" s="353">
        <f>IF(ISNUMBER($F55),VLOOKUP($J55,'Table 1'!$B$13:$C$37,2,FALSE)/12*1000*Study_MW,"")</f>
        <v>580083.00481201673</v>
      </c>
      <c r="E55" s="353">
        <f t="shared" si="6"/>
        <v>323421.00762730639</v>
      </c>
      <c r="F55" s="352">
        <v>12599.71663126</v>
      </c>
      <c r="G55" s="354">
        <f t="shared" si="2"/>
        <v>25.668911221772735</v>
      </c>
      <c r="I55" s="355">
        <f t="shared" si="20"/>
        <v>59</v>
      </c>
      <c r="J55" s="349">
        <f t="shared" si="7"/>
        <v>2029</v>
      </c>
      <c r="K55" s="203">
        <f t="shared" si="21"/>
        <v>47300</v>
      </c>
      <c r="V55" s="330" t="str">
        <f t="shared" si="0"/>
        <v>Summer</v>
      </c>
      <c r="AA55" s="350">
        <f t="shared" si="4"/>
        <v>2.18E-2</v>
      </c>
      <c r="AB55" s="351">
        <f t="shared" si="8"/>
        <v>0</v>
      </c>
    </row>
    <row r="56" spans="2:28" ht="17.45" hidden="1" customHeight="1" outlineLevel="1">
      <c r="B56" s="203">
        <f t="shared" si="5"/>
        <v>47331</v>
      </c>
      <c r="C56" s="352">
        <v>-398543.76350520761</v>
      </c>
      <c r="D56" s="353">
        <f>IF(ISNUMBER($F56),VLOOKUP($J56,'Table 1'!$B$13:$C$37,2,FALSE)/12*1000*Study_MW,"")</f>
        <v>580083.00481201673</v>
      </c>
      <c r="E56" s="353">
        <f t="shared" si="6"/>
        <v>181539.24130680913</v>
      </c>
      <c r="F56" s="352">
        <v>13274.537031640002</v>
      </c>
      <c r="G56" s="354">
        <f t="shared" si="2"/>
        <v>13.675749359402019</v>
      </c>
      <c r="I56" s="355">
        <f t="shared" si="20"/>
        <v>60</v>
      </c>
      <c r="J56" s="349">
        <f t="shared" si="7"/>
        <v>2029</v>
      </c>
      <c r="K56" s="203">
        <f t="shared" si="21"/>
        <v>47331</v>
      </c>
      <c r="V56" s="330" t="str">
        <f t="shared" si="0"/>
        <v>Summer</v>
      </c>
      <c r="AA56" s="350">
        <f t="shared" si="4"/>
        <v>2.18E-2</v>
      </c>
      <c r="AB56" s="351">
        <f t="shared" si="8"/>
        <v>0</v>
      </c>
    </row>
    <row r="57" spans="2:28" ht="17.45" hidden="1" customHeight="1" outlineLevel="1">
      <c r="B57" s="203">
        <f t="shared" si="5"/>
        <v>47362</v>
      </c>
      <c r="C57" s="352">
        <v>-315408.40319101699</v>
      </c>
      <c r="D57" s="353">
        <f>IF(ISNUMBER($F57),VLOOKUP($J57,'Table 1'!$B$13:$C$37,2,FALSE)/12*1000*Study_MW,"")</f>
        <v>580083.00481201673</v>
      </c>
      <c r="E57" s="353">
        <f t="shared" si="6"/>
        <v>264674.60162099975</v>
      </c>
      <c r="F57" s="352">
        <v>11262.100543829998</v>
      </c>
      <c r="G57" s="354">
        <f t="shared" si="2"/>
        <v>23.501353108235492</v>
      </c>
      <c r="I57" s="355">
        <f t="shared" si="20"/>
        <v>61</v>
      </c>
      <c r="J57" s="349">
        <f t="shared" si="7"/>
        <v>2029</v>
      </c>
      <c r="K57" s="203">
        <f t="shared" si="21"/>
        <v>47362</v>
      </c>
      <c r="V57" s="330" t="str">
        <f t="shared" si="0"/>
        <v>Winter</v>
      </c>
      <c r="AA57" s="350">
        <f t="shared" si="4"/>
        <v>2.18E-2</v>
      </c>
      <c r="AB57" s="351">
        <f t="shared" si="8"/>
        <v>0</v>
      </c>
    </row>
    <row r="58" spans="2:28" ht="17.45" hidden="1" customHeight="1" outlineLevel="1">
      <c r="B58" s="203">
        <f t="shared" si="5"/>
        <v>47392</v>
      </c>
      <c r="C58" s="352">
        <v>-786614.04245316226</v>
      </c>
      <c r="D58" s="353">
        <f>IF(ISNUMBER($F58),VLOOKUP($J58,'Table 1'!$B$13:$C$37,2,FALSE)/12*1000*Study_MW,"")</f>
        <v>580083.00481201673</v>
      </c>
      <c r="E58" s="353">
        <f t="shared" si="6"/>
        <v>-206531.03764114552</v>
      </c>
      <c r="F58" s="352">
        <v>23306.767880120002</v>
      </c>
      <c r="G58" s="354">
        <f t="shared" si="2"/>
        <v>-8.8614190823649341</v>
      </c>
      <c r="I58" s="355">
        <f t="shared" si="20"/>
        <v>62</v>
      </c>
      <c r="J58" s="349">
        <f t="shared" si="7"/>
        <v>2029</v>
      </c>
      <c r="K58" s="203">
        <f t="shared" si="21"/>
        <v>47392</v>
      </c>
      <c r="V58" s="330" t="str">
        <f t="shared" si="0"/>
        <v>Winter</v>
      </c>
      <c r="AA58" s="350">
        <f t="shared" si="4"/>
        <v>2.18E-2</v>
      </c>
      <c r="AB58" s="351">
        <f t="shared" si="8"/>
        <v>0</v>
      </c>
    </row>
    <row r="59" spans="2:28" ht="17.45" hidden="1" customHeight="1" outlineLevel="1">
      <c r="B59" s="203">
        <f t="shared" si="5"/>
        <v>47423</v>
      </c>
      <c r="C59" s="352">
        <v>-1021385.5033660585</v>
      </c>
      <c r="D59" s="353">
        <f>IF(ISNUMBER($F59),VLOOKUP($J59,'Table 1'!$B$13:$C$37,2,FALSE)/12*1000*Study_MW,"")</f>
        <v>580083.00481201673</v>
      </c>
      <c r="E59" s="353">
        <f t="shared" si="6"/>
        <v>-441302.49855404173</v>
      </c>
      <c r="F59" s="352">
        <v>15087.522923910003</v>
      </c>
      <c r="G59" s="354">
        <f t="shared" si="2"/>
        <v>-29.249499787316719</v>
      </c>
      <c r="I59" s="355">
        <f t="shared" si="20"/>
        <v>63</v>
      </c>
      <c r="J59" s="349">
        <f t="shared" si="7"/>
        <v>2029</v>
      </c>
      <c r="K59" s="203">
        <f t="shared" si="21"/>
        <v>47423</v>
      </c>
      <c r="V59" s="330" t="str">
        <f t="shared" si="0"/>
        <v>Winter</v>
      </c>
      <c r="AA59" s="350">
        <f t="shared" si="4"/>
        <v>2.18E-2</v>
      </c>
      <c r="AB59" s="351">
        <f t="shared" si="8"/>
        <v>0</v>
      </c>
    </row>
    <row r="60" spans="2:28" ht="17.45" hidden="1" customHeight="1" outlineLevel="1">
      <c r="B60" s="204">
        <f t="shared" si="5"/>
        <v>47453</v>
      </c>
      <c r="C60" s="359">
        <v>-1731277.5431447786</v>
      </c>
      <c r="D60" s="360">
        <f>IF(ISNUMBER($F60),VLOOKUP($J60,'Table 1'!$B$13:$C$37,2,FALSE)/12*1000*Study_MW,"")</f>
        <v>580083.00481201673</v>
      </c>
      <c r="E60" s="360">
        <f t="shared" si="6"/>
        <v>-1151194.5383327617</v>
      </c>
      <c r="F60" s="359">
        <v>13611.874340522003</v>
      </c>
      <c r="G60" s="361">
        <f t="shared" si="2"/>
        <v>-84.572815582472856</v>
      </c>
      <c r="I60" s="362">
        <f t="shared" si="20"/>
        <v>64</v>
      </c>
      <c r="J60" s="349">
        <f t="shared" si="7"/>
        <v>2029</v>
      </c>
      <c r="K60" s="204">
        <f t="shared" si="21"/>
        <v>47453</v>
      </c>
      <c r="V60" s="330" t="str">
        <f t="shared" si="0"/>
        <v>Winter</v>
      </c>
      <c r="AA60" s="350">
        <f t="shared" si="4"/>
        <v>2.18E-2</v>
      </c>
      <c r="AB60" s="351">
        <f t="shared" si="8"/>
        <v>0</v>
      </c>
    </row>
    <row r="61" spans="2:28" ht="17.45" hidden="1" customHeight="1" outlineLevel="1">
      <c r="B61" s="202">
        <f t="shared" si="5"/>
        <v>47484</v>
      </c>
      <c r="C61" s="343">
        <v>-820171.65427187865</v>
      </c>
      <c r="D61" s="344">
        <f>IF(ISNUMBER($F61),VLOOKUP($J61,'Table 1'!$B$13:$C$37,2,FALSE)/12*1000*Study_MW,"")</f>
        <v>592728.81401142455</v>
      </c>
      <c r="E61" s="345">
        <f t="shared" si="6"/>
        <v>-227442.8402604541</v>
      </c>
      <c r="F61" s="346">
        <v>21721.678344020002</v>
      </c>
      <c r="G61" s="347">
        <f t="shared" si="2"/>
        <v>-10.470776551346427</v>
      </c>
      <c r="I61" s="363">
        <f>I49+13</f>
        <v>66</v>
      </c>
      <c r="J61" s="349">
        <f t="shared" si="7"/>
        <v>2030</v>
      </c>
      <c r="K61" s="202">
        <f t="shared" si="21"/>
        <v>47484</v>
      </c>
      <c r="V61" s="330" t="str">
        <f t="shared" si="0"/>
        <v>Winter</v>
      </c>
      <c r="AA61" s="350">
        <f t="shared" si="4"/>
        <v>2.18E-2</v>
      </c>
      <c r="AB61" s="351">
        <f t="shared" si="8"/>
        <v>0</v>
      </c>
    </row>
    <row r="62" spans="2:28" ht="17.45" hidden="1" customHeight="1" outlineLevel="1">
      <c r="B62" s="203">
        <f t="shared" si="5"/>
        <v>47515</v>
      </c>
      <c r="C62" s="352">
        <v>-518695.02544508578</v>
      </c>
      <c r="D62" s="353">
        <f>IF(ISNUMBER($F62),VLOOKUP($J62,'Table 1'!$B$13:$C$37,2,FALSE)/12*1000*Study_MW,"")</f>
        <v>592728.81401142455</v>
      </c>
      <c r="E62" s="353">
        <f t="shared" si="6"/>
        <v>74033.788566338771</v>
      </c>
      <c r="F62" s="352">
        <v>17114.06280498</v>
      </c>
      <c r="G62" s="354">
        <f t="shared" si="2"/>
        <v>4.3259037558747169</v>
      </c>
      <c r="I62" s="355">
        <f t="shared" si="20"/>
        <v>67</v>
      </c>
      <c r="J62" s="349">
        <f t="shared" si="7"/>
        <v>2030</v>
      </c>
      <c r="K62" s="203">
        <f t="shared" si="21"/>
        <v>47515</v>
      </c>
      <c r="V62" s="330" t="str">
        <f t="shared" si="0"/>
        <v>Winter</v>
      </c>
      <c r="AA62" s="350">
        <f t="shared" si="4"/>
        <v>2.18E-2</v>
      </c>
      <c r="AB62" s="351">
        <f t="shared" si="8"/>
        <v>0</v>
      </c>
    </row>
    <row r="63" spans="2:28" ht="17.45" hidden="1" customHeight="1" outlineLevel="1">
      <c r="B63" s="203">
        <f t="shared" si="5"/>
        <v>47543</v>
      </c>
      <c r="C63" s="352">
        <v>-738057.51936105662</v>
      </c>
      <c r="D63" s="353">
        <f>IF(ISNUMBER($F63),VLOOKUP($J63,'Table 1'!$B$13:$C$37,2,FALSE)/12*1000*Study_MW,"")</f>
        <v>592728.81401142455</v>
      </c>
      <c r="E63" s="353">
        <f t="shared" si="6"/>
        <v>-145328.70534963207</v>
      </c>
      <c r="F63" s="352">
        <v>18128.276000130001</v>
      </c>
      <c r="G63" s="354">
        <f t="shared" si="2"/>
        <v>-8.0166864928904378</v>
      </c>
      <c r="I63" s="355">
        <f t="shared" si="20"/>
        <v>68</v>
      </c>
      <c r="J63" s="349">
        <f t="shared" si="7"/>
        <v>2030</v>
      </c>
      <c r="K63" s="203">
        <f t="shared" si="21"/>
        <v>47543</v>
      </c>
      <c r="V63" s="330" t="str">
        <f t="shared" si="0"/>
        <v>Winter</v>
      </c>
      <c r="AA63" s="350">
        <f t="shared" si="4"/>
        <v>2.18E-2</v>
      </c>
      <c r="AB63" s="351">
        <f t="shared" si="8"/>
        <v>0</v>
      </c>
    </row>
    <row r="64" spans="2:28" ht="17.45" hidden="1" customHeight="1" outlineLevel="1">
      <c r="B64" s="203">
        <f t="shared" si="5"/>
        <v>47574</v>
      </c>
      <c r="C64" s="352">
        <v>-801259.13725973805</v>
      </c>
      <c r="D64" s="353">
        <f>IF(ISNUMBER($F64),VLOOKUP($J64,'Table 1'!$B$13:$C$37,2,FALSE)/12*1000*Study_MW,"")</f>
        <v>592728.81401142455</v>
      </c>
      <c r="E64" s="353">
        <f t="shared" si="6"/>
        <v>-208530.32324831351</v>
      </c>
      <c r="F64" s="352">
        <v>22846.704080700001</v>
      </c>
      <c r="G64" s="354">
        <f t="shared" si="2"/>
        <v>-9.1273700798038409</v>
      </c>
      <c r="I64" s="355">
        <f t="shared" si="20"/>
        <v>69</v>
      </c>
      <c r="J64" s="349">
        <f t="shared" si="7"/>
        <v>2030</v>
      </c>
      <c r="K64" s="203">
        <f t="shared" si="21"/>
        <v>47574</v>
      </c>
      <c r="V64" s="330" t="str">
        <f t="shared" si="0"/>
        <v>Winter</v>
      </c>
      <c r="AA64" s="350">
        <f t="shared" si="4"/>
        <v>2.18E-2</v>
      </c>
      <c r="AB64" s="351">
        <f t="shared" si="8"/>
        <v>0</v>
      </c>
    </row>
    <row r="65" spans="2:28" ht="17.45" hidden="1" customHeight="1" outlineLevel="1">
      <c r="B65" s="203">
        <f t="shared" si="5"/>
        <v>47604</v>
      </c>
      <c r="C65" s="352">
        <v>-601287.7188361017</v>
      </c>
      <c r="D65" s="353">
        <f>IF(ISNUMBER($F65),VLOOKUP($J65,'Table 1'!$B$13:$C$37,2,FALSE)/12*1000*Study_MW,"")</f>
        <v>592728.81401142455</v>
      </c>
      <c r="E65" s="353">
        <f t="shared" si="6"/>
        <v>-8558.9048246771563</v>
      </c>
      <c r="F65" s="352">
        <v>23562.79290335</v>
      </c>
      <c r="G65" s="354">
        <f t="shared" si="2"/>
        <v>-0.36323812969812708</v>
      </c>
      <c r="I65" s="355">
        <f t="shared" si="20"/>
        <v>70</v>
      </c>
      <c r="J65" s="349">
        <f t="shared" si="7"/>
        <v>2030</v>
      </c>
      <c r="K65" s="203">
        <f t="shared" si="21"/>
        <v>47604</v>
      </c>
      <c r="V65" s="330" t="str">
        <f t="shared" si="0"/>
        <v>Summer</v>
      </c>
      <c r="AA65" s="350">
        <f t="shared" si="4"/>
        <v>2.18E-2</v>
      </c>
      <c r="AB65" s="351">
        <f t="shared" si="8"/>
        <v>0</v>
      </c>
    </row>
    <row r="66" spans="2:28" ht="17.45" hidden="1" customHeight="1" outlineLevel="1">
      <c r="B66" s="203">
        <f t="shared" si="5"/>
        <v>47635</v>
      </c>
      <c r="C66" s="352">
        <v>-251991.48347535811</v>
      </c>
      <c r="D66" s="353">
        <f>IF(ISNUMBER($F66),VLOOKUP($J66,'Table 1'!$B$13:$C$37,2,FALSE)/12*1000*Study_MW,"")</f>
        <v>592728.81401142455</v>
      </c>
      <c r="E66" s="353">
        <f t="shared" si="6"/>
        <v>340737.33053606644</v>
      </c>
      <c r="F66" s="352">
        <v>20755.61726345</v>
      </c>
      <c r="G66" s="354">
        <f t="shared" si="2"/>
        <v>16.416631999477769</v>
      </c>
      <c r="I66" s="355">
        <f t="shared" si="20"/>
        <v>71</v>
      </c>
      <c r="J66" s="349">
        <f t="shared" si="7"/>
        <v>2030</v>
      </c>
      <c r="K66" s="203">
        <f t="shared" si="21"/>
        <v>47635</v>
      </c>
      <c r="V66" s="330" t="str">
        <f t="shared" si="0"/>
        <v>Summer</v>
      </c>
      <c r="AA66" s="350">
        <f t="shared" si="4"/>
        <v>2.18E-2</v>
      </c>
      <c r="AB66" s="351">
        <f t="shared" si="8"/>
        <v>0</v>
      </c>
    </row>
    <row r="67" spans="2:28" ht="17.45" hidden="1" customHeight="1" outlineLevel="1">
      <c r="B67" s="203">
        <f t="shared" si="5"/>
        <v>47665</v>
      </c>
      <c r="C67" s="352">
        <v>-296010.08900294255</v>
      </c>
      <c r="D67" s="353">
        <f>IF(ISNUMBER($F67),VLOOKUP($J67,'Table 1'!$B$13:$C$37,2,FALSE)/12*1000*Study_MW,"")</f>
        <v>592728.81401142455</v>
      </c>
      <c r="E67" s="353">
        <f t="shared" si="6"/>
        <v>296718.725008482</v>
      </c>
      <c r="F67" s="352">
        <v>11919.739425549998</v>
      </c>
      <c r="G67" s="354">
        <f t="shared" si="2"/>
        <v>24.893054656250662</v>
      </c>
      <c r="I67" s="355">
        <f t="shared" si="20"/>
        <v>72</v>
      </c>
      <c r="J67" s="349">
        <f t="shared" si="7"/>
        <v>2030</v>
      </c>
      <c r="K67" s="203">
        <f t="shared" si="21"/>
        <v>47665</v>
      </c>
      <c r="V67" s="330" t="str">
        <f t="shared" si="0"/>
        <v>Summer</v>
      </c>
      <c r="AA67" s="350">
        <f t="shared" si="4"/>
        <v>2.18E-2</v>
      </c>
      <c r="AB67" s="351">
        <f t="shared" si="8"/>
        <v>0</v>
      </c>
    </row>
    <row r="68" spans="2:28" ht="17.45" hidden="1" customHeight="1" outlineLevel="1">
      <c r="B68" s="203">
        <f t="shared" si="5"/>
        <v>47696</v>
      </c>
      <c r="C68" s="352">
        <v>-425903.9129071589</v>
      </c>
      <c r="D68" s="353">
        <f>IF(ISNUMBER($F68),VLOOKUP($J68,'Table 1'!$B$13:$C$37,2,FALSE)/12*1000*Study_MW,"")</f>
        <v>592728.81401142455</v>
      </c>
      <c r="E68" s="353">
        <f t="shared" si="6"/>
        <v>166824.90110426565</v>
      </c>
      <c r="F68" s="352">
        <v>13400.009111429999</v>
      </c>
      <c r="G68" s="354">
        <f t="shared" si="2"/>
        <v>12.449611020187039</v>
      </c>
      <c r="I68" s="355">
        <f t="shared" si="20"/>
        <v>73</v>
      </c>
      <c r="J68" s="349">
        <f t="shared" si="7"/>
        <v>2030</v>
      </c>
      <c r="K68" s="203">
        <f t="shared" si="21"/>
        <v>47696</v>
      </c>
      <c r="V68" s="330" t="str">
        <f t="shared" si="0"/>
        <v>Summer</v>
      </c>
      <c r="AA68" s="350">
        <f t="shared" si="4"/>
        <v>2.18E-2</v>
      </c>
      <c r="AB68" s="351">
        <f t="shared" si="8"/>
        <v>0</v>
      </c>
    </row>
    <row r="69" spans="2:28" ht="17.45" hidden="1" customHeight="1" outlineLevel="1">
      <c r="B69" s="203">
        <f t="shared" si="5"/>
        <v>47727</v>
      </c>
      <c r="C69" s="352">
        <v>-323418.04231810966</v>
      </c>
      <c r="D69" s="353">
        <f>IF(ISNUMBER($F69),VLOOKUP($J69,'Table 1'!$B$13:$C$37,2,FALSE)/12*1000*Study_MW,"")</f>
        <v>592728.81401142455</v>
      </c>
      <c r="E69" s="353">
        <f t="shared" si="6"/>
        <v>269310.77169331489</v>
      </c>
      <c r="F69" s="352">
        <v>11326.96957904</v>
      </c>
      <c r="G69" s="354">
        <f t="shared" si="2"/>
        <v>23.776065594072154</v>
      </c>
      <c r="I69" s="355">
        <f t="shared" si="20"/>
        <v>74</v>
      </c>
      <c r="J69" s="349">
        <f t="shared" si="7"/>
        <v>2030</v>
      </c>
      <c r="K69" s="203">
        <f t="shared" si="21"/>
        <v>47727</v>
      </c>
      <c r="V69" s="330" t="str">
        <f t="shared" si="0"/>
        <v>Winter</v>
      </c>
      <c r="AA69" s="350">
        <f t="shared" si="4"/>
        <v>2.18E-2</v>
      </c>
      <c r="AB69" s="351">
        <f t="shared" si="8"/>
        <v>0</v>
      </c>
    </row>
    <row r="70" spans="2:28" ht="17.45" hidden="1" customHeight="1" outlineLevel="1">
      <c r="B70" s="203">
        <f t="shared" si="5"/>
        <v>47757</v>
      </c>
      <c r="C70" s="352">
        <v>-789452.02688925201</v>
      </c>
      <c r="D70" s="353">
        <f>IF(ISNUMBER($F70),VLOOKUP($J70,'Table 1'!$B$13:$C$37,2,FALSE)/12*1000*Study_MW,"")</f>
        <v>592728.81401142455</v>
      </c>
      <c r="E70" s="353">
        <f t="shared" si="6"/>
        <v>-196723.21287782746</v>
      </c>
      <c r="F70" s="352">
        <v>23084.924245520004</v>
      </c>
      <c r="G70" s="354">
        <f t="shared" si="2"/>
        <v>-8.521717930956811</v>
      </c>
      <c r="I70" s="355">
        <f t="shared" si="20"/>
        <v>75</v>
      </c>
      <c r="J70" s="349">
        <f t="shared" si="7"/>
        <v>2030</v>
      </c>
      <c r="K70" s="203">
        <f t="shared" si="21"/>
        <v>47757</v>
      </c>
      <c r="V70" s="330" t="str">
        <f t="shared" si="0"/>
        <v>Winter</v>
      </c>
      <c r="AA70" s="350">
        <f t="shared" si="4"/>
        <v>2.18E-2</v>
      </c>
      <c r="AB70" s="351">
        <f t="shared" si="8"/>
        <v>0</v>
      </c>
    </row>
    <row r="71" spans="2:28" ht="17.45" hidden="1" customHeight="1" outlineLevel="1">
      <c r="B71" s="203">
        <f t="shared" si="5"/>
        <v>47788</v>
      </c>
      <c r="C71" s="352">
        <v>-1007282.7168082686</v>
      </c>
      <c r="D71" s="353">
        <f>IF(ISNUMBER($F71),VLOOKUP($J71,'Table 1'!$B$13:$C$37,2,FALSE)/12*1000*Study_MW,"")</f>
        <v>592728.81401142455</v>
      </c>
      <c r="E71" s="353">
        <f t="shared" si="6"/>
        <v>-414553.90279684402</v>
      </c>
      <c r="F71" s="352">
        <v>16305.06483669</v>
      </c>
      <c r="G71" s="354">
        <f t="shared" si="2"/>
        <v>-25.424854604932701</v>
      </c>
      <c r="I71" s="355">
        <f t="shared" si="20"/>
        <v>76</v>
      </c>
      <c r="J71" s="349">
        <f t="shared" si="7"/>
        <v>2030</v>
      </c>
      <c r="K71" s="203">
        <f t="shared" si="21"/>
        <v>47788</v>
      </c>
      <c r="V71" s="330" t="str">
        <f t="shared" si="0"/>
        <v>Winter</v>
      </c>
      <c r="AA71" s="350">
        <f t="shared" si="4"/>
        <v>2.18E-2</v>
      </c>
      <c r="AB71" s="351">
        <f t="shared" si="8"/>
        <v>0</v>
      </c>
    </row>
    <row r="72" spans="2:28" ht="17.45" hidden="1" customHeight="1" outlineLevel="1">
      <c r="B72" s="204">
        <f t="shared" si="5"/>
        <v>47818</v>
      </c>
      <c r="C72" s="359">
        <v>-1981634.1299937733</v>
      </c>
      <c r="D72" s="360">
        <f>IF(ISNUMBER($F72),VLOOKUP($J72,'Table 1'!$B$13:$C$37,2,FALSE)/12*1000*Study_MW,"")</f>
        <v>592728.81401142455</v>
      </c>
      <c r="E72" s="360">
        <f t="shared" si="6"/>
        <v>-1388905.3159823488</v>
      </c>
      <c r="F72" s="359">
        <v>12741.417520637669</v>
      </c>
      <c r="G72" s="361">
        <f t="shared" si="2"/>
        <v>-109.00712685481781</v>
      </c>
      <c r="I72" s="362">
        <f t="shared" si="20"/>
        <v>77</v>
      </c>
      <c r="J72" s="349">
        <f t="shared" si="7"/>
        <v>2030</v>
      </c>
      <c r="K72" s="204">
        <f t="shared" si="21"/>
        <v>47818</v>
      </c>
      <c r="V72" s="330" t="str">
        <f t="shared" si="0"/>
        <v>Winter</v>
      </c>
      <c r="AA72" s="350">
        <f t="shared" si="4"/>
        <v>2.18E-2</v>
      </c>
      <c r="AB72" s="351">
        <f t="shared" si="8"/>
        <v>0</v>
      </c>
    </row>
    <row r="73" spans="2:28" ht="17.45" hidden="1" customHeight="1" outlineLevel="1">
      <c r="B73" s="202">
        <f t="shared" si="5"/>
        <v>47849</v>
      </c>
      <c r="C73" s="343">
        <v>-1288546.6921886546</v>
      </c>
      <c r="D73" s="344">
        <f>IF(ISNUMBER($F73),VLOOKUP($J73,'Table 1'!$B$13:$C$37,2,FALSE)/12*1000*Study_MW,"")</f>
        <v>605650.30213625042</v>
      </c>
      <c r="E73" s="345">
        <f t="shared" si="6"/>
        <v>-682896.39005240414</v>
      </c>
      <c r="F73" s="346">
        <v>16962.172302200001</v>
      </c>
      <c r="G73" s="347">
        <f t="shared" si="2"/>
        <v>-40.259960686983014</v>
      </c>
      <c r="I73" s="363">
        <f>I61+13</f>
        <v>79</v>
      </c>
      <c r="J73" s="349">
        <f t="shared" si="7"/>
        <v>2031</v>
      </c>
      <c r="K73" s="202">
        <f t="shared" si="21"/>
        <v>47849</v>
      </c>
      <c r="V73" s="330" t="str">
        <f t="shared" si="0"/>
        <v>Winter</v>
      </c>
      <c r="AA73" s="350">
        <f t="shared" si="4"/>
        <v>2.18E-2</v>
      </c>
      <c r="AB73" s="351">
        <f t="shared" si="8"/>
        <v>0</v>
      </c>
    </row>
    <row r="74" spans="2:28" ht="17.45" hidden="1" customHeight="1" outlineLevel="1">
      <c r="B74" s="203">
        <f t="shared" si="5"/>
        <v>47880</v>
      </c>
      <c r="C74" s="352">
        <v>-514542.99477619497</v>
      </c>
      <c r="D74" s="353">
        <f>IF(ISNUMBER($F74),VLOOKUP($J74,'Table 1'!$B$13:$C$37,2,FALSE)/12*1000*Study_MW,"")</f>
        <v>605650.30213625042</v>
      </c>
      <c r="E74" s="353">
        <f t="shared" si="6"/>
        <v>91107.307360055449</v>
      </c>
      <c r="F74" s="352">
        <v>20624.67032782</v>
      </c>
      <c r="G74" s="354">
        <f t="shared" si="2"/>
        <v>4.4173946013170227</v>
      </c>
      <c r="I74" s="355">
        <f t="shared" si="20"/>
        <v>80</v>
      </c>
      <c r="J74" s="349">
        <f t="shared" si="7"/>
        <v>2031</v>
      </c>
      <c r="K74" s="203">
        <f t="shared" si="21"/>
        <v>47880</v>
      </c>
      <c r="V74" s="330" t="str">
        <f t="shared" si="0"/>
        <v>Winter</v>
      </c>
      <c r="AA74" s="350">
        <f t="shared" si="4"/>
        <v>2.18E-2</v>
      </c>
      <c r="AB74" s="351">
        <f t="shared" si="8"/>
        <v>0</v>
      </c>
    </row>
    <row r="75" spans="2:28" ht="17.45" hidden="1" customHeight="1" outlineLevel="1">
      <c r="B75" s="203">
        <f t="shared" si="5"/>
        <v>47908</v>
      </c>
      <c r="C75" s="352">
        <v>-780298.91613262589</v>
      </c>
      <c r="D75" s="353">
        <f>IF(ISNUMBER($F75),VLOOKUP($J75,'Table 1'!$B$13:$C$37,2,FALSE)/12*1000*Study_MW,"")</f>
        <v>605650.30213625042</v>
      </c>
      <c r="E75" s="353">
        <f t="shared" si="6"/>
        <v>-174648.61399637547</v>
      </c>
      <c r="F75" s="352">
        <v>18952.858266089999</v>
      </c>
      <c r="G75" s="354">
        <f t="shared" si="2"/>
        <v>-9.2148957980049158</v>
      </c>
      <c r="I75" s="355">
        <f t="shared" si="20"/>
        <v>81</v>
      </c>
      <c r="J75" s="349">
        <f t="shared" si="7"/>
        <v>2031</v>
      </c>
      <c r="K75" s="203">
        <f t="shared" si="21"/>
        <v>47908</v>
      </c>
      <c r="V75" s="330" t="str">
        <f t="shared" si="0"/>
        <v>Winter</v>
      </c>
      <c r="AA75" s="350">
        <f t="shared" si="4"/>
        <v>2.18E-2</v>
      </c>
      <c r="AB75" s="351">
        <f t="shared" si="8"/>
        <v>0</v>
      </c>
    </row>
    <row r="76" spans="2:28" ht="17.45" hidden="1" customHeight="1" outlineLevel="1">
      <c r="B76" s="203">
        <f t="shared" si="5"/>
        <v>47939</v>
      </c>
      <c r="C76" s="352">
        <v>-726660.80769186374</v>
      </c>
      <c r="D76" s="353">
        <f>IF(ISNUMBER($F76),VLOOKUP($J76,'Table 1'!$B$13:$C$37,2,FALSE)/12*1000*Study_MW,"")</f>
        <v>605650.30213625042</v>
      </c>
      <c r="E76" s="353">
        <f t="shared" si="6"/>
        <v>-121010.50555561332</v>
      </c>
      <c r="F76" s="352">
        <v>19742.419320159999</v>
      </c>
      <c r="G76" s="354">
        <f t="shared" si="2"/>
        <v>-6.1294668902125524</v>
      </c>
      <c r="I76" s="355">
        <f t="shared" si="20"/>
        <v>82</v>
      </c>
      <c r="J76" s="349">
        <f t="shared" si="7"/>
        <v>2031</v>
      </c>
      <c r="K76" s="203">
        <f t="shared" si="21"/>
        <v>47939</v>
      </c>
      <c r="V76" s="330" t="str">
        <f t="shared" ref="V76:V139" si="25">IFERROR(IF(AND(MONTH(K77)&gt;=6,MONTH(K77)&lt;=9),"Summer","Winter"),"-")</f>
        <v>Winter</v>
      </c>
      <c r="AA76" s="350">
        <f t="shared" si="4"/>
        <v>2.18E-2</v>
      </c>
      <c r="AB76" s="351">
        <f t="shared" si="8"/>
        <v>0</v>
      </c>
    </row>
    <row r="77" spans="2:28" ht="17.45" hidden="1" customHeight="1" outlineLevel="1">
      <c r="B77" s="203">
        <f t="shared" si="5"/>
        <v>47969</v>
      </c>
      <c r="C77" s="352">
        <v>-516571.00002049992</v>
      </c>
      <c r="D77" s="353">
        <f>IF(ISNUMBER($F77),VLOOKUP($J77,'Table 1'!$B$13:$C$37,2,FALSE)/12*1000*Study_MW,"")</f>
        <v>605650.30213625042</v>
      </c>
      <c r="E77" s="353">
        <f t="shared" si="6"/>
        <v>89079.302115750499</v>
      </c>
      <c r="F77" s="352">
        <v>22480.287469800009</v>
      </c>
      <c r="G77" s="354">
        <f t="shared" ref="G77:G140" si="26">IF(ISNUMBER($F77),E77/$F77,"")</f>
        <v>3.9625517349553259</v>
      </c>
      <c r="I77" s="355">
        <f t="shared" si="20"/>
        <v>83</v>
      </c>
      <c r="J77" s="349">
        <f t="shared" si="7"/>
        <v>2031</v>
      </c>
      <c r="K77" s="203">
        <f t="shared" si="21"/>
        <v>47969</v>
      </c>
      <c r="V77" s="330" t="str">
        <f t="shared" si="25"/>
        <v>Summer</v>
      </c>
      <c r="AA77" s="350">
        <f t="shared" ref="AA77:AA140" si="27">Inflation</f>
        <v>2.18E-2</v>
      </c>
      <c r="AB77" s="351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2">
        <v>-481782.41573830019</v>
      </c>
      <c r="D78" s="353">
        <f>IF(ISNUMBER($F78),VLOOKUP($J78,'Table 1'!$B$13:$C$37,2,FALSE)/12*1000*Study_MW,"")</f>
        <v>605650.30213625042</v>
      </c>
      <c r="E78" s="353">
        <f t="shared" ref="E78:E141" si="29">IF(ISNUMBER(C78+D78),C78+D78,"")</f>
        <v>123867.88639795023</v>
      </c>
      <c r="F78" s="352">
        <v>21828.513316659995</v>
      </c>
      <c r="G78" s="354">
        <f t="shared" si="26"/>
        <v>5.674591054417415</v>
      </c>
      <c r="I78" s="355">
        <f t="shared" si="20"/>
        <v>84</v>
      </c>
      <c r="J78" s="349">
        <f t="shared" ref="J78:J141" si="30">YEAR(B78)</f>
        <v>2031</v>
      </c>
      <c r="K78" s="203">
        <f t="shared" si="21"/>
        <v>48000</v>
      </c>
      <c r="V78" s="330" t="str">
        <f t="shared" si="25"/>
        <v>Summer</v>
      </c>
      <c r="AA78" s="350">
        <f t="shared" si="27"/>
        <v>2.18E-2</v>
      </c>
      <c r="AB78" s="351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2">
        <v>-226701.23789924764</v>
      </c>
      <c r="D79" s="353">
        <f>IF(ISNUMBER($F79),VLOOKUP($J79,'Table 1'!$B$13:$C$37,2,FALSE)/12*1000*Study_MW,"")</f>
        <v>605650.30213625042</v>
      </c>
      <c r="E79" s="353">
        <f t="shared" si="29"/>
        <v>378949.06423700275</v>
      </c>
      <c r="F79" s="352">
        <v>15662.846689080001</v>
      </c>
      <c r="G79" s="354">
        <f t="shared" si="26"/>
        <v>24.194137359539035</v>
      </c>
      <c r="I79" s="355">
        <f t="shared" si="20"/>
        <v>85</v>
      </c>
      <c r="J79" s="349">
        <f t="shared" si="30"/>
        <v>2031</v>
      </c>
      <c r="K79" s="203">
        <f t="shared" si="21"/>
        <v>48030</v>
      </c>
      <c r="V79" s="330" t="str">
        <f t="shared" si="25"/>
        <v>Summer</v>
      </c>
      <c r="AA79" s="350">
        <f t="shared" si="27"/>
        <v>2.18E-2</v>
      </c>
      <c r="AB79" s="351">
        <f t="shared" si="31"/>
        <v>0</v>
      </c>
    </row>
    <row r="80" spans="2:28" ht="17.45" hidden="1" customHeight="1" outlineLevel="1">
      <c r="B80" s="203">
        <f t="shared" si="28"/>
        <v>48061</v>
      </c>
      <c r="C80" s="352">
        <v>-468128.06258770981</v>
      </c>
      <c r="D80" s="353">
        <f>IF(ISNUMBER($F80),VLOOKUP($J80,'Table 1'!$B$13:$C$37,2,FALSE)/12*1000*Study_MW,"")</f>
        <v>605650.30213625042</v>
      </c>
      <c r="E80" s="353">
        <f t="shared" si="29"/>
        <v>137522.23954854062</v>
      </c>
      <c r="F80" s="352">
        <v>11824.751846509998</v>
      </c>
      <c r="G80" s="354">
        <f t="shared" si="26"/>
        <v>11.630031761649986</v>
      </c>
      <c r="I80" s="355">
        <f t="shared" si="20"/>
        <v>86</v>
      </c>
      <c r="J80" s="349">
        <f t="shared" si="30"/>
        <v>2031</v>
      </c>
      <c r="K80" s="203">
        <f t="shared" si="21"/>
        <v>48061</v>
      </c>
      <c r="V80" s="330" t="str">
        <f t="shared" si="25"/>
        <v>Summer</v>
      </c>
      <c r="AA80" s="350">
        <f t="shared" si="27"/>
        <v>2.18E-2</v>
      </c>
      <c r="AB80" s="351">
        <f t="shared" si="31"/>
        <v>0</v>
      </c>
    </row>
    <row r="81" spans="2:28" ht="17.45" hidden="1" customHeight="1" outlineLevel="1">
      <c r="B81" s="203">
        <f t="shared" si="28"/>
        <v>48092</v>
      </c>
      <c r="C81" s="352">
        <v>-250770.47322304497</v>
      </c>
      <c r="D81" s="353">
        <f>IF(ISNUMBER($F81),VLOOKUP($J81,'Table 1'!$B$13:$C$37,2,FALSE)/12*1000*Study_MW,"")</f>
        <v>605650.30213625042</v>
      </c>
      <c r="E81" s="353">
        <f t="shared" si="29"/>
        <v>354879.82891320542</v>
      </c>
      <c r="F81" s="352">
        <v>12170.57831556</v>
      </c>
      <c r="G81" s="354">
        <f t="shared" si="26"/>
        <v>29.158830395059699</v>
      </c>
      <c r="I81" s="355">
        <f t="shared" si="20"/>
        <v>87</v>
      </c>
      <c r="J81" s="349">
        <f t="shared" si="30"/>
        <v>2031</v>
      </c>
      <c r="K81" s="203">
        <f t="shared" si="21"/>
        <v>48092</v>
      </c>
      <c r="V81" s="330" t="str">
        <f t="shared" si="25"/>
        <v>Winter</v>
      </c>
      <c r="AA81" s="350">
        <f t="shared" si="27"/>
        <v>2.18E-2</v>
      </c>
      <c r="AB81" s="351">
        <f t="shared" si="31"/>
        <v>0</v>
      </c>
    </row>
    <row r="82" spans="2:28" ht="17.45" hidden="1" customHeight="1" outlineLevel="1">
      <c r="B82" s="203">
        <f t="shared" si="28"/>
        <v>48122</v>
      </c>
      <c r="C82" s="352">
        <v>-959551.84763554274</v>
      </c>
      <c r="D82" s="353">
        <f>IF(ISNUMBER($F82),VLOOKUP($J82,'Table 1'!$B$13:$C$37,2,FALSE)/12*1000*Study_MW,"")</f>
        <v>605650.30213625042</v>
      </c>
      <c r="E82" s="353">
        <f t="shared" si="29"/>
        <v>-353901.54549929232</v>
      </c>
      <c r="F82" s="352">
        <v>23527.343133190003</v>
      </c>
      <c r="G82" s="354">
        <f t="shared" si="26"/>
        <v>-15.04213814096347</v>
      </c>
      <c r="I82" s="355">
        <f t="shared" si="20"/>
        <v>88</v>
      </c>
      <c r="J82" s="349">
        <f t="shared" si="30"/>
        <v>2031</v>
      </c>
      <c r="K82" s="203">
        <f t="shared" si="21"/>
        <v>48122</v>
      </c>
      <c r="V82" s="330" t="str">
        <f t="shared" si="25"/>
        <v>Winter</v>
      </c>
      <c r="AA82" s="350">
        <f t="shared" si="27"/>
        <v>2.18E-2</v>
      </c>
      <c r="AB82" s="351">
        <f t="shared" si="31"/>
        <v>0</v>
      </c>
    </row>
    <row r="83" spans="2:28" ht="17.45" hidden="1" customHeight="1" outlineLevel="1">
      <c r="B83" s="203">
        <f t="shared" si="28"/>
        <v>48153</v>
      </c>
      <c r="C83" s="352">
        <v>-1089206.7940985563</v>
      </c>
      <c r="D83" s="353">
        <f>IF(ISNUMBER($F83),VLOOKUP($J83,'Table 1'!$B$13:$C$37,2,FALSE)/12*1000*Study_MW,"")</f>
        <v>605650.30213625042</v>
      </c>
      <c r="E83" s="353">
        <f t="shared" si="29"/>
        <v>-483556.49196230585</v>
      </c>
      <c r="F83" s="352">
        <v>13776.181571250001</v>
      </c>
      <c r="G83" s="354">
        <f t="shared" si="26"/>
        <v>-35.10090872868988</v>
      </c>
      <c r="I83" s="355">
        <f t="shared" si="20"/>
        <v>89</v>
      </c>
      <c r="J83" s="349">
        <f t="shared" si="30"/>
        <v>2031</v>
      </c>
      <c r="K83" s="203">
        <f t="shared" si="21"/>
        <v>48153</v>
      </c>
      <c r="V83" s="330" t="str">
        <f t="shared" si="25"/>
        <v>Winter</v>
      </c>
      <c r="AA83" s="350">
        <f t="shared" si="27"/>
        <v>2.18E-2</v>
      </c>
      <c r="AB83" s="351">
        <f t="shared" si="31"/>
        <v>0</v>
      </c>
    </row>
    <row r="84" spans="2:28" ht="17.45" hidden="1" customHeight="1" outlineLevel="1">
      <c r="B84" s="204">
        <f t="shared" si="28"/>
        <v>48183</v>
      </c>
      <c r="C84" s="359">
        <v>-1787687.7579713017</v>
      </c>
      <c r="D84" s="360">
        <f>IF(ISNUMBER($F84),VLOOKUP($J84,'Table 1'!$B$13:$C$37,2,FALSE)/12*1000*Study_MW,"")</f>
        <v>605650.30213625042</v>
      </c>
      <c r="E84" s="360">
        <f t="shared" si="29"/>
        <v>-1182037.4558350514</v>
      </c>
      <c r="F84" s="359">
        <v>15565.060646275002</v>
      </c>
      <c r="G84" s="361">
        <f t="shared" si="26"/>
        <v>-75.941718615656924</v>
      </c>
      <c r="I84" s="362">
        <f t="shared" si="20"/>
        <v>90</v>
      </c>
      <c r="J84" s="349">
        <f t="shared" si="30"/>
        <v>2031</v>
      </c>
      <c r="K84" s="204">
        <f t="shared" si="21"/>
        <v>48183</v>
      </c>
      <c r="V84" s="330" t="str">
        <f t="shared" si="25"/>
        <v>Winter</v>
      </c>
      <c r="AA84" s="350">
        <f t="shared" si="27"/>
        <v>2.18E-2</v>
      </c>
      <c r="AB84" s="351">
        <f t="shared" si="31"/>
        <v>0</v>
      </c>
    </row>
    <row r="85" spans="2:28" ht="17.45" hidden="1" customHeight="1" outlineLevel="1">
      <c r="B85" s="202">
        <f t="shared" si="28"/>
        <v>48214</v>
      </c>
      <c r="C85" s="343">
        <v>-1261766.3662782288</v>
      </c>
      <c r="D85" s="344">
        <f>IF(ISNUMBER($F85),VLOOKUP($J85,'Table 1'!$B$13:$C$37,2,FALSE)/12*1000*Study_MW,"")</f>
        <v>618853.47855481482</v>
      </c>
      <c r="E85" s="345">
        <f t="shared" si="29"/>
        <v>-642912.88772341399</v>
      </c>
      <c r="F85" s="346">
        <v>17943.308888460004</v>
      </c>
      <c r="G85" s="347">
        <f t="shared" si="26"/>
        <v>-35.830230183291036</v>
      </c>
      <c r="I85" s="363">
        <f>I73+13</f>
        <v>92</v>
      </c>
      <c r="J85" s="349">
        <f t="shared" si="30"/>
        <v>2032</v>
      </c>
      <c r="K85" s="202">
        <f t="shared" si="21"/>
        <v>48214</v>
      </c>
      <c r="V85" s="330" t="str">
        <f t="shared" si="25"/>
        <v>Winter</v>
      </c>
      <c r="AA85" s="350">
        <f t="shared" si="27"/>
        <v>2.18E-2</v>
      </c>
      <c r="AB85" s="351">
        <f t="shared" si="31"/>
        <v>0</v>
      </c>
    </row>
    <row r="86" spans="2:28" ht="17.45" hidden="1" customHeight="1" outlineLevel="1">
      <c r="B86" s="203">
        <f t="shared" si="28"/>
        <v>48245</v>
      </c>
      <c r="C86" s="352">
        <v>-565903.87656707026</v>
      </c>
      <c r="D86" s="353">
        <f>IF(ISNUMBER($F86),VLOOKUP($J86,'Table 1'!$B$13:$C$37,2,FALSE)/12*1000*Study_MW,"")</f>
        <v>618853.47855481482</v>
      </c>
      <c r="E86" s="353">
        <f t="shared" si="29"/>
        <v>52949.601987744565</v>
      </c>
      <c r="F86" s="352">
        <v>20298.237131269998</v>
      </c>
      <c r="G86" s="354">
        <f t="shared" si="26"/>
        <v>2.6085813090721182</v>
      </c>
      <c r="I86" s="355">
        <f t="shared" si="20"/>
        <v>93</v>
      </c>
      <c r="J86" s="349">
        <f t="shared" si="30"/>
        <v>2032</v>
      </c>
      <c r="K86" s="203">
        <f t="shared" si="21"/>
        <v>48245</v>
      </c>
      <c r="V86" s="330" t="str">
        <f t="shared" si="25"/>
        <v>Winter</v>
      </c>
      <c r="AA86" s="350">
        <f t="shared" si="27"/>
        <v>2.18E-2</v>
      </c>
      <c r="AB86" s="351">
        <f t="shared" si="31"/>
        <v>0</v>
      </c>
    </row>
    <row r="87" spans="2:28" ht="17.45" hidden="1" customHeight="1" outlineLevel="1">
      <c r="B87" s="203">
        <f t="shared" si="28"/>
        <v>48274</v>
      </c>
      <c r="C87" s="352">
        <v>-880210.14101487526</v>
      </c>
      <c r="D87" s="353">
        <f>IF(ISNUMBER($F87),VLOOKUP($J87,'Table 1'!$B$13:$C$37,2,FALSE)/12*1000*Study_MW,"")</f>
        <v>618853.47855481482</v>
      </c>
      <c r="E87" s="353">
        <f t="shared" si="29"/>
        <v>-261356.66246006044</v>
      </c>
      <c r="F87" s="352">
        <v>18220.792456949996</v>
      </c>
      <c r="G87" s="354">
        <f t="shared" si="26"/>
        <v>-14.343869130695829</v>
      </c>
      <c r="I87" s="355">
        <f t="shared" si="20"/>
        <v>94</v>
      </c>
      <c r="J87" s="349">
        <f t="shared" si="30"/>
        <v>2032</v>
      </c>
      <c r="K87" s="203">
        <f t="shared" si="21"/>
        <v>48274</v>
      </c>
      <c r="V87" s="330" t="str">
        <f t="shared" si="25"/>
        <v>Winter</v>
      </c>
      <c r="AA87" s="350">
        <f t="shared" si="27"/>
        <v>2.18E-2</v>
      </c>
      <c r="AB87" s="351">
        <f t="shared" si="31"/>
        <v>0</v>
      </c>
    </row>
    <row r="88" spans="2:28" ht="17.45" hidden="1" customHeight="1" outlineLevel="1">
      <c r="B88" s="203">
        <f t="shared" si="28"/>
        <v>48305</v>
      </c>
      <c r="C88" s="352">
        <v>-853476.14290183992</v>
      </c>
      <c r="D88" s="353">
        <f>IF(ISNUMBER($F88),VLOOKUP($J88,'Table 1'!$B$13:$C$37,2,FALSE)/12*1000*Study_MW,"")</f>
        <v>618853.47855481482</v>
      </c>
      <c r="E88" s="353">
        <f t="shared" si="29"/>
        <v>-234622.6643470251</v>
      </c>
      <c r="F88" s="352">
        <v>21563.636811889999</v>
      </c>
      <c r="G88" s="354">
        <f t="shared" si="26"/>
        <v>-10.88047746276529</v>
      </c>
      <c r="I88" s="355">
        <f t="shared" si="20"/>
        <v>95</v>
      </c>
      <c r="J88" s="349">
        <f t="shared" si="30"/>
        <v>2032</v>
      </c>
      <c r="K88" s="203">
        <f t="shared" si="21"/>
        <v>48305</v>
      </c>
      <c r="V88" s="330" t="str">
        <f t="shared" si="25"/>
        <v>Winter</v>
      </c>
      <c r="AA88" s="350">
        <f t="shared" si="27"/>
        <v>2.18E-2</v>
      </c>
      <c r="AB88" s="351">
        <f t="shared" si="31"/>
        <v>0</v>
      </c>
    </row>
    <row r="89" spans="2:28" ht="17.45" hidden="1" customHeight="1" outlineLevel="1">
      <c r="B89" s="203">
        <f t="shared" si="28"/>
        <v>48335</v>
      </c>
      <c r="C89" s="352">
        <v>-519291.82981055055</v>
      </c>
      <c r="D89" s="353">
        <f>IF(ISNUMBER($F89),VLOOKUP($J89,'Table 1'!$B$13:$C$37,2,FALSE)/12*1000*Study_MW,"")</f>
        <v>618853.47855481482</v>
      </c>
      <c r="E89" s="353">
        <f t="shared" si="29"/>
        <v>99561.648744264268</v>
      </c>
      <c r="F89" s="352">
        <v>22851.848039540004</v>
      </c>
      <c r="G89" s="354">
        <f t="shared" si="26"/>
        <v>4.3568313850151261</v>
      </c>
      <c r="I89" s="355">
        <f t="shared" si="20"/>
        <v>96</v>
      </c>
      <c r="J89" s="349">
        <f t="shared" si="30"/>
        <v>2032</v>
      </c>
      <c r="K89" s="203">
        <f t="shared" si="21"/>
        <v>48335</v>
      </c>
      <c r="V89" s="330" t="str">
        <f t="shared" si="25"/>
        <v>Summer</v>
      </c>
      <c r="AA89" s="350">
        <f t="shared" si="27"/>
        <v>2.18E-2</v>
      </c>
      <c r="AB89" s="351">
        <f t="shared" si="31"/>
        <v>0</v>
      </c>
    </row>
    <row r="90" spans="2:28" ht="17.45" hidden="1" customHeight="1" outlineLevel="1">
      <c r="B90" s="203">
        <f t="shared" si="28"/>
        <v>48366</v>
      </c>
      <c r="C90" s="352">
        <v>-551887.35488081875</v>
      </c>
      <c r="D90" s="353">
        <f>IF(ISNUMBER($F90),VLOOKUP($J90,'Table 1'!$B$13:$C$37,2,FALSE)/12*1000*Study_MW,"")</f>
        <v>618853.47855481482</v>
      </c>
      <c r="E90" s="353">
        <f t="shared" si="29"/>
        <v>66966.123673996073</v>
      </c>
      <c r="F90" s="352">
        <v>21964.394641799998</v>
      </c>
      <c r="G90" s="354">
        <f t="shared" si="26"/>
        <v>3.0488490471098251</v>
      </c>
      <c r="I90" s="355">
        <f t="shared" ref="I90:I96" si="32">I78+13</f>
        <v>97</v>
      </c>
      <c r="J90" s="349">
        <f t="shared" si="30"/>
        <v>2032</v>
      </c>
      <c r="K90" s="203">
        <f t="shared" ref="K90:K153" si="33">IF(ISNUMBER(F90),IF(F90&lt;&gt;0,B90,""),"")</f>
        <v>48366</v>
      </c>
      <c r="V90" s="330" t="str">
        <f t="shared" si="25"/>
        <v>Summer</v>
      </c>
      <c r="AA90" s="350">
        <f t="shared" si="27"/>
        <v>2.18E-2</v>
      </c>
      <c r="AB90" s="351">
        <f t="shared" si="31"/>
        <v>0</v>
      </c>
    </row>
    <row r="91" spans="2:28" ht="17.45" hidden="1" customHeight="1" outlineLevel="1">
      <c r="B91" s="203">
        <f t="shared" si="28"/>
        <v>48396</v>
      </c>
      <c r="C91" s="352">
        <v>-294492.50349280192</v>
      </c>
      <c r="D91" s="353">
        <f>IF(ISNUMBER($F91),VLOOKUP($J91,'Table 1'!$B$13:$C$37,2,FALSE)/12*1000*Study_MW,"")</f>
        <v>618853.47855481482</v>
      </c>
      <c r="E91" s="353">
        <f t="shared" si="29"/>
        <v>324360.97506201291</v>
      </c>
      <c r="F91" s="352">
        <v>13744.05520639</v>
      </c>
      <c r="G91" s="354">
        <f t="shared" si="26"/>
        <v>23.600092563016506</v>
      </c>
      <c r="I91" s="355">
        <f t="shared" si="32"/>
        <v>98</v>
      </c>
      <c r="J91" s="349">
        <f t="shared" si="30"/>
        <v>2032</v>
      </c>
      <c r="K91" s="203">
        <f t="shared" si="33"/>
        <v>48396</v>
      </c>
      <c r="V91" s="330" t="str">
        <f t="shared" si="25"/>
        <v>Summer</v>
      </c>
      <c r="AA91" s="350">
        <f t="shared" si="27"/>
        <v>2.18E-2</v>
      </c>
      <c r="AB91" s="351">
        <f t="shared" si="31"/>
        <v>0</v>
      </c>
    </row>
    <row r="92" spans="2:28" ht="17.45" hidden="1" customHeight="1" outlineLevel="1">
      <c r="B92" s="203">
        <f t="shared" si="28"/>
        <v>48427</v>
      </c>
      <c r="C92" s="352">
        <v>-423623.66807945364</v>
      </c>
      <c r="D92" s="353">
        <f>IF(ISNUMBER($F92),VLOOKUP($J92,'Table 1'!$B$13:$C$37,2,FALSE)/12*1000*Study_MW,"")</f>
        <v>618853.47855481482</v>
      </c>
      <c r="E92" s="353">
        <f t="shared" si="29"/>
        <v>195229.81047536118</v>
      </c>
      <c r="F92" s="352">
        <v>12918.0700767</v>
      </c>
      <c r="G92" s="354">
        <f t="shared" si="26"/>
        <v>15.112923936485862</v>
      </c>
      <c r="I92" s="355">
        <f t="shared" si="32"/>
        <v>99</v>
      </c>
      <c r="J92" s="349">
        <f t="shared" si="30"/>
        <v>2032</v>
      </c>
      <c r="K92" s="203">
        <f t="shared" si="33"/>
        <v>48427</v>
      </c>
      <c r="V92" s="330" t="str">
        <f t="shared" si="25"/>
        <v>Summer</v>
      </c>
      <c r="AA92" s="350">
        <f t="shared" si="27"/>
        <v>2.18E-2</v>
      </c>
      <c r="AB92" s="351">
        <f t="shared" si="31"/>
        <v>0</v>
      </c>
    </row>
    <row r="93" spans="2:28" ht="17.45" hidden="1" customHeight="1" outlineLevel="1">
      <c r="B93" s="203">
        <f t="shared" si="28"/>
        <v>48458</v>
      </c>
      <c r="C93" s="352">
        <v>-310864.89112758863</v>
      </c>
      <c r="D93" s="353">
        <f>IF(ISNUMBER($F93),VLOOKUP($J93,'Table 1'!$B$13:$C$37,2,FALSE)/12*1000*Study_MW,"")</f>
        <v>618853.47855481482</v>
      </c>
      <c r="E93" s="353">
        <f t="shared" si="29"/>
        <v>307988.58742722619</v>
      </c>
      <c r="F93" s="352">
        <v>11871.487103879999</v>
      </c>
      <c r="G93" s="354">
        <f t="shared" si="26"/>
        <v>25.943555742613341</v>
      </c>
      <c r="I93" s="355">
        <f t="shared" si="32"/>
        <v>100</v>
      </c>
      <c r="J93" s="349">
        <f t="shared" si="30"/>
        <v>2032</v>
      </c>
      <c r="K93" s="203">
        <f t="shared" si="33"/>
        <v>48458</v>
      </c>
      <c r="V93" s="330" t="str">
        <f t="shared" si="25"/>
        <v>Winter</v>
      </c>
      <c r="AA93" s="350">
        <f t="shared" si="27"/>
        <v>2.18E-2</v>
      </c>
      <c r="AB93" s="351">
        <f t="shared" si="31"/>
        <v>0</v>
      </c>
    </row>
    <row r="94" spans="2:28" ht="17.45" hidden="1" customHeight="1" outlineLevel="1">
      <c r="B94" s="203">
        <f t="shared" si="28"/>
        <v>48488</v>
      </c>
      <c r="C94" s="352">
        <v>-1042300.0697838725</v>
      </c>
      <c r="D94" s="353">
        <f>IF(ISNUMBER($F94),VLOOKUP($J94,'Table 1'!$B$13:$C$37,2,FALSE)/12*1000*Study_MW,"")</f>
        <v>618853.47855481482</v>
      </c>
      <c r="E94" s="353">
        <f t="shared" si="29"/>
        <v>-423446.59122905764</v>
      </c>
      <c r="F94" s="352">
        <v>23100.34310405</v>
      </c>
      <c r="G94" s="354">
        <f t="shared" si="26"/>
        <v>-18.330748998910675</v>
      </c>
      <c r="I94" s="355">
        <f t="shared" si="32"/>
        <v>101</v>
      </c>
      <c r="J94" s="349">
        <f t="shared" si="30"/>
        <v>2032</v>
      </c>
      <c r="K94" s="203">
        <f t="shared" si="33"/>
        <v>48488</v>
      </c>
      <c r="V94" s="330" t="str">
        <f t="shared" si="25"/>
        <v>Winter</v>
      </c>
      <c r="AA94" s="350">
        <f t="shared" si="27"/>
        <v>2.18E-2</v>
      </c>
      <c r="AB94" s="351">
        <f t="shared" si="31"/>
        <v>0</v>
      </c>
    </row>
    <row r="95" spans="2:28" ht="17.45" hidden="1" customHeight="1" outlineLevel="1">
      <c r="B95" s="203">
        <f t="shared" si="28"/>
        <v>48519</v>
      </c>
      <c r="C95" s="352">
        <v>-1123076.7573707725</v>
      </c>
      <c r="D95" s="353">
        <f>IF(ISNUMBER($F95),VLOOKUP($J95,'Table 1'!$B$13:$C$37,2,FALSE)/12*1000*Study_MW,"")</f>
        <v>618853.47855481482</v>
      </c>
      <c r="E95" s="353">
        <f t="shared" si="29"/>
        <v>-504223.27881595772</v>
      </c>
      <c r="F95" s="352">
        <v>13580.216540810003</v>
      </c>
      <c r="G95" s="354">
        <f t="shared" si="26"/>
        <v>-37.129251753881306</v>
      </c>
      <c r="I95" s="355">
        <f t="shared" si="32"/>
        <v>102</v>
      </c>
      <c r="J95" s="349">
        <f t="shared" si="30"/>
        <v>2032</v>
      </c>
      <c r="K95" s="203">
        <f t="shared" si="33"/>
        <v>48519</v>
      </c>
      <c r="V95" s="330" t="str">
        <f t="shared" si="25"/>
        <v>Winter</v>
      </c>
      <c r="AA95" s="350">
        <f t="shared" si="27"/>
        <v>2.18E-2</v>
      </c>
      <c r="AB95" s="351">
        <f t="shared" si="31"/>
        <v>0</v>
      </c>
    </row>
    <row r="96" spans="2:28" ht="17.45" hidden="1" customHeight="1" outlineLevel="1">
      <c r="B96" s="204">
        <f t="shared" si="28"/>
        <v>48549</v>
      </c>
      <c r="C96" s="359">
        <v>-1806431.2578602796</v>
      </c>
      <c r="D96" s="360">
        <f>IF(ISNUMBER($F96),VLOOKUP($J96,'Table 1'!$B$13:$C$37,2,FALSE)/12*1000*Study_MW,"")</f>
        <v>618853.47855481482</v>
      </c>
      <c r="E96" s="360">
        <f t="shared" si="29"/>
        <v>-1187577.7793054648</v>
      </c>
      <c r="F96" s="359">
        <v>15517.942520230345</v>
      </c>
      <c r="G96" s="361">
        <f t="shared" si="26"/>
        <v>-76.52933227180408</v>
      </c>
      <c r="I96" s="362">
        <f t="shared" si="32"/>
        <v>103</v>
      </c>
      <c r="J96" s="349">
        <f t="shared" si="30"/>
        <v>2032</v>
      </c>
      <c r="K96" s="204">
        <f t="shared" si="33"/>
        <v>48549</v>
      </c>
      <c r="V96" s="330" t="str">
        <f t="shared" si="25"/>
        <v>Winter</v>
      </c>
      <c r="AA96" s="350">
        <f t="shared" si="27"/>
        <v>2.18E-2</v>
      </c>
      <c r="AB96" s="351">
        <f t="shared" si="31"/>
        <v>0</v>
      </c>
    </row>
    <row r="97" spans="2:28" ht="17.45" hidden="1" customHeight="1" outlineLevel="1">
      <c r="B97" s="202">
        <f t="shared" si="28"/>
        <v>48580</v>
      </c>
      <c r="C97" s="343">
        <v>-1129026.5994291403</v>
      </c>
      <c r="D97" s="344">
        <f>IF(ISNUMBER($F97),VLOOKUP($J97,'Table 1'!$B$13:$C$37,2,FALSE)/12*1000*Study_MW,"")</f>
        <v>632344.48439470481</v>
      </c>
      <c r="E97" s="345">
        <f t="shared" si="29"/>
        <v>-496682.11503443553</v>
      </c>
      <c r="F97" s="346">
        <v>19018.897428480002</v>
      </c>
      <c r="G97" s="347">
        <f t="shared" si="26"/>
        <v>-26.11518974231781</v>
      </c>
      <c r="I97" s="363">
        <f>I85+13</f>
        <v>105</v>
      </c>
      <c r="J97" s="349">
        <f t="shared" si="30"/>
        <v>2033</v>
      </c>
      <c r="K97" s="202">
        <f t="shared" si="33"/>
        <v>48580</v>
      </c>
      <c r="V97" s="330" t="str">
        <f t="shared" si="25"/>
        <v>Winter</v>
      </c>
      <c r="AA97" s="350">
        <f t="shared" si="27"/>
        <v>2.18E-2</v>
      </c>
      <c r="AB97" s="351">
        <f t="shared" si="31"/>
        <v>0</v>
      </c>
    </row>
    <row r="98" spans="2:28" ht="17.45" hidden="1" customHeight="1" outlineLevel="1">
      <c r="B98" s="203">
        <f t="shared" si="28"/>
        <v>48611</v>
      </c>
      <c r="C98" s="352">
        <v>-514432.05136316828</v>
      </c>
      <c r="D98" s="353">
        <f>IF(ISNUMBER($F98),VLOOKUP($J98,'Table 1'!$B$13:$C$37,2,FALSE)/12*1000*Study_MW,"")</f>
        <v>632344.48439470481</v>
      </c>
      <c r="E98" s="353">
        <f t="shared" si="29"/>
        <v>117912.43303153652</v>
      </c>
      <c r="F98" s="352">
        <v>19008.25200674</v>
      </c>
      <c r="G98" s="354">
        <f t="shared" si="26"/>
        <v>6.2032233679207742</v>
      </c>
      <c r="I98" s="355">
        <f t="shared" ref="I98:I120" si="34">I86+13</f>
        <v>106</v>
      </c>
      <c r="J98" s="349">
        <f t="shared" si="30"/>
        <v>2033</v>
      </c>
      <c r="K98" s="203">
        <f t="shared" si="33"/>
        <v>48611</v>
      </c>
      <c r="V98" s="330" t="str">
        <f t="shared" si="25"/>
        <v>Winter</v>
      </c>
      <c r="AA98" s="350">
        <f t="shared" si="27"/>
        <v>2.18E-2</v>
      </c>
      <c r="AB98" s="351">
        <f t="shared" si="31"/>
        <v>0</v>
      </c>
    </row>
    <row r="99" spans="2:28" ht="17.45" hidden="1" customHeight="1" outlineLevel="1">
      <c r="B99" s="203">
        <f t="shared" si="28"/>
        <v>48639</v>
      </c>
      <c r="C99" s="352">
        <v>-896000.93474138703</v>
      </c>
      <c r="D99" s="353">
        <f>IF(ISNUMBER($F99),VLOOKUP($J99,'Table 1'!$B$13:$C$37,2,FALSE)/12*1000*Study_MW,"")</f>
        <v>632344.48439470481</v>
      </c>
      <c r="E99" s="353">
        <f t="shared" si="29"/>
        <v>-263656.45034668222</v>
      </c>
      <c r="F99" s="352">
        <v>17956.003675159998</v>
      </c>
      <c r="G99" s="354">
        <f t="shared" si="26"/>
        <v>-14.683470504710336</v>
      </c>
      <c r="I99" s="355">
        <f t="shared" si="34"/>
        <v>107</v>
      </c>
      <c r="J99" s="349">
        <f t="shared" si="30"/>
        <v>2033</v>
      </c>
      <c r="K99" s="203">
        <f t="shared" si="33"/>
        <v>48639</v>
      </c>
      <c r="V99" s="330" t="str">
        <f t="shared" si="25"/>
        <v>Winter</v>
      </c>
      <c r="AA99" s="350">
        <f t="shared" si="27"/>
        <v>2.18E-2</v>
      </c>
      <c r="AB99" s="351">
        <f t="shared" si="31"/>
        <v>0</v>
      </c>
    </row>
    <row r="100" spans="2:28" ht="17.45" hidden="1" customHeight="1" outlineLevel="1">
      <c r="B100" s="203">
        <f t="shared" si="28"/>
        <v>48670</v>
      </c>
      <c r="C100" s="352">
        <v>-841637.00826840068</v>
      </c>
      <c r="D100" s="353">
        <f>IF(ISNUMBER($F100),VLOOKUP($J100,'Table 1'!$B$13:$C$37,2,FALSE)/12*1000*Study_MW,"")</f>
        <v>632344.48439470481</v>
      </c>
      <c r="E100" s="353">
        <f t="shared" si="29"/>
        <v>-209292.52387369587</v>
      </c>
      <c r="F100" s="352">
        <v>22296.220530250001</v>
      </c>
      <c r="G100" s="354">
        <f t="shared" si="26"/>
        <v>-9.3869058924018969</v>
      </c>
      <c r="I100" s="355">
        <f t="shared" si="34"/>
        <v>108</v>
      </c>
      <c r="J100" s="349">
        <f t="shared" si="30"/>
        <v>2033</v>
      </c>
      <c r="K100" s="203">
        <f t="shared" si="33"/>
        <v>48670</v>
      </c>
      <c r="V100" s="330" t="str">
        <f t="shared" si="25"/>
        <v>Winter</v>
      </c>
      <c r="AA100" s="350">
        <f t="shared" si="27"/>
        <v>2.18E-2</v>
      </c>
      <c r="AB100" s="351">
        <f t="shared" si="31"/>
        <v>0</v>
      </c>
    </row>
    <row r="101" spans="2:28" ht="17.45" hidden="1" customHeight="1" outlineLevel="1">
      <c r="B101" s="203">
        <f t="shared" si="28"/>
        <v>48700</v>
      </c>
      <c r="C101" s="352">
        <v>-508657.93841343839</v>
      </c>
      <c r="D101" s="353">
        <f>IF(ISNUMBER($F101),VLOOKUP($J101,'Table 1'!$B$13:$C$37,2,FALSE)/12*1000*Study_MW,"")</f>
        <v>632344.48439470481</v>
      </c>
      <c r="E101" s="353">
        <f t="shared" si="29"/>
        <v>123686.54598126642</v>
      </c>
      <c r="F101" s="352">
        <v>22706.788430020009</v>
      </c>
      <c r="G101" s="354">
        <f t="shared" si="26"/>
        <v>5.4471175596873005</v>
      </c>
      <c r="I101" s="355">
        <f t="shared" si="34"/>
        <v>109</v>
      </c>
      <c r="J101" s="349">
        <f t="shared" si="30"/>
        <v>2033</v>
      </c>
      <c r="K101" s="203">
        <f t="shared" si="33"/>
        <v>48700</v>
      </c>
      <c r="V101" s="330" t="str">
        <f t="shared" si="25"/>
        <v>Summer</v>
      </c>
      <c r="AA101" s="350">
        <f t="shared" si="27"/>
        <v>2.18E-2</v>
      </c>
      <c r="AB101" s="351">
        <f t="shared" si="31"/>
        <v>0</v>
      </c>
    </row>
    <row r="102" spans="2:28" ht="17.45" hidden="1" customHeight="1" outlineLevel="1">
      <c r="B102" s="203">
        <f t="shared" si="28"/>
        <v>48731</v>
      </c>
      <c r="C102" s="352">
        <v>-561968.14245455607</v>
      </c>
      <c r="D102" s="353">
        <f>IF(ISNUMBER($F102),VLOOKUP($J102,'Table 1'!$B$13:$C$37,2,FALSE)/12*1000*Study_MW,"")</f>
        <v>632344.48439470481</v>
      </c>
      <c r="E102" s="353">
        <f t="shared" si="29"/>
        <v>70376.341940148734</v>
      </c>
      <c r="F102" s="352">
        <v>21745.812183619997</v>
      </c>
      <c r="G102" s="354">
        <f t="shared" si="26"/>
        <v>3.236317013404522</v>
      </c>
      <c r="I102" s="355">
        <f t="shared" si="34"/>
        <v>110</v>
      </c>
      <c r="J102" s="349">
        <f t="shared" si="30"/>
        <v>2033</v>
      </c>
      <c r="K102" s="203">
        <f t="shared" si="33"/>
        <v>48731</v>
      </c>
      <c r="V102" s="330" t="str">
        <f t="shared" si="25"/>
        <v>Summer</v>
      </c>
      <c r="AA102" s="350">
        <f t="shared" si="27"/>
        <v>2.18E-2</v>
      </c>
      <c r="AB102" s="351">
        <f t="shared" si="31"/>
        <v>0</v>
      </c>
    </row>
    <row r="103" spans="2:28" ht="17.45" hidden="1" customHeight="1" outlineLevel="1">
      <c r="B103" s="203">
        <f t="shared" si="28"/>
        <v>48761</v>
      </c>
      <c r="C103" s="352">
        <v>-385694.08976853447</v>
      </c>
      <c r="D103" s="353">
        <f>IF(ISNUMBER($F103),VLOOKUP($J103,'Table 1'!$B$13:$C$37,2,FALSE)/12*1000*Study_MW,"")</f>
        <v>632344.48439470481</v>
      </c>
      <c r="E103" s="353">
        <f t="shared" si="29"/>
        <v>246650.39462617034</v>
      </c>
      <c r="F103" s="352">
        <v>13611.277785999999</v>
      </c>
      <c r="G103" s="354">
        <f t="shared" si="26"/>
        <v>18.121031581609834</v>
      </c>
      <c r="I103" s="355">
        <f t="shared" si="34"/>
        <v>111</v>
      </c>
      <c r="J103" s="349">
        <f t="shared" si="30"/>
        <v>2033</v>
      </c>
      <c r="K103" s="203">
        <f t="shared" si="33"/>
        <v>48761</v>
      </c>
      <c r="V103" s="330" t="str">
        <f t="shared" si="25"/>
        <v>Summer</v>
      </c>
      <c r="AA103" s="350">
        <f t="shared" si="27"/>
        <v>2.18E-2</v>
      </c>
      <c r="AB103" s="351">
        <f t="shared" si="31"/>
        <v>0</v>
      </c>
    </row>
    <row r="104" spans="2:28" ht="17.45" hidden="1" customHeight="1" outlineLevel="1">
      <c r="B104" s="203">
        <f t="shared" si="28"/>
        <v>48792</v>
      </c>
      <c r="C104" s="352">
        <v>-486791.44894442288</v>
      </c>
      <c r="D104" s="353">
        <f>IF(ISNUMBER($F104),VLOOKUP($J104,'Table 1'!$B$13:$C$37,2,FALSE)/12*1000*Study_MW,"")</f>
        <v>632344.48439470481</v>
      </c>
      <c r="E104" s="353">
        <f t="shared" si="29"/>
        <v>145553.03545028192</v>
      </c>
      <c r="F104" s="352">
        <v>13189.19712069</v>
      </c>
      <c r="G104" s="354">
        <f t="shared" si="26"/>
        <v>11.035776789017104</v>
      </c>
      <c r="I104" s="355">
        <f t="shared" si="34"/>
        <v>112</v>
      </c>
      <c r="J104" s="349">
        <f t="shared" si="30"/>
        <v>2033</v>
      </c>
      <c r="K104" s="203">
        <f t="shared" si="33"/>
        <v>48792</v>
      </c>
      <c r="V104" s="330" t="str">
        <f t="shared" si="25"/>
        <v>Summer</v>
      </c>
      <c r="AA104" s="350">
        <f t="shared" si="27"/>
        <v>2.18E-2</v>
      </c>
      <c r="AB104" s="351">
        <f t="shared" si="31"/>
        <v>0</v>
      </c>
    </row>
    <row r="105" spans="2:28" ht="17.45" hidden="1" customHeight="1" outlineLevel="1">
      <c r="B105" s="203">
        <f t="shared" si="28"/>
        <v>48823</v>
      </c>
      <c r="C105" s="352">
        <v>-316228.48357376643</v>
      </c>
      <c r="D105" s="353">
        <f>IF(ISNUMBER($F105),VLOOKUP($J105,'Table 1'!$B$13:$C$37,2,FALSE)/12*1000*Study_MW,"")</f>
        <v>632344.48439470481</v>
      </c>
      <c r="E105" s="353">
        <f t="shared" si="29"/>
        <v>316116.00082093838</v>
      </c>
      <c r="F105" s="352">
        <v>11582.931032570001</v>
      </c>
      <c r="G105" s="354">
        <f t="shared" si="26"/>
        <v>27.291537861362809</v>
      </c>
      <c r="I105" s="355">
        <f t="shared" si="34"/>
        <v>113</v>
      </c>
      <c r="J105" s="349">
        <f t="shared" si="30"/>
        <v>2033</v>
      </c>
      <c r="K105" s="203">
        <f t="shared" si="33"/>
        <v>48823</v>
      </c>
      <c r="V105" s="330" t="str">
        <f t="shared" si="25"/>
        <v>Winter</v>
      </c>
      <c r="AA105" s="350">
        <f t="shared" si="27"/>
        <v>2.18E-2</v>
      </c>
      <c r="AB105" s="351">
        <f t="shared" si="31"/>
        <v>0</v>
      </c>
    </row>
    <row r="106" spans="2:28" ht="17.45" hidden="1" customHeight="1" outlineLevel="1">
      <c r="B106" s="203">
        <f t="shared" si="28"/>
        <v>48853</v>
      </c>
      <c r="C106" s="352">
        <v>-993475.40522330382</v>
      </c>
      <c r="D106" s="353">
        <f>IF(ISNUMBER($F106),VLOOKUP($J106,'Table 1'!$B$13:$C$37,2,FALSE)/12*1000*Study_MW,"")</f>
        <v>632344.48439470481</v>
      </c>
      <c r="E106" s="353">
        <f t="shared" si="29"/>
        <v>-361130.92082859902</v>
      </c>
      <c r="F106" s="352">
        <v>23195.825556000003</v>
      </c>
      <c r="G106" s="354">
        <f t="shared" si="26"/>
        <v>-15.568789304642198</v>
      </c>
      <c r="I106" s="355">
        <f t="shared" si="34"/>
        <v>114</v>
      </c>
      <c r="J106" s="349">
        <f t="shared" si="30"/>
        <v>2033</v>
      </c>
      <c r="K106" s="203">
        <f t="shared" si="33"/>
        <v>48853</v>
      </c>
      <c r="V106" s="330" t="str">
        <f t="shared" si="25"/>
        <v>Winter</v>
      </c>
      <c r="AA106" s="350">
        <f t="shared" si="27"/>
        <v>2.18E-2</v>
      </c>
      <c r="AB106" s="351">
        <f t="shared" si="31"/>
        <v>0</v>
      </c>
    </row>
    <row r="107" spans="2:28" ht="17.45" hidden="1" customHeight="1" outlineLevel="1">
      <c r="B107" s="203">
        <f t="shared" si="28"/>
        <v>48884</v>
      </c>
      <c r="C107" s="352">
        <v>-1129700.552496006</v>
      </c>
      <c r="D107" s="353">
        <f>IF(ISNUMBER($F107),VLOOKUP($J107,'Table 1'!$B$13:$C$37,2,FALSE)/12*1000*Study_MW,"")</f>
        <v>632344.48439470481</v>
      </c>
      <c r="E107" s="353">
        <f t="shared" si="29"/>
        <v>-497356.06810130121</v>
      </c>
      <c r="F107" s="352">
        <v>14022.606174700002</v>
      </c>
      <c r="G107" s="354">
        <f t="shared" si="26"/>
        <v>-35.468162045272699</v>
      </c>
      <c r="I107" s="355">
        <f t="shared" si="34"/>
        <v>115</v>
      </c>
      <c r="J107" s="349">
        <f t="shared" si="30"/>
        <v>2033</v>
      </c>
      <c r="K107" s="203">
        <f t="shared" si="33"/>
        <v>48884</v>
      </c>
      <c r="V107" s="330" t="str">
        <f t="shared" si="25"/>
        <v>Winter</v>
      </c>
      <c r="AA107" s="350">
        <f t="shared" si="27"/>
        <v>2.18E-2</v>
      </c>
      <c r="AB107" s="351">
        <f t="shared" si="31"/>
        <v>0</v>
      </c>
    </row>
    <row r="108" spans="2:28" ht="17.45" hidden="1" customHeight="1" outlineLevel="1">
      <c r="B108" s="204">
        <f t="shared" si="28"/>
        <v>48914</v>
      </c>
      <c r="C108" s="359">
        <v>-1751836.47250904</v>
      </c>
      <c r="D108" s="360">
        <f>IF(ISNUMBER($F108),VLOOKUP($J108,'Table 1'!$B$13:$C$37,2,FALSE)/12*1000*Study_MW,"")</f>
        <v>632344.48439470481</v>
      </c>
      <c r="E108" s="360">
        <f t="shared" si="29"/>
        <v>-1119491.9881143351</v>
      </c>
      <c r="F108" s="359">
        <v>14366.53339939067</v>
      </c>
      <c r="G108" s="361">
        <f t="shared" si="26"/>
        <v>-77.923599033418625</v>
      </c>
      <c r="I108" s="362">
        <f t="shared" si="34"/>
        <v>116</v>
      </c>
      <c r="J108" s="349">
        <f t="shared" si="30"/>
        <v>2033</v>
      </c>
      <c r="K108" s="204">
        <f t="shared" si="33"/>
        <v>48914</v>
      </c>
      <c r="V108" s="330" t="str">
        <f t="shared" si="25"/>
        <v>Winter</v>
      </c>
      <c r="AA108" s="350">
        <f t="shared" si="27"/>
        <v>2.18E-2</v>
      </c>
      <c r="AB108" s="351">
        <f t="shared" si="31"/>
        <v>0</v>
      </c>
    </row>
    <row r="109" spans="2:28" ht="17.45" hidden="1" customHeight="1" outlineLevel="1">
      <c r="B109" s="202">
        <f t="shared" si="28"/>
        <v>48945</v>
      </c>
      <c r="C109" s="343">
        <v>-1105933.5708829386</v>
      </c>
      <c r="D109" s="344">
        <f>IF(ISNUMBER($F109),VLOOKUP($J109,'Table 1'!$B$13:$C$37,2,FALSE)/12*1000*Study_MW,"")</f>
        <v>646129.59462592634</v>
      </c>
      <c r="E109" s="345">
        <f t="shared" si="29"/>
        <v>-459803.97625701223</v>
      </c>
      <c r="F109" s="346">
        <v>20415.319112959998</v>
      </c>
      <c r="G109" s="347">
        <f t="shared" si="26"/>
        <v>-22.522497626065551</v>
      </c>
      <c r="I109" s="363">
        <f>I97+13</f>
        <v>118</v>
      </c>
      <c r="J109" s="349">
        <f t="shared" si="30"/>
        <v>2034</v>
      </c>
      <c r="K109" s="202">
        <f t="shared" si="33"/>
        <v>48945</v>
      </c>
      <c r="V109" s="330" t="str">
        <f t="shared" si="25"/>
        <v>Winter</v>
      </c>
      <c r="AA109" s="350">
        <f t="shared" si="27"/>
        <v>2.18E-2</v>
      </c>
      <c r="AB109" s="351">
        <f t="shared" si="31"/>
        <v>0</v>
      </c>
    </row>
    <row r="110" spans="2:28" ht="17.45" hidden="1" customHeight="1" outlineLevel="1">
      <c r="B110" s="203">
        <f t="shared" si="28"/>
        <v>48976</v>
      </c>
      <c r="C110" s="352">
        <v>-515849.74519490061</v>
      </c>
      <c r="D110" s="353">
        <f>IF(ISNUMBER($F110),VLOOKUP($J110,'Table 1'!$B$13:$C$37,2,FALSE)/12*1000*Study_MW,"")</f>
        <v>646129.59462592634</v>
      </c>
      <c r="E110" s="353">
        <f t="shared" si="29"/>
        <v>130279.84943102574</v>
      </c>
      <c r="F110" s="352">
        <v>18180.393904599998</v>
      </c>
      <c r="G110" s="354">
        <f t="shared" si="26"/>
        <v>7.165953065409786</v>
      </c>
      <c r="I110" s="355">
        <f t="shared" si="34"/>
        <v>119</v>
      </c>
      <c r="J110" s="349">
        <f t="shared" si="30"/>
        <v>2034</v>
      </c>
      <c r="K110" s="203">
        <f t="shared" si="33"/>
        <v>48976</v>
      </c>
      <c r="V110" s="330" t="str">
        <f t="shared" si="25"/>
        <v>Winter</v>
      </c>
      <c r="AA110" s="350">
        <f t="shared" si="27"/>
        <v>2.18E-2</v>
      </c>
      <c r="AB110" s="351">
        <f t="shared" si="31"/>
        <v>0</v>
      </c>
    </row>
    <row r="111" spans="2:28" ht="17.45" hidden="1" customHeight="1" outlineLevel="1">
      <c r="B111" s="203">
        <f t="shared" si="28"/>
        <v>49004</v>
      </c>
      <c r="C111" s="352">
        <v>-867625.67818096431</v>
      </c>
      <c r="D111" s="353">
        <f>IF(ISNUMBER($F111),VLOOKUP($J111,'Table 1'!$B$13:$C$37,2,FALSE)/12*1000*Study_MW,"")</f>
        <v>646129.59462592634</v>
      </c>
      <c r="E111" s="353">
        <f t="shared" si="29"/>
        <v>-221496.08355503797</v>
      </c>
      <c r="F111" s="352">
        <v>17408.180495410001</v>
      </c>
      <c r="G111" s="354">
        <f t="shared" si="26"/>
        <v>-12.72367802099936</v>
      </c>
      <c r="I111" s="355">
        <f t="shared" si="34"/>
        <v>120</v>
      </c>
      <c r="J111" s="349">
        <f t="shared" si="30"/>
        <v>2034</v>
      </c>
      <c r="K111" s="203">
        <f t="shared" si="33"/>
        <v>49004</v>
      </c>
      <c r="V111" s="330" t="str">
        <f t="shared" si="25"/>
        <v>Winter</v>
      </c>
      <c r="AA111" s="350">
        <f t="shared" si="27"/>
        <v>2.18E-2</v>
      </c>
      <c r="AB111" s="351">
        <f t="shared" si="31"/>
        <v>0</v>
      </c>
    </row>
    <row r="112" spans="2:28" ht="17.45" hidden="1" customHeight="1" outlineLevel="1">
      <c r="B112" s="203">
        <f t="shared" si="28"/>
        <v>49035</v>
      </c>
      <c r="C112" s="352">
        <v>-901960.78268157726</v>
      </c>
      <c r="D112" s="353">
        <f>IF(ISNUMBER($F112),VLOOKUP($J112,'Table 1'!$B$13:$C$37,2,FALSE)/12*1000*Study_MW,"")</f>
        <v>646129.59462592634</v>
      </c>
      <c r="E112" s="353">
        <f t="shared" si="29"/>
        <v>-255831.18805565091</v>
      </c>
      <c r="F112" s="352">
        <v>23588.34631157</v>
      </c>
      <c r="G112" s="354">
        <f t="shared" si="26"/>
        <v>-10.84566016949508</v>
      </c>
      <c r="I112" s="355">
        <f t="shared" si="34"/>
        <v>121</v>
      </c>
      <c r="J112" s="349">
        <f t="shared" si="30"/>
        <v>2034</v>
      </c>
      <c r="K112" s="203">
        <f t="shared" si="33"/>
        <v>49035</v>
      </c>
      <c r="V112" s="330" t="str">
        <f t="shared" si="25"/>
        <v>Winter</v>
      </c>
      <c r="AA112" s="350">
        <f t="shared" si="27"/>
        <v>2.18E-2</v>
      </c>
      <c r="AB112" s="351">
        <f t="shared" si="31"/>
        <v>0</v>
      </c>
    </row>
    <row r="113" spans="2:28" ht="17.45" hidden="1" customHeight="1" outlineLevel="1">
      <c r="B113" s="203">
        <f t="shared" si="28"/>
        <v>49065</v>
      </c>
      <c r="C113" s="352">
        <v>-546326.0817770788</v>
      </c>
      <c r="D113" s="353">
        <f>IF(ISNUMBER($F113),VLOOKUP($J113,'Table 1'!$B$13:$C$37,2,FALSE)/12*1000*Study_MW,"")</f>
        <v>646129.59462592634</v>
      </c>
      <c r="E113" s="353">
        <f t="shared" si="29"/>
        <v>99803.512848847546</v>
      </c>
      <c r="F113" s="352">
        <v>21850.675363670001</v>
      </c>
      <c r="G113" s="354">
        <f t="shared" si="26"/>
        <v>4.5675253138759153</v>
      </c>
      <c r="I113" s="355">
        <f t="shared" si="34"/>
        <v>122</v>
      </c>
      <c r="J113" s="349">
        <f t="shared" si="30"/>
        <v>2034</v>
      </c>
      <c r="K113" s="203">
        <f t="shared" si="33"/>
        <v>49065</v>
      </c>
      <c r="V113" s="330" t="str">
        <f t="shared" si="25"/>
        <v>Summer</v>
      </c>
      <c r="AA113" s="350">
        <f t="shared" si="27"/>
        <v>2.18E-2</v>
      </c>
      <c r="AB113" s="351">
        <f t="shared" si="31"/>
        <v>0</v>
      </c>
    </row>
    <row r="114" spans="2:28" ht="17.45" hidden="1" customHeight="1" outlineLevel="1">
      <c r="B114" s="203">
        <f t="shared" si="28"/>
        <v>49096</v>
      </c>
      <c r="C114" s="352">
        <v>-543540.51031993004</v>
      </c>
      <c r="D114" s="353">
        <f>IF(ISNUMBER($F114),VLOOKUP($J114,'Table 1'!$B$13:$C$37,2,FALSE)/12*1000*Study_MW,"")</f>
        <v>646129.59462592634</v>
      </c>
      <c r="E114" s="353">
        <f t="shared" si="29"/>
        <v>102589.08430599631</v>
      </c>
      <c r="F114" s="352">
        <v>21727.221439299999</v>
      </c>
      <c r="G114" s="354">
        <f t="shared" si="26"/>
        <v>4.721684481957463</v>
      </c>
      <c r="I114" s="355">
        <f t="shared" si="34"/>
        <v>123</v>
      </c>
      <c r="J114" s="349">
        <f t="shared" si="30"/>
        <v>2034</v>
      </c>
      <c r="K114" s="203">
        <f t="shared" si="33"/>
        <v>49096</v>
      </c>
      <c r="V114" s="330" t="str">
        <f t="shared" si="25"/>
        <v>Summer</v>
      </c>
      <c r="AA114" s="350">
        <f t="shared" si="27"/>
        <v>2.18E-2</v>
      </c>
      <c r="AB114" s="351">
        <f t="shared" si="31"/>
        <v>0</v>
      </c>
    </row>
    <row r="115" spans="2:28" ht="17.45" hidden="1" customHeight="1" outlineLevel="1">
      <c r="B115" s="203">
        <f t="shared" si="28"/>
        <v>49126</v>
      </c>
      <c r="C115" s="352">
        <v>-402725.94569453213</v>
      </c>
      <c r="D115" s="353">
        <f>IF(ISNUMBER($F115),VLOOKUP($J115,'Table 1'!$B$13:$C$37,2,FALSE)/12*1000*Study_MW,"")</f>
        <v>646129.59462592634</v>
      </c>
      <c r="E115" s="353">
        <f t="shared" si="29"/>
        <v>243403.64893139421</v>
      </c>
      <c r="F115" s="352">
        <v>13087.66273665</v>
      </c>
      <c r="G115" s="354">
        <f t="shared" si="26"/>
        <v>18.597946312428995</v>
      </c>
      <c r="I115" s="355">
        <f t="shared" si="34"/>
        <v>124</v>
      </c>
      <c r="J115" s="349">
        <f t="shared" si="30"/>
        <v>2034</v>
      </c>
      <c r="K115" s="203">
        <f t="shared" si="33"/>
        <v>49126</v>
      </c>
      <c r="V115" s="330" t="str">
        <f t="shared" si="25"/>
        <v>Summer</v>
      </c>
      <c r="AA115" s="350">
        <f t="shared" si="27"/>
        <v>2.18E-2</v>
      </c>
      <c r="AB115" s="351">
        <f t="shared" si="31"/>
        <v>0</v>
      </c>
    </row>
    <row r="116" spans="2:28" ht="17.45" hidden="1" customHeight="1" outlineLevel="1">
      <c r="B116" s="203">
        <f t="shared" si="28"/>
        <v>49157</v>
      </c>
      <c r="C116" s="352">
        <v>-436560.83627672342</v>
      </c>
      <c r="D116" s="353">
        <f>IF(ISNUMBER($F116),VLOOKUP($J116,'Table 1'!$B$13:$C$37,2,FALSE)/12*1000*Study_MW,"")</f>
        <v>646129.59462592634</v>
      </c>
      <c r="E116" s="353">
        <f t="shared" si="29"/>
        <v>209568.75834920292</v>
      </c>
      <c r="F116" s="352">
        <v>13352.837596360001</v>
      </c>
      <c r="G116" s="354">
        <f t="shared" si="26"/>
        <v>15.694698361817236</v>
      </c>
      <c r="I116" s="355">
        <f t="shared" si="34"/>
        <v>125</v>
      </c>
      <c r="J116" s="349">
        <f t="shared" si="30"/>
        <v>2034</v>
      </c>
      <c r="K116" s="203">
        <f t="shared" si="33"/>
        <v>49157</v>
      </c>
      <c r="V116" s="330" t="str">
        <f t="shared" si="25"/>
        <v>Summer</v>
      </c>
      <c r="AA116" s="350">
        <f t="shared" si="27"/>
        <v>2.18E-2</v>
      </c>
      <c r="AB116" s="351">
        <f t="shared" si="31"/>
        <v>0</v>
      </c>
    </row>
    <row r="117" spans="2:28" ht="17.45" hidden="1" customHeight="1" outlineLevel="1">
      <c r="B117" s="203">
        <f t="shared" si="28"/>
        <v>49188</v>
      </c>
      <c r="C117" s="352">
        <v>-334743.55758886668</v>
      </c>
      <c r="D117" s="353">
        <f>IF(ISNUMBER($F117),VLOOKUP($J117,'Table 1'!$B$13:$C$37,2,FALSE)/12*1000*Study_MW,"")</f>
        <v>646129.59462592634</v>
      </c>
      <c r="E117" s="353">
        <f t="shared" si="29"/>
        <v>311386.03703705966</v>
      </c>
      <c r="F117" s="352">
        <v>11306.15984007</v>
      </c>
      <c r="G117" s="354">
        <f t="shared" si="26"/>
        <v>27.541273203433835</v>
      </c>
      <c r="I117" s="355">
        <f t="shared" si="34"/>
        <v>126</v>
      </c>
      <c r="J117" s="349">
        <f t="shared" si="30"/>
        <v>2034</v>
      </c>
      <c r="K117" s="203">
        <f t="shared" si="33"/>
        <v>49188</v>
      </c>
      <c r="V117" s="330" t="str">
        <f t="shared" si="25"/>
        <v>Winter</v>
      </c>
      <c r="AA117" s="350">
        <f t="shared" si="27"/>
        <v>2.18E-2</v>
      </c>
      <c r="AB117" s="351">
        <f t="shared" si="31"/>
        <v>0</v>
      </c>
    </row>
    <row r="118" spans="2:28" ht="17.45" hidden="1" customHeight="1" outlineLevel="1">
      <c r="B118" s="203">
        <f t="shared" si="28"/>
        <v>49218</v>
      </c>
      <c r="C118" s="352">
        <v>-1031899.6057735494</v>
      </c>
      <c r="D118" s="353">
        <f>IF(ISNUMBER($F118),VLOOKUP($J118,'Table 1'!$B$13:$C$37,2,FALSE)/12*1000*Study_MW,"")</f>
        <v>646129.59462592634</v>
      </c>
      <c r="E118" s="353">
        <f t="shared" si="29"/>
        <v>-385770.01114762307</v>
      </c>
      <c r="F118" s="352">
        <v>23404.872506280004</v>
      </c>
      <c r="G118" s="354">
        <f t="shared" si="26"/>
        <v>-16.482465821769082</v>
      </c>
      <c r="I118" s="355">
        <f t="shared" si="34"/>
        <v>127</v>
      </c>
      <c r="J118" s="349">
        <f t="shared" si="30"/>
        <v>2034</v>
      </c>
      <c r="K118" s="203">
        <f t="shared" si="33"/>
        <v>49218</v>
      </c>
      <c r="V118" s="330" t="str">
        <f t="shared" si="25"/>
        <v>Winter</v>
      </c>
      <c r="AA118" s="350">
        <f t="shared" si="27"/>
        <v>2.18E-2</v>
      </c>
      <c r="AB118" s="351">
        <f t="shared" si="31"/>
        <v>0</v>
      </c>
    </row>
    <row r="119" spans="2:28" ht="17.45" hidden="1" customHeight="1" outlineLevel="1">
      <c r="B119" s="203">
        <f t="shared" si="28"/>
        <v>49249</v>
      </c>
      <c r="C119" s="352">
        <v>-1164614.2807179603</v>
      </c>
      <c r="D119" s="353">
        <f>IF(ISNUMBER($F119),VLOOKUP($J119,'Table 1'!$B$13:$C$37,2,FALSE)/12*1000*Study_MW,"")</f>
        <v>646129.59462592634</v>
      </c>
      <c r="E119" s="353">
        <f t="shared" si="29"/>
        <v>-518484.68609203398</v>
      </c>
      <c r="F119" s="352">
        <v>14273.345559230002</v>
      </c>
      <c r="G119" s="354">
        <f t="shared" si="26"/>
        <v>-36.325378933795285</v>
      </c>
      <c r="I119" s="355">
        <f t="shared" si="34"/>
        <v>128</v>
      </c>
      <c r="J119" s="349">
        <f t="shared" si="30"/>
        <v>2034</v>
      </c>
      <c r="K119" s="203">
        <f t="shared" si="33"/>
        <v>49249</v>
      </c>
      <c r="V119" s="330" t="str">
        <f t="shared" si="25"/>
        <v>Winter</v>
      </c>
      <c r="AA119" s="350">
        <f t="shared" si="27"/>
        <v>2.18E-2</v>
      </c>
      <c r="AB119" s="351">
        <f t="shared" si="31"/>
        <v>0</v>
      </c>
    </row>
    <row r="120" spans="2:28" ht="17.45" hidden="1" customHeight="1" outlineLevel="1">
      <c r="B120" s="204">
        <f t="shared" si="28"/>
        <v>49279</v>
      </c>
      <c r="C120" s="359">
        <v>-1833230.8663590748</v>
      </c>
      <c r="D120" s="360">
        <f>IF(ISNUMBER($F120),VLOOKUP($J120,'Table 1'!$B$13:$C$37,2,FALSE)/12*1000*Study_MW,"")</f>
        <v>646129.59462592634</v>
      </c>
      <c r="E120" s="360">
        <f t="shared" si="29"/>
        <v>-1187101.2717331485</v>
      </c>
      <c r="F120" s="359">
        <v>14151.674536572002</v>
      </c>
      <c r="G120" s="361">
        <f t="shared" si="26"/>
        <v>-83.884155805402187</v>
      </c>
      <c r="I120" s="362">
        <f t="shared" si="34"/>
        <v>129</v>
      </c>
      <c r="J120" s="349">
        <f t="shared" si="30"/>
        <v>2034</v>
      </c>
      <c r="K120" s="204">
        <f t="shared" si="33"/>
        <v>49279</v>
      </c>
      <c r="V120" s="330" t="str">
        <f t="shared" si="25"/>
        <v>Winter</v>
      </c>
      <c r="AA120" s="350">
        <f t="shared" si="27"/>
        <v>2.18E-2</v>
      </c>
      <c r="AB120" s="351">
        <f t="shared" si="31"/>
        <v>0</v>
      </c>
    </row>
    <row r="121" spans="2:28" ht="17.45" hidden="1" customHeight="1" outlineLevel="1">
      <c r="B121" s="202">
        <f t="shared" si="28"/>
        <v>49310</v>
      </c>
      <c r="C121" s="343">
        <v>-1150998.7634595963</v>
      </c>
      <c r="D121" s="344">
        <f>IF(ISNUMBER($F121),VLOOKUP($J121,'Table 1'!$B$13:$C$37,2,FALSE)/12*1000*Study_MW,"")</f>
        <v>660215.21962326497</v>
      </c>
      <c r="E121" s="345">
        <f t="shared" si="29"/>
        <v>-490783.54383633134</v>
      </c>
      <c r="F121" s="346">
        <v>20955.288234849999</v>
      </c>
      <c r="G121" s="347">
        <f t="shared" si="26"/>
        <v>-23.420510294872805</v>
      </c>
      <c r="I121" s="363">
        <f>I109+13</f>
        <v>131</v>
      </c>
      <c r="J121" s="349">
        <f t="shared" si="30"/>
        <v>2035</v>
      </c>
      <c r="K121" s="202">
        <f t="shared" si="33"/>
        <v>49310</v>
      </c>
      <c r="V121" s="330" t="str">
        <f t="shared" si="25"/>
        <v>Winter</v>
      </c>
      <c r="AA121" s="350">
        <f t="shared" si="27"/>
        <v>2.18E-2</v>
      </c>
      <c r="AB121" s="351">
        <f t="shared" si="31"/>
        <v>0</v>
      </c>
    </row>
    <row r="122" spans="2:28" ht="17.45" hidden="1" customHeight="1" outlineLevel="1">
      <c r="B122" s="203">
        <f t="shared" si="28"/>
        <v>49341</v>
      </c>
      <c r="C122" s="352">
        <v>-637024.12828917289</v>
      </c>
      <c r="D122" s="353">
        <f>IF(ISNUMBER($F122),VLOOKUP($J122,'Table 1'!$B$13:$C$37,2,FALSE)/12*1000*Study_MW,"")</f>
        <v>660215.21962326497</v>
      </c>
      <c r="E122" s="353">
        <f t="shared" si="29"/>
        <v>23191.091334092082</v>
      </c>
      <c r="F122" s="352">
        <v>17419.669062789999</v>
      </c>
      <c r="G122" s="354">
        <f t="shared" si="26"/>
        <v>1.3313164131016912</v>
      </c>
      <c r="I122" s="355">
        <f t="shared" ref="I122:I185" si="35">I110+13</f>
        <v>132</v>
      </c>
      <c r="J122" s="349">
        <f t="shared" si="30"/>
        <v>2035</v>
      </c>
      <c r="K122" s="203">
        <f t="shared" si="33"/>
        <v>49341</v>
      </c>
      <c r="V122" s="330" t="str">
        <f t="shared" si="25"/>
        <v>Winter</v>
      </c>
      <c r="AA122" s="350">
        <f t="shared" si="27"/>
        <v>2.18E-2</v>
      </c>
      <c r="AB122" s="351">
        <f t="shared" si="31"/>
        <v>0</v>
      </c>
    </row>
    <row r="123" spans="2:28" ht="17.45" hidden="1" customHeight="1" outlineLevel="1">
      <c r="B123" s="203">
        <f t="shared" si="28"/>
        <v>49369</v>
      </c>
      <c r="C123" s="352">
        <v>-883144.12814930256</v>
      </c>
      <c r="D123" s="353">
        <f>IF(ISNUMBER($F123),VLOOKUP($J123,'Table 1'!$B$13:$C$37,2,FALSE)/12*1000*Study_MW,"")</f>
        <v>660215.21962326497</v>
      </c>
      <c r="E123" s="353">
        <f t="shared" si="29"/>
        <v>-222928.90852603759</v>
      </c>
      <c r="F123" s="352">
        <v>17461.912206590001</v>
      </c>
      <c r="G123" s="354">
        <f t="shared" si="26"/>
        <v>-12.766580537606059</v>
      </c>
      <c r="I123" s="355">
        <f t="shared" si="35"/>
        <v>133</v>
      </c>
      <c r="J123" s="349">
        <f t="shared" si="30"/>
        <v>2035</v>
      </c>
      <c r="K123" s="203">
        <f t="shared" si="33"/>
        <v>49369</v>
      </c>
      <c r="V123" s="330" t="str">
        <f t="shared" si="25"/>
        <v>Winter</v>
      </c>
      <c r="AA123" s="350">
        <f t="shared" si="27"/>
        <v>2.18E-2</v>
      </c>
      <c r="AB123" s="351">
        <f t="shared" si="31"/>
        <v>0</v>
      </c>
    </row>
    <row r="124" spans="2:28" ht="17.45" hidden="1" customHeight="1" outlineLevel="1">
      <c r="B124" s="203">
        <f t="shared" si="28"/>
        <v>49400</v>
      </c>
      <c r="C124" s="352">
        <v>-854448.54906274122</v>
      </c>
      <c r="D124" s="353">
        <f>IF(ISNUMBER($F124),VLOOKUP($J124,'Table 1'!$B$13:$C$37,2,FALSE)/12*1000*Study_MW,"")</f>
        <v>660215.21962326497</v>
      </c>
      <c r="E124" s="353">
        <f t="shared" si="29"/>
        <v>-194233.32943947625</v>
      </c>
      <c r="F124" s="352">
        <v>23966.333635690004</v>
      </c>
      <c r="G124" s="354">
        <f t="shared" si="26"/>
        <v>-8.1044239970952141</v>
      </c>
      <c r="I124" s="355">
        <f t="shared" si="35"/>
        <v>134</v>
      </c>
      <c r="J124" s="349">
        <f t="shared" si="30"/>
        <v>2035</v>
      </c>
      <c r="K124" s="203">
        <f t="shared" si="33"/>
        <v>49400</v>
      </c>
      <c r="V124" s="330" t="str">
        <f t="shared" si="25"/>
        <v>Winter</v>
      </c>
      <c r="AA124" s="350">
        <f t="shared" si="27"/>
        <v>2.18E-2</v>
      </c>
      <c r="AB124" s="351">
        <f t="shared" si="31"/>
        <v>0</v>
      </c>
    </row>
    <row r="125" spans="2:28" ht="17.45" hidden="1" customHeight="1" outlineLevel="1">
      <c r="B125" s="203">
        <f t="shared" si="28"/>
        <v>49430</v>
      </c>
      <c r="C125" s="352">
        <v>-635314.9087158672</v>
      </c>
      <c r="D125" s="353">
        <f>IF(ISNUMBER($F125),VLOOKUP($J125,'Table 1'!$B$13:$C$37,2,FALSE)/12*1000*Study_MW,"")</f>
        <v>660215.21962326497</v>
      </c>
      <c r="E125" s="353">
        <f t="shared" si="29"/>
        <v>24900.310907397768</v>
      </c>
      <c r="F125" s="352">
        <v>22571.998863140001</v>
      </c>
      <c r="G125" s="354">
        <f t="shared" si="26"/>
        <v>1.1031504590433014</v>
      </c>
      <c r="I125" s="355">
        <f t="shared" si="35"/>
        <v>135</v>
      </c>
      <c r="J125" s="349">
        <f t="shared" si="30"/>
        <v>2035</v>
      </c>
      <c r="K125" s="203">
        <f t="shared" si="33"/>
        <v>49430</v>
      </c>
      <c r="V125" s="330" t="str">
        <f t="shared" si="25"/>
        <v>Summer</v>
      </c>
      <c r="AA125" s="350">
        <f t="shared" si="27"/>
        <v>2.18E-2</v>
      </c>
      <c r="AB125" s="351">
        <f t="shared" si="31"/>
        <v>0</v>
      </c>
    </row>
    <row r="126" spans="2:28" ht="17.45" hidden="1" customHeight="1" outlineLevel="1">
      <c r="B126" s="203">
        <f t="shared" si="28"/>
        <v>49461</v>
      </c>
      <c r="C126" s="352">
        <v>-502967.37804249278</v>
      </c>
      <c r="D126" s="353">
        <f>IF(ISNUMBER($F126),VLOOKUP($J126,'Table 1'!$B$13:$C$37,2,FALSE)/12*1000*Study_MW,"")</f>
        <v>660215.21962326497</v>
      </c>
      <c r="E126" s="353">
        <f t="shared" si="29"/>
        <v>157247.84158077219</v>
      </c>
      <c r="F126" s="352">
        <v>21093.46980789</v>
      </c>
      <c r="G126" s="354">
        <f t="shared" si="26"/>
        <v>7.4548115133695889</v>
      </c>
      <c r="I126" s="355">
        <f t="shared" si="35"/>
        <v>136</v>
      </c>
      <c r="J126" s="349">
        <f t="shared" si="30"/>
        <v>2035</v>
      </c>
      <c r="K126" s="203">
        <f t="shared" si="33"/>
        <v>49461</v>
      </c>
      <c r="V126" s="330" t="str">
        <f t="shared" si="25"/>
        <v>Summer</v>
      </c>
      <c r="AA126" s="350">
        <f t="shared" si="27"/>
        <v>2.18E-2</v>
      </c>
      <c r="AB126" s="351">
        <f t="shared" si="31"/>
        <v>0</v>
      </c>
    </row>
    <row r="127" spans="2:28" ht="17.45" hidden="1" customHeight="1" outlineLevel="1">
      <c r="B127" s="203">
        <f t="shared" si="28"/>
        <v>49491</v>
      </c>
      <c r="C127" s="352">
        <v>-282985.60457558779</v>
      </c>
      <c r="D127" s="353">
        <f>IF(ISNUMBER($F127),VLOOKUP($J127,'Table 1'!$B$13:$C$37,2,FALSE)/12*1000*Study_MW,"")</f>
        <v>660215.21962326497</v>
      </c>
      <c r="E127" s="353">
        <f t="shared" si="29"/>
        <v>377229.61504767719</v>
      </c>
      <c r="F127" s="352">
        <v>12599.71663126</v>
      </c>
      <c r="G127" s="354">
        <f t="shared" si="26"/>
        <v>29.939531664685809</v>
      </c>
      <c r="I127" s="355">
        <f t="shared" si="35"/>
        <v>137</v>
      </c>
      <c r="J127" s="349">
        <f t="shared" si="30"/>
        <v>2035</v>
      </c>
      <c r="K127" s="203">
        <f t="shared" si="33"/>
        <v>49491</v>
      </c>
      <c r="V127" s="330" t="str">
        <f t="shared" si="25"/>
        <v>Summer</v>
      </c>
      <c r="AA127" s="350">
        <f t="shared" si="27"/>
        <v>2.18E-2</v>
      </c>
      <c r="AB127" s="351">
        <f t="shared" si="31"/>
        <v>0</v>
      </c>
    </row>
    <row r="128" spans="2:28" ht="17.45" hidden="1" customHeight="1" outlineLevel="1">
      <c r="B128" s="203">
        <f t="shared" si="28"/>
        <v>49522</v>
      </c>
      <c r="C128" s="352">
        <v>-520792.47723091976</v>
      </c>
      <c r="D128" s="353">
        <f>IF(ISNUMBER($F128),VLOOKUP($J128,'Table 1'!$B$13:$C$37,2,FALSE)/12*1000*Study_MW,"")</f>
        <v>660215.21962326497</v>
      </c>
      <c r="E128" s="353">
        <f t="shared" si="29"/>
        <v>139422.74239234522</v>
      </c>
      <c r="F128" s="352">
        <v>13274.537031640002</v>
      </c>
      <c r="G128" s="354">
        <f t="shared" si="26"/>
        <v>10.50302108917468</v>
      </c>
      <c r="I128" s="355">
        <f t="shared" si="35"/>
        <v>138</v>
      </c>
      <c r="J128" s="349">
        <f t="shared" si="30"/>
        <v>2035</v>
      </c>
      <c r="K128" s="203">
        <f t="shared" si="33"/>
        <v>49522</v>
      </c>
      <c r="V128" s="330" t="str">
        <f t="shared" si="25"/>
        <v>Summer</v>
      </c>
      <c r="AA128" s="350">
        <f t="shared" si="27"/>
        <v>2.18E-2</v>
      </c>
      <c r="AB128" s="351">
        <f t="shared" si="31"/>
        <v>0</v>
      </c>
    </row>
    <row r="129" spans="2:28" ht="17.45" hidden="1" customHeight="1" outlineLevel="1">
      <c r="B129" s="203">
        <f t="shared" si="28"/>
        <v>49553</v>
      </c>
      <c r="C129" s="352">
        <v>-357257.40471839526</v>
      </c>
      <c r="D129" s="353">
        <f>IF(ISNUMBER($F129),VLOOKUP($J129,'Table 1'!$B$13:$C$37,2,FALSE)/12*1000*Study_MW,"")</f>
        <v>660215.21962326497</v>
      </c>
      <c r="E129" s="353">
        <f t="shared" si="29"/>
        <v>302957.81490486971</v>
      </c>
      <c r="F129" s="352">
        <v>11262.100543829998</v>
      </c>
      <c r="G129" s="354">
        <f t="shared" si="26"/>
        <v>26.900649104118216</v>
      </c>
      <c r="I129" s="355">
        <f t="shared" si="35"/>
        <v>139</v>
      </c>
      <c r="J129" s="349">
        <f t="shared" si="30"/>
        <v>2035</v>
      </c>
      <c r="K129" s="203">
        <f t="shared" si="33"/>
        <v>49553</v>
      </c>
      <c r="V129" s="330" t="str">
        <f t="shared" si="25"/>
        <v>Winter</v>
      </c>
      <c r="AA129" s="350">
        <f t="shared" si="27"/>
        <v>2.18E-2</v>
      </c>
      <c r="AB129" s="351">
        <f t="shared" si="31"/>
        <v>0</v>
      </c>
    </row>
    <row r="130" spans="2:28" ht="17.45" hidden="1" customHeight="1" outlineLevel="1">
      <c r="B130" s="203">
        <f t="shared" si="28"/>
        <v>49583</v>
      </c>
      <c r="C130" s="352">
        <v>-1088463.888623999</v>
      </c>
      <c r="D130" s="353">
        <f>IF(ISNUMBER($F130),VLOOKUP($J130,'Table 1'!$B$13:$C$37,2,FALSE)/12*1000*Study_MW,"")</f>
        <v>660215.21962326497</v>
      </c>
      <c r="E130" s="353">
        <f t="shared" si="29"/>
        <v>-428248.66900073399</v>
      </c>
      <c r="F130" s="352">
        <v>23306.767880120002</v>
      </c>
      <c r="G130" s="354">
        <f t="shared" si="26"/>
        <v>-18.374434035789996</v>
      </c>
      <c r="I130" s="355">
        <f t="shared" si="35"/>
        <v>140</v>
      </c>
      <c r="J130" s="349">
        <f t="shared" si="30"/>
        <v>2035</v>
      </c>
      <c r="K130" s="203">
        <f t="shared" si="33"/>
        <v>49583</v>
      </c>
      <c r="V130" s="330" t="str">
        <f t="shared" si="25"/>
        <v>Winter</v>
      </c>
      <c r="AA130" s="350">
        <f t="shared" si="27"/>
        <v>2.18E-2</v>
      </c>
      <c r="AB130" s="351">
        <f t="shared" si="31"/>
        <v>0</v>
      </c>
    </row>
    <row r="131" spans="2:28" ht="17.45" hidden="1" customHeight="1" outlineLevel="1">
      <c r="B131" s="203">
        <f t="shared" si="28"/>
        <v>49614</v>
      </c>
      <c r="C131" s="352">
        <v>-1185726.1402680343</v>
      </c>
      <c r="D131" s="353">
        <f>IF(ISNUMBER($F131),VLOOKUP($J131,'Table 1'!$B$13:$C$37,2,FALSE)/12*1000*Study_MW,"")</f>
        <v>660215.21962326497</v>
      </c>
      <c r="E131" s="353">
        <f t="shared" si="29"/>
        <v>-525510.92064476933</v>
      </c>
      <c r="F131" s="352">
        <v>15087.522923910003</v>
      </c>
      <c r="G131" s="354">
        <f t="shared" si="26"/>
        <v>-34.830828313901954</v>
      </c>
      <c r="I131" s="355">
        <f t="shared" si="35"/>
        <v>141</v>
      </c>
      <c r="J131" s="349">
        <f t="shared" si="30"/>
        <v>2035</v>
      </c>
      <c r="K131" s="203">
        <f t="shared" si="33"/>
        <v>49614</v>
      </c>
      <c r="V131" s="330" t="str">
        <f t="shared" si="25"/>
        <v>Winter</v>
      </c>
      <c r="AA131" s="350">
        <f t="shared" si="27"/>
        <v>2.18E-2</v>
      </c>
      <c r="AB131" s="351">
        <f t="shared" si="31"/>
        <v>0</v>
      </c>
    </row>
    <row r="132" spans="2:28" ht="17.45" hidden="1" customHeight="1" outlineLevel="1">
      <c r="B132" s="204">
        <f t="shared" si="28"/>
        <v>49644</v>
      </c>
      <c r="C132" s="359">
        <v>-1893026.2448387083</v>
      </c>
      <c r="D132" s="360">
        <f>IF(ISNUMBER($F132),VLOOKUP($J132,'Table 1'!$B$13:$C$37,2,FALSE)/12*1000*Study_MW,"")</f>
        <v>660215.21962326497</v>
      </c>
      <c r="E132" s="360">
        <f t="shared" si="29"/>
        <v>-1232811.0252154432</v>
      </c>
      <c r="F132" s="359">
        <v>13611.874340522003</v>
      </c>
      <c r="G132" s="361">
        <f t="shared" si="26"/>
        <v>-90.568792686060462</v>
      </c>
      <c r="I132" s="362">
        <f t="shared" si="35"/>
        <v>142</v>
      </c>
      <c r="J132" s="349">
        <f t="shared" si="30"/>
        <v>2035</v>
      </c>
      <c r="K132" s="204">
        <f t="shared" si="33"/>
        <v>49644</v>
      </c>
      <c r="V132" s="330" t="str">
        <f t="shared" si="25"/>
        <v>Winter</v>
      </c>
      <c r="AA132" s="350">
        <f t="shared" si="27"/>
        <v>2.18E-2</v>
      </c>
      <c r="AB132" s="351">
        <f t="shared" si="31"/>
        <v>0</v>
      </c>
    </row>
    <row r="133" spans="2:28" ht="17.45" hidden="1" customHeight="1" outlineLevel="1">
      <c r="B133" s="202">
        <f t="shared" si="28"/>
        <v>49675</v>
      </c>
      <c r="C133" s="343">
        <v>-1198836.5046041436</v>
      </c>
      <c r="D133" s="344">
        <f>IF(ISNUMBER($F133),VLOOKUP($J133,'Table 1'!$B$13:$C$37,2,FALSE)/12*1000*Study_MW,"")</f>
        <v>674607.91141573945</v>
      </c>
      <c r="E133" s="345">
        <f t="shared" si="29"/>
        <v>-524228.59318840411</v>
      </c>
      <c r="F133" s="346">
        <v>21721.678344020002</v>
      </c>
      <c r="G133" s="347">
        <f t="shared" si="26"/>
        <v>-24.133889881152978</v>
      </c>
      <c r="I133" s="363">
        <f t="shared" si="35"/>
        <v>144</v>
      </c>
      <c r="J133" s="349">
        <f t="shared" si="30"/>
        <v>2036</v>
      </c>
      <c r="K133" s="202">
        <f t="shared" si="33"/>
        <v>49675</v>
      </c>
      <c r="V133" s="330" t="str">
        <f t="shared" si="25"/>
        <v>Winter</v>
      </c>
      <c r="AA133" s="350">
        <f t="shared" si="27"/>
        <v>2.18E-2</v>
      </c>
      <c r="AB133" s="351">
        <f t="shared" si="31"/>
        <v>0</v>
      </c>
    </row>
    <row r="134" spans="2:28" ht="17.45" hidden="1" customHeight="1" outlineLevel="1">
      <c r="B134" s="203">
        <f t="shared" si="28"/>
        <v>49706</v>
      </c>
      <c r="C134" s="352">
        <v>-718477.5281791226</v>
      </c>
      <c r="D134" s="353">
        <f>IF(ISNUMBER($F134),VLOOKUP($J134,'Table 1'!$B$13:$C$37,2,FALSE)/12*1000*Study_MW,"")</f>
        <v>674607.91141573945</v>
      </c>
      <c r="E134" s="353">
        <f t="shared" si="29"/>
        <v>-43869.61676338315</v>
      </c>
      <c r="F134" s="352">
        <v>17718.82888628</v>
      </c>
      <c r="G134" s="354">
        <f t="shared" si="26"/>
        <v>-2.4758756374329098</v>
      </c>
      <c r="I134" s="355">
        <f t="shared" si="35"/>
        <v>145</v>
      </c>
      <c r="J134" s="349">
        <f t="shared" si="30"/>
        <v>2036</v>
      </c>
      <c r="K134" s="203">
        <f t="shared" si="33"/>
        <v>49706</v>
      </c>
      <c r="V134" s="330" t="str">
        <f t="shared" si="25"/>
        <v>Winter</v>
      </c>
      <c r="AA134" s="350">
        <f t="shared" si="27"/>
        <v>2.18E-2</v>
      </c>
      <c r="AB134" s="351">
        <f t="shared" si="31"/>
        <v>0</v>
      </c>
    </row>
    <row r="135" spans="2:28" ht="17.45" hidden="1" customHeight="1" outlineLevel="1">
      <c r="B135" s="203">
        <f t="shared" si="28"/>
        <v>49735</v>
      </c>
      <c r="C135" s="352">
        <v>-896045.07172622113</v>
      </c>
      <c r="D135" s="353">
        <f>IF(ISNUMBER($F135),VLOOKUP($J135,'Table 1'!$B$13:$C$37,2,FALSE)/12*1000*Study_MW,"")</f>
        <v>674607.91141573945</v>
      </c>
      <c r="E135" s="353">
        <f t="shared" si="29"/>
        <v>-221437.16031048167</v>
      </c>
      <c r="F135" s="352">
        <v>17909.724190320005</v>
      </c>
      <c r="G135" s="354">
        <f t="shared" si="26"/>
        <v>-12.364074284860616</v>
      </c>
      <c r="I135" s="355">
        <f t="shared" si="35"/>
        <v>146</v>
      </c>
      <c r="J135" s="349">
        <f t="shared" si="30"/>
        <v>2036</v>
      </c>
      <c r="K135" s="203">
        <f t="shared" si="33"/>
        <v>49735</v>
      </c>
      <c r="V135" s="330" t="str">
        <f t="shared" si="25"/>
        <v>Winter</v>
      </c>
      <c r="AA135" s="350">
        <f t="shared" si="27"/>
        <v>2.18E-2</v>
      </c>
      <c r="AB135" s="351">
        <f t="shared" si="31"/>
        <v>0</v>
      </c>
    </row>
    <row r="136" spans="2:28" ht="17.45" hidden="1" customHeight="1" outlineLevel="1">
      <c r="B136" s="203">
        <f t="shared" si="28"/>
        <v>49766</v>
      </c>
      <c r="C136" s="352">
        <v>-858255.97886490868</v>
      </c>
      <c r="D136" s="353">
        <f>IF(ISNUMBER($F136),VLOOKUP($J136,'Table 1'!$B$13:$C$37,2,FALSE)/12*1000*Study_MW,"")</f>
        <v>674607.91141573945</v>
      </c>
      <c r="E136" s="353">
        <f t="shared" si="29"/>
        <v>-183648.06744916923</v>
      </c>
      <c r="F136" s="352">
        <v>23616.093099490001</v>
      </c>
      <c r="G136" s="354">
        <f t="shared" si="26"/>
        <v>-7.7763949640398051</v>
      </c>
      <c r="I136" s="355">
        <f t="shared" si="35"/>
        <v>147</v>
      </c>
      <c r="J136" s="349">
        <f t="shared" si="30"/>
        <v>2036</v>
      </c>
      <c r="K136" s="203">
        <f t="shared" si="33"/>
        <v>49766</v>
      </c>
      <c r="V136" s="330" t="str">
        <f t="shared" si="25"/>
        <v>Winter</v>
      </c>
      <c r="AA136" s="350">
        <f t="shared" si="27"/>
        <v>2.18E-2</v>
      </c>
      <c r="AB136" s="351">
        <f t="shared" si="31"/>
        <v>0</v>
      </c>
    </row>
    <row r="137" spans="2:28" ht="17.45" hidden="1" customHeight="1" outlineLevel="1">
      <c r="B137" s="203">
        <f t="shared" si="28"/>
        <v>49796</v>
      </c>
      <c r="C137" s="352">
        <v>-700303.05058264639</v>
      </c>
      <c r="D137" s="353">
        <f>IF(ISNUMBER($F137),VLOOKUP($J137,'Table 1'!$B$13:$C$37,2,FALSE)/12*1000*Study_MW,"")</f>
        <v>674607.91141573945</v>
      </c>
      <c r="E137" s="353">
        <f t="shared" si="29"/>
        <v>-25695.139166906942</v>
      </c>
      <c r="F137" s="352">
        <v>22436.177659589997</v>
      </c>
      <c r="G137" s="354">
        <f t="shared" si="26"/>
        <v>-1.1452547558128268</v>
      </c>
      <c r="I137" s="355">
        <f t="shared" si="35"/>
        <v>148</v>
      </c>
      <c r="J137" s="349">
        <f t="shared" si="30"/>
        <v>2036</v>
      </c>
      <c r="K137" s="203">
        <f t="shared" si="33"/>
        <v>49796</v>
      </c>
      <c r="V137" s="330" t="str">
        <f t="shared" si="25"/>
        <v>Summer</v>
      </c>
      <c r="AA137" s="350">
        <f t="shared" si="27"/>
        <v>2.18E-2</v>
      </c>
      <c r="AB137" s="351">
        <f t="shared" si="31"/>
        <v>0</v>
      </c>
    </row>
    <row r="138" spans="2:28" ht="17.45" hidden="1" customHeight="1" outlineLevel="1">
      <c r="B138" s="203">
        <f t="shared" si="28"/>
        <v>49827</v>
      </c>
      <c r="C138" s="352">
        <v>-395553.33395743219</v>
      </c>
      <c r="D138" s="353">
        <f>IF(ISNUMBER($F138),VLOOKUP($J138,'Table 1'!$B$13:$C$37,2,FALSE)/12*1000*Study_MW,"")</f>
        <v>674607.91141573945</v>
      </c>
      <c r="E138" s="353">
        <f t="shared" si="29"/>
        <v>279054.57745830726</v>
      </c>
      <c r="F138" s="352">
        <v>20786.51227843</v>
      </c>
      <c r="G138" s="354">
        <f t="shared" si="26"/>
        <v>13.424790735475138</v>
      </c>
      <c r="I138" s="355">
        <f t="shared" si="35"/>
        <v>149</v>
      </c>
      <c r="J138" s="349">
        <f t="shared" si="30"/>
        <v>2036</v>
      </c>
      <c r="K138" s="203">
        <f t="shared" si="33"/>
        <v>49827</v>
      </c>
      <c r="V138" s="330" t="str">
        <f t="shared" si="25"/>
        <v>Summer</v>
      </c>
      <c r="AA138" s="350">
        <f t="shared" si="27"/>
        <v>2.18E-2</v>
      </c>
      <c r="AB138" s="351">
        <f t="shared" si="31"/>
        <v>0</v>
      </c>
    </row>
    <row r="139" spans="2:28" ht="17.45" hidden="1" customHeight="1" outlineLevel="1">
      <c r="B139" s="203">
        <f t="shared" si="28"/>
        <v>49857</v>
      </c>
      <c r="C139" s="352">
        <v>-432200.20579879201</v>
      </c>
      <c r="D139" s="353">
        <f>IF(ISNUMBER($F139),VLOOKUP($J139,'Table 1'!$B$13:$C$37,2,FALSE)/12*1000*Study_MW,"")</f>
        <v>674607.91141573945</v>
      </c>
      <c r="E139" s="353">
        <f t="shared" si="29"/>
        <v>242407.70561694744</v>
      </c>
      <c r="F139" s="352">
        <v>12715.397384190001</v>
      </c>
      <c r="G139" s="354">
        <f t="shared" si="26"/>
        <v>19.064107734324605</v>
      </c>
      <c r="I139" s="355">
        <f t="shared" si="35"/>
        <v>150</v>
      </c>
      <c r="J139" s="349">
        <f t="shared" si="30"/>
        <v>2036</v>
      </c>
      <c r="K139" s="203">
        <f t="shared" si="33"/>
        <v>49857</v>
      </c>
      <c r="V139" s="330" t="str">
        <f t="shared" si="25"/>
        <v>Summer</v>
      </c>
      <c r="AA139" s="350">
        <f t="shared" si="27"/>
        <v>2.18E-2</v>
      </c>
      <c r="AB139" s="351">
        <f t="shared" si="31"/>
        <v>0</v>
      </c>
    </row>
    <row r="140" spans="2:28" ht="17.45" hidden="1" customHeight="1" outlineLevel="1">
      <c r="B140" s="203">
        <f t="shared" si="28"/>
        <v>49888</v>
      </c>
      <c r="C140" s="352">
        <v>-662261.76285536354</v>
      </c>
      <c r="D140" s="353">
        <f>IF(ISNUMBER($F140),VLOOKUP($J140,'Table 1'!$B$13:$C$37,2,FALSE)/12*1000*Study_MW,"")</f>
        <v>674607.91141573945</v>
      </c>
      <c r="E140" s="353">
        <f t="shared" si="29"/>
        <v>12346.148560375907</v>
      </c>
      <c r="F140" s="352">
        <v>12547.135885460002</v>
      </c>
      <c r="G140" s="354">
        <f t="shared" si="26"/>
        <v>0.98398141799699435</v>
      </c>
      <c r="I140" s="355">
        <f t="shared" si="35"/>
        <v>151</v>
      </c>
      <c r="J140" s="349">
        <f t="shared" si="30"/>
        <v>2036</v>
      </c>
      <c r="K140" s="203">
        <f t="shared" si="33"/>
        <v>49888</v>
      </c>
      <c r="V140" s="330" t="str">
        <f t="shared" ref="V140:V203" si="36">IFERROR(IF(AND(MONTH(K141)&gt;=6,MONTH(K141)&lt;=9),"Summer","Winter"),"-")</f>
        <v>Summer</v>
      </c>
      <c r="AA140" s="350">
        <f t="shared" si="27"/>
        <v>2.18E-2</v>
      </c>
      <c r="AB140" s="351">
        <f t="shared" si="31"/>
        <v>0</v>
      </c>
    </row>
    <row r="141" spans="2:28" ht="17.45" hidden="1" customHeight="1" outlineLevel="1">
      <c r="B141" s="203">
        <f t="shared" si="28"/>
        <v>49919</v>
      </c>
      <c r="C141" s="352">
        <v>-409220.36367223336</v>
      </c>
      <c r="D141" s="353">
        <f>IF(ISNUMBER($F141),VLOOKUP($J141,'Table 1'!$B$13:$C$37,2,FALSE)/12*1000*Study_MW,"")</f>
        <v>674607.91141573945</v>
      </c>
      <c r="E141" s="353">
        <f t="shared" si="29"/>
        <v>265387.54774350609</v>
      </c>
      <c r="F141" s="352">
        <v>12479.20163089</v>
      </c>
      <c r="G141" s="354">
        <f t="shared" ref="G141:G204" si="37">IF(ISNUMBER($F141),E141/$F141,"")</f>
        <v>21.26638831498542</v>
      </c>
      <c r="I141" s="355">
        <f t="shared" si="35"/>
        <v>152</v>
      </c>
      <c r="J141" s="349">
        <f t="shared" si="30"/>
        <v>2036</v>
      </c>
      <c r="K141" s="203">
        <f t="shared" si="33"/>
        <v>49919</v>
      </c>
      <c r="V141" s="330" t="str">
        <f t="shared" si="36"/>
        <v>Winter</v>
      </c>
      <c r="AA141" s="350">
        <f t="shared" ref="AA141:AA204" si="38">Inflation</f>
        <v>2.18E-2</v>
      </c>
      <c r="AB141" s="351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2">
        <v>-1041651.6503426465</v>
      </c>
      <c r="D142" s="353">
        <f>IF(ISNUMBER($F142),VLOOKUP($J142,'Table 1'!$B$13:$C$37,2,FALSE)/12*1000*Study_MW,"")</f>
        <v>674607.91141573945</v>
      </c>
      <c r="E142" s="353">
        <f t="shared" ref="E142:E205" si="40">IF(ISNUMBER(C142+D142),C142+D142,"")</f>
        <v>-367043.73892690707</v>
      </c>
      <c r="F142" s="352">
        <v>21932.780513570004</v>
      </c>
      <c r="G142" s="354">
        <f t="shared" si="37"/>
        <v>-16.734938768926899</v>
      </c>
      <c r="I142" s="355">
        <f t="shared" si="35"/>
        <v>153</v>
      </c>
      <c r="J142" s="349">
        <f t="shared" ref="J142:J192" si="41">YEAR(B142)</f>
        <v>2036</v>
      </c>
      <c r="K142" s="203">
        <f t="shared" si="33"/>
        <v>49949</v>
      </c>
      <c r="V142" s="330" t="str">
        <f t="shared" si="36"/>
        <v>Winter</v>
      </c>
      <c r="AA142" s="350">
        <f t="shared" si="38"/>
        <v>2.18E-2</v>
      </c>
      <c r="AB142" s="351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2">
        <v>-1334280.1240415247</v>
      </c>
      <c r="D143" s="353">
        <f>IF(ISNUMBER($F143),VLOOKUP($J143,'Table 1'!$B$13:$C$37,2,FALSE)/12*1000*Study_MW,"")</f>
        <v>674607.91141573945</v>
      </c>
      <c r="E143" s="353">
        <f t="shared" si="40"/>
        <v>-659672.21262578527</v>
      </c>
      <c r="F143" s="352">
        <v>16323.957363990001</v>
      </c>
      <c r="G143" s="354">
        <f t="shared" si="37"/>
        <v>-40.411292305932868</v>
      </c>
      <c r="I143" s="355">
        <f t="shared" si="35"/>
        <v>154</v>
      </c>
      <c r="J143" s="349">
        <f t="shared" si="41"/>
        <v>2036</v>
      </c>
      <c r="K143" s="203">
        <f t="shared" si="33"/>
        <v>49980</v>
      </c>
      <c r="V143" s="330" t="str">
        <f t="shared" si="36"/>
        <v>Winter</v>
      </c>
      <c r="AA143" s="350">
        <f t="shared" si="38"/>
        <v>2.18E-2</v>
      </c>
      <c r="AB143" s="351">
        <f t="shared" si="42"/>
        <v>0</v>
      </c>
    </row>
    <row r="144" spans="2:28" ht="17.45" hidden="1" customHeight="1" outlineLevel="1">
      <c r="B144" s="204">
        <f t="shared" si="39"/>
        <v>50010</v>
      </c>
      <c r="C144" s="359">
        <v>-2113287.5769183808</v>
      </c>
      <c r="D144" s="360">
        <f>IF(ISNUMBER($F144),VLOOKUP($J144,'Table 1'!$B$13:$C$37,2,FALSE)/12*1000*Study_MW,"")</f>
        <v>674607.91141573945</v>
      </c>
      <c r="E144" s="360">
        <f t="shared" si="40"/>
        <v>-1438679.6655026414</v>
      </c>
      <c r="F144" s="359">
        <v>12855.478555647589</v>
      </c>
      <c r="G144" s="361">
        <f t="shared" si="37"/>
        <v>-111.9117938142108</v>
      </c>
      <c r="I144" s="362">
        <f t="shared" si="35"/>
        <v>155</v>
      </c>
      <c r="J144" s="349">
        <f t="shared" si="41"/>
        <v>2036</v>
      </c>
      <c r="K144" s="204">
        <f t="shared" si="33"/>
        <v>50010</v>
      </c>
      <c r="V144" s="330" t="str">
        <f t="shared" si="36"/>
        <v>Winter</v>
      </c>
      <c r="AA144" s="350">
        <f t="shared" si="38"/>
        <v>2.18E-2</v>
      </c>
      <c r="AB144" s="351">
        <f t="shared" si="42"/>
        <v>0</v>
      </c>
    </row>
    <row r="145" spans="2:28" ht="17.45" hidden="1" customHeight="1" outlineLevel="1">
      <c r="B145" s="202">
        <f t="shared" si="39"/>
        <v>50041</v>
      </c>
      <c r="C145" s="343">
        <v>-1462151.7694042523</v>
      </c>
      <c r="D145" s="344">
        <f>IF(ISNUMBER($F145),VLOOKUP($J145,'Table 1'!$B$13:$C$37,2,FALSE)/12*1000*Study_MW,"")</f>
        <v>689314.36368659895</v>
      </c>
      <c r="E145" s="345">
        <f t="shared" si="40"/>
        <v>-772837.40571765334</v>
      </c>
      <c r="F145" s="346">
        <v>17943.308888460004</v>
      </c>
      <c r="G145" s="347">
        <f t="shared" si="37"/>
        <v>-43.071064011760576</v>
      </c>
      <c r="I145" s="363">
        <f t="shared" si="35"/>
        <v>157</v>
      </c>
      <c r="J145" s="349">
        <f t="shared" si="41"/>
        <v>2037</v>
      </c>
      <c r="K145" s="202">
        <f t="shared" si="33"/>
        <v>50041</v>
      </c>
      <c r="V145" s="330" t="str">
        <f t="shared" si="36"/>
        <v>Winter</v>
      </c>
      <c r="AA145" s="350">
        <f t="shared" si="38"/>
        <v>2.18E-2</v>
      </c>
      <c r="AB145" s="351">
        <f t="shared" si="42"/>
        <v>0</v>
      </c>
    </row>
    <row r="146" spans="2:28" ht="17.45" hidden="1" customHeight="1" outlineLevel="1">
      <c r="B146" s="203">
        <f t="shared" si="39"/>
        <v>50072</v>
      </c>
      <c r="C146" s="352">
        <v>-522631.64593752299</v>
      </c>
      <c r="D146" s="353">
        <f>IF(ISNUMBER($F146),VLOOKUP($J146,'Table 1'!$B$13:$C$37,2,FALSE)/12*1000*Study_MW,"")</f>
        <v>689314.36368659895</v>
      </c>
      <c r="E146" s="353">
        <f t="shared" si="40"/>
        <v>166682.71774907596</v>
      </c>
      <c r="F146" s="352">
        <v>20134.57358511</v>
      </c>
      <c r="G146" s="354">
        <f t="shared" si="37"/>
        <v>8.2784329672788228</v>
      </c>
      <c r="I146" s="355">
        <f t="shared" si="35"/>
        <v>158</v>
      </c>
      <c r="J146" s="349">
        <f t="shared" si="41"/>
        <v>2037</v>
      </c>
      <c r="K146" s="203">
        <f t="shared" si="33"/>
        <v>50072</v>
      </c>
      <c r="V146" s="330" t="str">
        <f t="shared" si="36"/>
        <v>Winter</v>
      </c>
      <c r="AA146" s="350">
        <f t="shared" si="38"/>
        <v>2.18E-2</v>
      </c>
      <c r="AB146" s="351">
        <f t="shared" si="42"/>
        <v>0</v>
      </c>
    </row>
    <row r="147" spans="2:28" ht="17.45" hidden="1" customHeight="1" outlineLevel="1">
      <c r="B147" s="203">
        <f t="shared" si="39"/>
        <v>50100</v>
      </c>
      <c r="C147" s="352">
        <v>-976414.58968169172</v>
      </c>
      <c r="D147" s="353">
        <f>IF(ISNUMBER($F147),VLOOKUP($J147,'Table 1'!$B$13:$C$37,2,FALSE)/12*1000*Study_MW,"")</f>
        <v>689314.36368659895</v>
      </c>
      <c r="E147" s="353">
        <f t="shared" si="40"/>
        <v>-287100.22599509277</v>
      </c>
      <c r="F147" s="352">
        <v>18349.125429259999</v>
      </c>
      <c r="G147" s="354">
        <f t="shared" si="37"/>
        <v>-15.646534604710652</v>
      </c>
      <c r="I147" s="355">
        <f t="shared" si="35"/>
        <v>159</v>
      </c>
      <c r="J147" s="349">
        <f t="shared" si="41"/>
        <v>2037</v>
      </c>
      <c r="K147" s="203">
        <f t="shared" si="33"/>
        <v>50100</v>
      </c>
      <c r="V147" s="330" t="str">
        <f t="shared" si="36"/>
        <v>Winter</v>
      </c>
      <c r="AA147" s="350">
        <f t="shared" si="38"/>
        <v>2.18E-2</v>
      </c>
      <c r="AB147" s="351">
        <f t="shared" si="42"/>
        <v>0</v>
      </c>
    </row>
    <row r="148" spans="2:28" ht="17.45" hidden="1" customHeight="1" outlineLevel="1">
      <c r="B148" s="203">
        <f t="shared" si="39"/>
        <v>50131</v>
      </c>
      <c r="C148" s="352">
        <v>-909872.73094676493</v>
      </c>
      <c r="D148" s="353">
        <f>IF(ISNUMBER($F148),VLOOKUP($J148,'Table 1'!$B$13:$C$37,2,FALSE)/12*1000*Study_MW,"")</f>
        <v>689314.36368659895</v>
      </c>
      <c r="E148" s="353">
        <f t="shared" si="40"/>
        <v>-220558.36726016598</v>
      </c>
      <c r="F148" s="352">
        <v>20661.518720159998</v>
      </c>
      <c r="G148" s="354">
        <f t="shared" si="37"/>
        <v>-10.674838101081178</v>
      </c>
      <c r="I148" s="355">
        <f t="shared" si="35"/>
        <v>160</v>
      </c>
      <c r="J148" s="349">
        <f t="shared" si="41"/>
        <v>2037</v>
      </c>
      <c r="K148" s="203">
        <f t="shared" si="33"/>
        <v>50131</v>
      </c>
      <c r="V148" s="330" t="str">
        <f t="shared" si="36"/>
        <v>Winter</v>
      </c>
      <c r="AA148" s="350">
        <f t="shared" si="38"/>
        <v>2.18E-2</v>
      </c>
      <c r="AB148" s="351">
        <f t="shared" si="42"/>
        <v>0</v>
      </c>
    </row>
    <row r="149" spans="2:28" ht="17.45" hidden="1" customHeight="1" outlineLevel="1">
      <c r="B149" s="203">
        <f t="shared" si="39"/>
        <v>50161</v>
      </c>
      <c r="C149" s="352">
        <v>-501560.89547476586</v>
      </c>
      <c r="D149" s="353">
        <f>IF(ISNUMBER($F149),VLOOKUP($J149,'Table 1'!$B$13:$C$37,2,FALSE)/12*1000*Study_MW,"")</f>
        <v>689314.36368659895</v>
      </c>
      <c r="E149" s="353">
        <f t="shared" si="40"/>
        <v>187753.4682118331</v>
      </c>
      <c r="F149" s="352">
        <v>22464.29332414001</v>
      </c>
      <c r="G149" s="354">
        <f t="shared" si="37"/>
        <v>8.3578622083817891</v>
      </c>
      <c r="I149" s="355">
        <f t="shared" si="35"/>
        <v>161</v>
      </c>
      <c r="J149" s="349">
        <f t="shared" si="41"/>
        <v>2037</v>
      </c>
      <c r="K149" s="203">
        <f t="shared" si="33"/>
        <v>50161</v>
      </c>
      <c r="V149" s="330" t="str">
        <f t="shared" si="36"/>
        <v>Summer</v>
      </c>
      <c r="AA149" s="350">
        <f t="shared" si="38"/>
        <v>2.18E-2</v>
      </c>
      <c r="AB149" s="351">
        <f t="shared" si="42"/>
        <v>0</v>
      </c>
    </row>
    <row r="150" spans="2:28" ht="17.45" hidden="1" customHeight="1" outlineLevel="1">
      <c r="B150" s="203">
        <f t="shared" si="39"/>
        <v>50192</v>
      </c>
      <c r="C150" s="352">
        <v>-605632.98116449732</v>
      </c>
      <c r="D150" s="353">
        <f>IF(ISNUMBER($F150),VLOOKUP($J150,'Table 1'!$B$13:$C$37,2,FALSE)/12*1000*Study_MW,"")</f>
        <v>689314.36368659895</v>
      </c>
      <c r="E150" s="353">
        <f t="shared" si="40"/>
        <v>83681.38252210163</v>
      </c>
      <c r="F150" s="352">
        <v>21524.017336009998</v>
      </c>
      <c r="G150" s="354">
        <f t="shared" si="37"/>
        <v>3.8878143060264798</v>
      </c>
      <c r="I150" s="355">
        <f t="shared" si="35"/>
        <v>162</v>
      </c>
      <c r="J150" s="349">
        <f t="shared" si="41"/>
        <v>2037</v>
      </c>
      <c r="K150" s="203">
        <f t="shared" si="33"/>
        <v>50192</v>
      </c>
      <c r="V150" s="330" t="str">
        <f t="shared" si="36"/>
        <v>Summer</v>
      </c>
      <c r="AA150" s="350">
        <f t="shared" si="38"/>
        <v>2.18E-2</v>
      </c>
      <c r="AB150" s="351">
        <f t="shared" si="42"/>
        <v>0</v>
      </c>
    </row>
    <row r="151" spans="2:28" ht="17.45" hidden="1" customHeight="1" outlineLevel="1">
      <c r="B151" s="203">
        <f t="shared" si="39"/>
        <v>50222</v>
      </c>
      <c r="C151" s="352">
        <v>-348363.31099550443</v>
      </c>
      <c r="D151" s="353">
        <f>IF(ISNUMBER($F151),VLOOKUP($J151,'Table 1'!$B$13:$C$37,2,FALSE)/12*1000*Study_MW,"")</f>
        <v>689314.36368659895</v>
      </c>
      <c r="E151" s="353">
        <f t="shared" si="40"/>
        <v>340951.05269109452</v>
      </c>
      <c r="F151" s="352">
        <v>15147.51103519</v>
      </c>
      <c r="G151" s="354">
        <f t="shared" si="37"/>
        <v>22.508717894247624</v>
      </c>
      <c r="I151" s="355">
        <f t="shared" si="35"/>
        <v>163</v>
      </c>
      <c r="J151" s="349">
        <f t="shared" si="41"/>
        <v>2037</v>
      </c>
      <c r="K151" s="203">
        <f t="shared" si="33"/>
        <v>50222</v>
      </c>
      <c r="V151" s="330" t="str">
        <f t="shared" si="36"/>
        <v>Summer</v>
      </c>
      <c r="AA151" s="350">
        <f t="shared" si="38"/>
        <v>2.18E-2</v>
      </c>
      <c r="AB151" s="351">
        <f t="shared" si="42"/>
        <v>0</v>
      </c>
    </row>
    <row r="152" spans="2:28" ht="17.45" hidden="1" customHeight="1" outlineLevel="1">
      <c r="B152" s="203">
        <f t="shared" si="39"/>
        <v>50253</v>
      </c>
      <c r="C152" s="352">
        <v>-512970.01800224464</v>
      </c>
      <c r="D152" s="353">
        <f>IF(ISNUMBER($F152),VLOOKUP($J152,'Table 1'!$B$13:$C$37,2,FALSE)/12*1000*Study_MW,"")</f>
        <v>689314.36368659895</v>
      </c>
      <c r="E152" s="353">
        <f t="shared" si="40"/>
        <v>176344.34568435431</v>
      </c>
      <c r="F152" s="352">
        <v>12548.558045939999</v>
      </c>
      <c r="G152" s="354">
        <f t="shared" si="37"/>
        <v>14.052956924513676</v>
      </c>
      <c r="I152" s="355">
        <f t="shared" si="35"/>
        <v>164</v>
      </c>
      <c r="J152" s="349">
        <f t="shared" si="41"/>
        <v>2037</v>
      </c>
      <c r="K152" s="203">
        <f t="shared" si="33"/>
        <v>50253</v>
      </c>
      <c r="V152" s="330" t="str">
        <f t="shared" si="36"/>
        <v>Summer</v>
      </c>
      <c r="AA152" s="350">
        <f t="shared" si="38"/>
        <v>2.18E-2</v>
      </c>
      <c r="AB152" s="351">
        <f t="shared" si="42"/>
        <v>0</v>
      </c>
    </row>
    <row r="153" spans="2:28" ht="17.45" hidden="1" customHeight="1" outlineLevel="1">
      <c r="B153" s="203">
        <f t="shared" si="39"/>
        <v>50284</v>
      </c>
      <c r="C153" s="352">
        <v>-358230.52458455274</v>
      </c>
      <c r="D153" s="353">
        <f>IF(ISNUMBER($F153),VLOOKUP($J153,'Table 1'!$B$13:$C$37,2,FALSE)/12*1000*Study_MW,"")</f>
        <v>689314.36368659895</v>
      </c>
      <c r="E153" s="353">
        <f t="shared" si="40"/>
        <v>331083.83910204621</v>
      </c>
      <c r="F153" s="352">
        <v>12296.434959349997</v>
      </c>
      <c r="G153" s="354">
        <f t="shared" si="37"/>
        <v>26.925189308653707</v>
      </c>
      <c r="I153" s="355">
        <f t="shared" si="35"/>
        <v>165</v>
      </c>
      <c r="J153" s="349">
        <f t="shared" si="41"/>
        <v>2037</v>
      </c>
      <c r="K153" s="203">
        <f t="shared" si="33"/>
        <v>50284</v>
      </c>
      <c r="V153" s="330" t="str">
        <f t="shared" si="36"/>
        <v>Winter</v>
      </c>
      <c r="AA153" s="350">
        <f t="shared" si="38"/>
        <v>2.18E-2</v>
      </c>
      <c r="AB153" s="351">
        <f t="shared" si="42"/>
        <v>0</v>
      </c>
    </row>
    <row r="154" spans="2:28" ht="17.45" hidden="1" customHeight="1" outlineLevel="1">
      <c r="B154" s="203">
        <f t="shared" si="39"/>
        <v>50314</v>
      </c>
      <c r="C154" s="352">
        <v>-1172761.1671779668</v>
      </c>
      <c r="D154" s="353">
        <f>IF(ISNUMBER($F154),VLOOKUP($J154,'Table 1'!$B$13:$C$37,2,FALSE)/12*1000*Study_MW,"")</f>
        <v>689314.36368659895</v>
      </c>
      <c r="E154" s="353">
        <f t="shared" si="40"/>
        <v>-483446.80349136784</v>
      </c>
      <c r="F154" s="352">
        <v>22788.968736790001</v>
      </c>
      <c r="G154" s="354">
        <f t="shared" si="37"/>
        <v>-21.214071118141565</v>
      </c>
      <c r="I154" s="355">
        <f t="shared" si="35"/>
        <v>166</v>
      </c>
      <c r="J154" s="349">
        <f t="shared" si="41"/>
        <v>2037</v>
      </c>
      <c r="K154" s="203">
        <f t="shared" ref="K154:K192" si="43">IF(ISNUMBER(F154),IF(F154&lt;&gt;0,B154,""),"")</f>
        <v>50314</v>
      </c>
      <c r="V154" s="330" t="str">
        <f t="shared" si="36"/>
        <v>Winter</v>
      </c>
      <c r="AA154" s="350">
        <f t="shared" si="38"/>
        <v>2.18E-2</v>
      </c>
      <c r="AB154" s="351">
        <f t="shared" si="42"/>
        <v>0</v>
      </c>
    </row>
    <row r="155" spans="2:28" ht="17.45" hidden="1" customHeight="1" outlineLevel="1">
      <c r="B155" s="203">
        <f t="shared" si="39"/>
        <v>50345</v>
      </c>
      <c r="C155" s="352">
        <v>-1248913.9243115496</v>
      </c>
      <c r="D155" s="353">
        <f>IF(ISNUMBER($F155),VLOOKUP($J155,'Table 1'!$B$13:$C$37,2,FALSE)/12*1000*Study_MW,"")</f>
        <v>689314.36368659895</v>
      </c>
      <c r="E155" s="353">
        <f t="shared" si="40"/>
        <v>-559599.56062495068</v>
      </c>
      <c r="F155" s="352">
        <v>13895.100906430001</v>
      </c>
      <c r="G155" s="354">
        <f t="shared" si="37"/>
        <v>-40.273155581475066</v>
      </c>
      <c r="I155" s="355">
        <f t="shared" si="35"/>
        <v>167</v>
      </c>
      <c r="J155" s="349">
        <f t="shared" si="41"/>
        <v>2037</v>
      </c>
      <c r="K155" s="203">
        <f t="shared" si="43"/>
        <v>50345</v>
      </c>
      <c r="V155" s="330" t="str">
        <f t="shared" si="36"/>
        <v>Winter</v>
      </c>
      <c r="AA155" s="350">
        <f t="shared" si="38"/>
        <v>2.18E-2</v>
      </c>
      <c r="AB155" s="351">
        <f t="shared" si="42"/>
        <v>0</v>
      </c>
    </row>
    <row r="156" spans="2:28" ht="17.45" hidden="1" customHeight="1" outlineLevel="1">
      <c r="B156" s="204">
        <f t="shared" si="39"/>
        <v>50375</v>
      </c>
      <c r="C156" s="359">
        <v>-2027684.7278848195</v>
      </c>
      <c r="D156" s="360">
        <f>IF(ISNUMBER($F156),VLOOKUP($J156,'Table 1'!$B$13:$C$37,2,FALSE)/12*1000*Study_MW,"")</f>
        <v>689314.36368659895</v>
      </c>
      <c r="E156" s="360">
        <f t="shared" si="40"/>
        <v>-1338370.3641982204</v>
      </c>
      <c r="F156" s="359">
        <v>15313.756105619334</v>
      </c>
      <c r="G156" s="361">
        <f t="shared" si="37"/>
        <v>-87.396609621274408</v>
      </c>
      <c r="I156" s="362">
        <f t="shared" si="35"/>
        <v>168</v>
      </c>
      <c r="J156" s="349">
        <f t="shared" si="41"/>
        <v>2037</v>
      </c>
      <c r="K156" s="204">
        <f t="shared" si="43"/>
        <v>50375</v>
      </c>
      <c r="V156" s="330" t="str">
        <f t="shared" si="36"/>
        <v>Winter</v>
      </c>
      <c r="AA156" s="350">
        <f t="shared" si="38"/>
        <v>2.18E-2</v>
      </c>
      <c r="AB156" s="351">
        <f t="shared" si="42"/>
        <v>0</v>
      </c>
    </row>
    <row r="157" spans="2:28" ht="17.45" hidden="1" customHeight="1" outlineLevel="1">
      <c r="B157" s="202">
        <f t="shared" si="39"/>
        <v>50406</v>
      </c>
      <c r="C157" s="343">
        <v>-1377676.4060585266</v>
      </c>
      <c r="D157" s="344">
        <f>IF(ISNUMBER($F157),VLOOKUP($J157,'Table 1'!$B$13:$C$37,2,FALSE)/12*1000*Study_MW,"")</f>
        <v>704341.41698120232</v>
      </c>
      <c r="E157" s="345">
        <f t="shared" si="40"/>
        <v>-673334.98907732428</v>
      </c>
      <c r="F157" s="346">
        <v>18859.187018470002</v>
      </c>
      <c r="G157" s="347">
        <f t="shared" si="37"/>
        <v>-35.703288186170724</v>
      </c>
      <c r="I157" s="363">
        <f t="shared" si="35"/>
        <v>170</v>
      </c>
      <c r="J157" s="349">
        <f t="shared" si="41"/>
        <v>2038</v>
      </c>
      <c r="K157" s="202">
        <f t="shared" si="43"/>
        <v>50406</v>
      </c>
      <c r="V157" s="330" t="str">
        <f t="shared" si="36"/>
        <v>Winter</v>
      </c>
      <c r="AA157" s="350">
        <f t="shared" si="38"/>
        <v>2.18E-2</v>
      </c>
      <c r="AB157" s="351">
        <f t="shared" si="42"/>
        <v>0</v>
      </c>
    </row>
    <row r="158" spans="2:28" ht="17.45" hidden="1" customHeight="1" outlineLevel="1">
      <c r="B158" s="203">
        <f t="shared" si="39"/>
        <v>50437</v>
      </c>
      <c r="C158" s="352">
        <v>-560308.9661080339</v>
      </c>
      <c r="D158" s="353">
        <f>IF(ISNUMBER($F158),VLOOKUP($J158,'Table 1'!$B$13:$C$37,2,FALSE)/12*1000*Study_MW,"")</f>
        <v>704341.41698120232</v>
      </c>
      <c r="E158" s="353">
        <f t="shared" si="40"/>
        <v>144032.45087316842</v>
      </c>
      <c r="F158" s="352">
        <v>19028.330878009998</v>
      </c>
      <c r="G158" s="354">
        <f t="shared" si="37"/>
        <v>7.569368632307043</v>
      </c>
      <c r="I158" s="355">
        <f t="shared" si="35"/>
        <v>171</v>
      </c>
      <c r="J158" s="349">
        <f t="shared" si="41"/>
        <v>2038</v>
      </c>
      <c r="K158" s="203">
        <f t="shared" si="43"/>
        <v>50437</v>
      </c>
      <c r="V158" s="330" t="str">
        <f t="shared" si="36"/>
        <v>Winter</v>
      </c>
      <c r="AA158" s="350">
        <f t="shared" si="38"/>
        <v>2.18E-2</v>
      </c>
      <c r="AB158" s="351">
        <f t="shared" si="42"/>
        <v>0</v>
      </c>
    </row>
    <row r="159" spans="2:28" ht="17.45" hidden="1" customHeight="1" outlineLevel="1">
      <c r="B159" s="203">
        <f t="shared" si="39"/>
        <v>50465</v>
      </c>
      <c r="C159" s="352">
        <v>-953770.90560620127</v>
      </c>
      <c r="D159" s="353">
        <f>IF(ISNUMBER($F159),VLOOKUP($J159,'Table 1'!$B$13:$C$37,2,FALSE)/12*1000*Study_MW,"")</f>
        <v>704341.41698120232</v>
      </c>
      <c r="E159" s="353">
        <f t="shared" si="40"/>
        <v>-249429.48862499895</v>
      </c>
      <c r="F159" s="352">
        <v>18220.792456949996</v>
      </c>
      <c r="G159" s="354">
        <f t="shared" si="37"/>
        <v>-13.689277742135662</v>
      </c>
      <c r="I159" s="355">
        <f t="shared" si="35"/>
        <v>172</v>
      </c>
      <c r="J159" s="349">
        <f t="shared" si="41"/>
        <v>2038</v>
      </c>
      <c r="K159" s="203">
        <f t="shared" si="43"/>
        <v>50465</v>
      </c>
      <c r="V159" s="330" t="str">
        <f t="shared" si="36"/>
        <v>Winter</v>
      </c>
      <c r="AA159" s="350">
        <f t="shared" si="38"/>
        <v>2.18E-2</v>
      </c>
      <c r="AB159" s="351">
        <f t="shared" si="42"/>
        <v>0</v>
      </c>
    </row>
    <row r="160" spans="2:28" ht="17.45" hidden="1" customHeight="1" outlineLevel="1">
      <c r="B160" s="203">
        <f t="shared" si="39"/>
        <v>50496</v>
      </c>
      <c r="C160" s="352">
        <v>-972054.5325667772</v>
      </c>
      <c r="D160" s="353">
        <f>IF(ISNUMBER($F160),VLOOKUP($J160,'Table 1'!$B$13:$C$37,2,FALSE)/12*1000*Study_MW,"")</f>
        <v>704341.41698120232</v>
      </c>
      <c r="E160" s="353">
        <f t="shared" si="40"/>
        <v>-267713.11558557488</v>
      </c>
      <c r="F160" s="352">
        <v>21563.636811889999</v>
      </c>
      <c r="G160" s="354">
        <f t="shared" si="37"/>
        <v>-12.415026181388857</v>
      </c>
      <c r="I160" s="355">
        <f t="shared" si="35"/>
        <v>173</v>
      </c>
      <c r="J160" s="349">
        <f t="shared" si="41"/>
        <v>2038</v>
      </c>
      <c r="K160" s="203">
        <f t="shared" si="43"/>
        <v>50496</v>
      </c>
      <c r="V160" s="330" t="str">
        <f t="shared" si="36"/>
        <v>Winter</v>
      </c>
      <c r="AA160" s="350">
        <f t="shared" si="38"/>
        <v>2.18E-2</v>
      </c>
      <c r="AB160" s="351">
        <f t="shared" si="42"/>
        <v>0</v>
      </c>
    </row>
    <row r="161" spans="2:28" ht="17.45" hidden="1" customHeight="1" outlineLevel="1">
      <c r="B161" s="203">
        <f t="shared" si="39"/>
        <v>50526</v>
      </c>
      <c r="C161" s="352">
        <v>-471069.20631582034</v>
      </c>
      <c r="D161" s="353">
        <f>IF(ISNUMBER($F161),VLOOKUP($J161,'Table 1'!$B$13:$C$37,2,FALSE)/12*1000*Study_MW,"")</f>
        <v>704341.41698120232</v>
      </c>
      <c r="E161" s="353">
        <f t="shared" si="40"/>
        <v>233272.21066538198</v>
      </c>
      <c r="F161" s="352">
        <v>22851.848039540004</v>
      </c>
      <c r="G161" s="354">
        <f t="shared" si="37"/>
        <v>10.208023887685437</v>
      </c>
      <c r="I161" s="355">
        <f t="shared" si="35"/>
        <v>174</v>
      </c>
      <c r="J161" s="349">
        <f t="shared" si="41"/>
        <v>2038</v>
      </c>
      <c r="K161" s="203">
        <f t="shared" si="43"/>
        <v>50526</v>
      </c>
      <c r="V161" s="330" t="str">
        <f t="shared" si="36"/>
        <v>Summer</v>
      </c>
      <c r="AA161" s="350">
        <f t="shared" si="38"/>
        <v>2.18E-2</v>
      </c>
      <c r="AB161" s="351">
        <f t="shared" si="42"/>
        <v>0</v>
      </c>
    </row>
    <row r="162" spans="2:28" ht="17.45" hidden="1" customHeight="1" outlineLevel="1">
      <c r="B162" s="203">
        <f t="shared" si="39"/>
        <v>50557</v>
      </c>
      <c r="C162" s="352">
        <v>-593578.59102908697</v>
      </c>
      <c r="D162" s="353">
        <f>IF(ISNUMBER($F162),VLOOKUP($J162,'Table 1'!$B$13:$C$37,2,FALSE)/12*1000*Study_MW,"")</f>
        <v>704341.41698120232</v>
      </c>
      <c r="E162" s="353">
        <f t="shared" si="40"/>
        <v>110762.82595211535</v>
      </c>
      <c r="F162" s="352">
        <v>21964.394641799998</v>
      </c>
      <c r="G162" s="354">
        <f t="shared" si="37"/>
        <v>5.0428353596108151</v>
      </c>
      <c r="I162" s="355">
        <f t="shared" si="35"/>
        <v>175</v>
      </c>
      <c r="J162" s="349">
        <f t="shared" si="41"/>
        <v>2038</v>
      </c>
      <c r="K162" s="203">
        <f t="shared" si="43"/>
        <v>50557</v>
      </c>
      <c r="V162" s="330" t="str">
        <f t="shared" si="36"/>
        <v>Summer</v>
      </c>
      <c r="AA162" s="350">
        <f t="shared" si="38"/>
        <v>2.18E-2</v>
      </c>
      <c r="AB162" s="351">
        <f t="shared" si="42"/>
        <v>0</v>
      </c>
    </row>
    <row r="163" spans="2:28" ht="17.45" hidden="1" customHeight="1" outlineLevel="1">
      <c r="B163" s="203">
        <f t="shared" si="39"/>
        <v>50587</v>
      </c>
      <c r="C163" s="352">
        <v>-333858.29937958985</v>
      </c>
      <c r="D163" s="353">
        <f>IF(ISNUMBER($F163),VLOOKUP($J163,'Table 1'!$B$13:$C$37,2,FALSE)/12*1000*Study_MW,"")</f>
        <v>704341.41698120232</v>
      </c>
      <c r="E163" s="353">
        <f t="shared" si="40"/>
        <v>370483.11760161247</v>
      </c>
      <c r="F163" s="352">
        <v>13744.05520639</v>
      </c>
      <c r="G163" s="354">
        <f t="shared" si="37"/>
        <v>26.955881072812076</v>
      </c>
      <c r="I163" s="355">
        <f t="shared" si="35"/>
        <v>176</v>
      </c>
      <c r="J163" s="349">
        <f t="shared" si="41"/>
        <v>2038</v>
      </c>
      <c r="K163" s="203">
        <f t="shared" si="43"/>
        <v>50587</v>
      </c>
      <c r="V163" s="330" t="str">
        <f t="shared" si="36"/>
        <v>Summer</v>
      </c>
      <c r="AA163" s="350">
        <f t="shared" si="38"/>
        <v>2.18E-2</v>
      </c>
      <c r="AB163" s="351">
        <f t="shared" si="42"/>
        <v>0</v>
      </c>
    </row>
    <row r="164" spans="2:28" ht="17.45" hidden="1" customHeight="1" outlineLevel="1">
      <c r="B164" s="203">
        <f t="shared" si="39"/>
        <v>50618</v>
      </c>
      <c r="C164" s="352">
        <v>-540997.64708280424</v>
      </c>
      <c r="D164" s="353">
        <f>IF(ISNUMBER($F164),VLOOKUP($J164,'Table 1'!$B$13:$C$37,2,FALSE)/12*1000*Study_MW,"")</f>
        <v>704341.41698120232</v>
      </c>
      <c r="E164" s="353">
        <f t="shared" si="40"/>
        <v>163343.76989839808</v>
      </c>
      <c r="F164" s="352">
        <v>12918.0700767</v>
      </c>
      <c r="G164" s="354">
        <f t="shared" si="37"/>
        <v>12.644595433261905</v>
      </c>
      <c r="I164" s="355">
        <f t="shared" si="35"/>
        <v>177</v>
      </c>
      <c r="J164" s="349">
        <f t="shared" si="41"/>
        <v>2038</v>
      </c>
      <c r="K164" s="203">
        <f t="shared" si="43"/>
        <v>50618</v>
      </c>
      <c r="V164" s="330" t="str">
        <f t="shared" si="36"/>
        <v>Summer</v>
      </c>
      <c r="AA164" s="350">
        <f t="shared" si="38"/>
        <v>2.18E-2</v>
      </c>
      <c r="AB164" s="351">
        <f t="shared" si="42"/>
        <v>0</v>
      </c>
    </row>
    <row r="165" spans="2:28" ht="17.45" hidden="1" customHeight="1" outlineLevel="1">
      <c r="B165" s="203">
        <f t="shared" si="39"/>
        <v>50649</v>
      </c>
      <c r="C165" s="352">
        <v>-373022.97097565315</v>
      </c>
      <c r="D165" s="353">
        <f>IF(ISNUMBER($F165),VLOOKUP($J165,'Table 1'!$B$13:$C$37,2,FALSE)/12*1000*Study_MW,"")</f>
        <v>704341.41698120232</v>
      </c>
      <c r="E165" s="353">
        <f t="shared" si="40"/>
        <v>331318.44600554917</v>
      </c>
      <c r="F165" s="352">
        <v>11871.487103879999</v>
      </c>
      <c r="G165" s="354">
        <f t="shared" si="37"/>
        <v>27.908756763696708</v>
      </c>
      <c r="I165" s="355">
        <f t="shared" si="35"/>
        <v>178</v>
      </c>
      <c r="J165" s="349">
        <f t="shared" si="41"/>
        <v>2038</v>
      </c>
      <c r="K165" s="203">
        <f t="shared" si="43"/>
        <v>50649</v>
      </c>
      <c r="V165" s="330" t="str">
        <f t="shared" si="36"/>
        <v>Winter</v>
      </c>
      <c r="AA165" s="350">
        <f t="shared" si="38"/>
        <v>2.18E-2</v>
      </c>
      <c r="AB165" s="351">
        <f t="shared" si="42"/>
        <v>0</v>
      </c>
    </row>
    <row r="166" spans="2:28" ht="17.45" hidden="1" customHeight="1" outlineLevel="1">
      <c r="B166" s="203">
        <f t="shared" si="39"/>
        <v>50679</v>
      </c>
      <c r="C166" s="352">
        <v>-1182749.422753681</v>
      </c>
      <c r="D166" s="353">
        <f>IF(ISNUMBER($F166),VLOOKUP($J166,'Table 1'!$B$13:$C$37,2,FALSE)/12*1000*Study_MW,"")</f>
        <v>704341.41698120232</v>
      </c>
      <c r="E166" s="353">
        <f t="shared" si="40"/>
        <v>-478408.00577247865</v>
      </c>
      <c r="F166" s="352">
        <v>23100.34310405</v>
      </c>
      <c r="G166" s="354">
        <f t="shared" si="37"/>
        <v>-20.709995674852255</v>
      </c>
      <c r="I166" s="355">
        <f t="shared" si="35"/>
        <v>179</v>
      </c>
      <c r="J166" s="349">
        <f t="shared" si="41"/>
        <v>2038</v>
      </c>
      <c r="K166" s="203">
        <f t="shared" si="43"/>
        <v>50679</v>
      </c>
      <c r="V166" s="330" t="str">
        <f t="shared" si="36"/>
        <v>Winter</v>
      </c>
      <c r="AA166" s="350">
        <f t="shared" si="38"/>
        <v>2.18E-2</v>
      </c>
      <c r="AB166" s="351">
        <f t="shared" si="42"/>
        <v>0</v>
      </c>
    </row>
    <row r="167" spans="2:28" ht="17.45" hidden="1" customHeight="1" outlineLevel="1">
      <c r="B167" s="203">
        <f t="shared" si="39"/>
        <v>50710</v>
      </c>
      <c r="C167" s="352">
        <v>-1243534.6866629915</v>
      </c>
      <c r="D167" s="353">
        <f>IF(ISNUMBER($F167),VLOOKUP($J167,'Table 1'!$B$13:$C$37,2,FALSE)/12*1000*Study_MW,"")</f>
        <v>704341.41698120232</v>
      </c>
      <c r="E167" s="353">
        <f t="shared" si="40"/>
        <v>-539193.26968178921</v>
      </c>
      <c r="F167" s="352">
        <v>13580.216540810003</v>
      </c>
      <c r="G167" s="354">
        <f t="shared" si="37"/>
        <v>-39.704320476883105</v>
      </c>
      <c r="I167" s="355">
        <f t="shared" si="35"/>
        <v>180</v>
      </c>
      <c r="J167" s="349">
        <f t="shared" si="41"/>
        <v>2038</v>
      </c>
      <c r="K167" s="203">
        <f t="shared" si="43"/>
        <v>50710</v>
      </c>
      <c r="V167" s="330" t="str">
        <f t="shared" si="36"/>
        <v>Winter</v>
      </c>
      <c r="AA167" s="350">
        <f t="shared" si="38"/>
        <v>2.18E-2</v>
      </c>
      <c r="AB167" s="351">
        <f t="shared" si="42"/>
        <v>0</v>
      </c>
    </row>
    <row r="168" spans="2:28" ht="17.45" hidden="1" customHeight="1" outlineLevel="1">
      <c r="B168" s="204">
        <f t="shared" si="39"/>
        <v>50740</v>
      </c>
      <c r="C168" s="359">
        <v>-1924985.5271174449</v>
      </c>
      <c r="D168" s="360">
        <f>IF(ISNUMBER($F168),VLOOKUP($J168,'Table 1'!$B$13:$C$37,2,FALSE)/12*1000*Study_MW,"")</f>
        <v>704341.41698120232</v>
      </c>
      <c r="E168" s="360">
        <f t="shared" si="40"/>
        <v>-1220644.1101362426</v>
      </c>
      <c r="F168" s="359">
        <v>15022.586759166337</v>
      </c>
      <c r="G168" s="361">
        <f t="shared" si="37"/>
        <v>-81.253923156172931</v>
      </c>
      <c r="I168" s="362">
        <f t="shared" si="35"/>
        <v>181</v>
      </c>
      <c r="J168" s="349">
        <f t="shared" si="41"/>
        <v>2038</v>
      </c>
      <c r="K168" s="204">
        <f t="shared" si="43"/>
        <v>50740</v>
      </c>
      <c r="V168" s="330" t="str">
        <f t="shared" si="36"/>
        <v>Winter</v>
      </c>
      <c r="AA168" s="350">
        <f t="shared" si="38"/>
        <v>2.18E-2</v>
      </c>
      <c r="AB168" s="351">
        <f t="shared" si="42"/>
        <v>0</v>
      </c>
    </row>
    <row r="169" spans="2:28" ht="17.45" hidden="1" customHeight="1" outlineLevel="1">
      <c r="B169" s="202">
        <f t="shared" si="39"/>
        <v>50771</v>
      </c>
      <c r="C169" s="343">
        <v>115364.58130354367</v>
      </c>
      <c r="D169" s="344">
        <f>IF(ISNUMBER($F169),VLOOKUP($J169,'Table 1'!$B$13:$C$37,2,FALSE)/12*1000*Study_MW,"")</f>
        <v>719696.05974859081</v>
      </c>
      <c r="E169" s="345">
        <f t="shared" si="40"/>
        <v>835060.64105213445</v>
      </c>
      <c r="F169" s="346">
        <v>19018.897428480002</v>
      </c>
      <c r="G169" s="347">
        <f t="shared" si="37"/>
        <v>43.906890196571865</v>
      </c>
      <c r="I169" s="363">
        <f t="shared" si="35"/>
        <v>183</v>
      </c>
      <c r="J169" s="349">
        <f t="shared" si="41"/>
        <v>2039</v>
      </c>
      <c r="K169" s="202">
        <f t="shared" si="43"/>
        <v>50771</v>
      </c>
      <c r="V169" s="330" t="str">
        <f t="shared" si="36"/>
        <v>Winter</v>
      </c>
      <c r="AA169" s="350">
        <f t="shared" si="38"/>
        <v>2.18E-2</v>
      </c>
      <c r="AB169" s="351">
        <f t="shared" si="42"/>
        <v>0</v>
      </c>
    </row>
    <row r="170" spans="2:28" ht="17.45" hidden="1" customHeight="1" outlineLevel="1">
      <c r="B170" s="203">
        <f t="shared" si="39"/>
        <v>50802</v>
      </c>
      <c r="C170" s="352">
        <v>329496.98372680723</v>
      </c>
      <c r="D170" s="353">
        <f>IF(ISNUMBER($F170),VLOOKUP($J170,'Table 1'!$B$13:$C$37,2,FALSE)/12*1000*Study_MW,"")</f>
        <v>719696.05974859081</v>
      </c>
      <c r="E170" s="353">
        <f t="shared" si="40"/>
        <v>1049193.0434753981</v>
      </c>
      <c r="F170" s="352">
        <v>19008.25200674</v>
      </c>
      <c r="G170" s="354">
        <f t="shared" si="37"/>
        <v>55.196713674848809</v>
      </c>
      <c r="I170" s="355">
        <f t="shared" si="35"/>
        <v>184</v>
      </c>
      <c r="J170" s="349">
        <f t="shared" si="41"/>
        <v>2039</v>
      </c>
      <c r="K170" s="203">
        <f t="shared" si="43"/>
        <v>50802</v>
      </c>
      <c r="V170" s="330" t="str">
        <f t="shared" si="36"/>
        <v>Winter</v>
      </c>
      <c r="AA170" s="350">
        <f t="shared" si="38"/>
        <v>2.18E-2</v>
      </c>
      <c r="AB170" s="351">
        <f t="shared" si="42"/>
        <v>0</v>
      </c>
    </row>
    <row r="171" spans="2:28" ht="17.45" hidden="1" customHeight="1" outlineLevel="1">
      <c r="B171" s="203">
        <f t="shared" si="39"/>
        <v>50830</v>
      </c>
      <c r="C171" s="352">
        <v>59434.535125845287</v>
      </c>
      <c r="D171" s="353">
        <f>IF(ISNUMBER($F171),VLOOKUP($J171,'Table 1'!$B$13:$C$37,2,FALSE)/12*1000*Study_MW,"")</f>
        <v>719696.05974859081</v>
      </c>
      <c r="E171" s="353">
        <f t="shared" si="40"/>
        <v>779130.59487443604</v>
      </c>
      <c r="F171" s="352">
        <v>17956.003675159998</v>
      </c>
      <c r="G171" s="354">
        <f t="shared" si="37"/>
        <v>43.391091301249332</v>
      </c>
      <c r="I171" s="355">
        <f t="shared" si="35"/>
        <v>185</v>
      </c>
      <c r="J171" s="349">
        <f t="shared" si="41"/>
        <v>2039</v>
      </c>
      <c r="K171" s="203">
        <f t="shared" si="43"/>
        <v>50830</v>
      </c>
      <c r="V171" s="330" t="str">
        <f t="shared" si="36"/>
        <v>Winter</v>
      </c>
      <c r="AA171" s="350">
        <f t="shared" si="38"/>
        <v>2.18E-2</v>
      </c>
      <c r="AB171" s="351">
        <f t="shared" si="42"/>
        <v>0</v>
      </c>
    </row>
    <row r="172" spans="2:28" ht="17.45" hidden="1" customHeight="1" outlineLevel="1">
      <c r="B172" s="203">
        <f t="shared" si="39"/>
        <v>50861</v>
      </c>
      <c r="C172" s="352">
        <v>59292.199450472253</v>
      </c>
      <c r="D172" s="353">
        <f>IF(ISNUMBER($F172),VLOOKUP($J172,'Table 1'!$B$13:$C$37,2,FALSE)/12*1000*Study_MW,"")</f>
        <v>719696.05974859081</v>
      </c>
      <c r="E172" s="353">
        <f t="shared" si="40"/>
        <v>778988.25919906306</v>
      </c>
      <c r="F172" s="352">
        <v>22296.220530250001</v>
      </c>
      <c r="G172" s="354">
        <f t="shared" si="37"/>
        <v>34.938130350037781</v>
      </c>
      <c r="I172" s="355">
        <f t="shared" si="35"/>
        <v>186</v>
      </c>
      <c r="J172" s="349">
        <f t="shared" si="41"/>
        <v>2039</v>
      </c>
      <c r="K172" s="203">
        <f t="shared" si="43"/>
        <v>50861</v>
      </c>
      <c r="V172" s="330" t="str">
        <f t="shared" si="36"/>
        <v>Winter</v>
      </c>
      <c r="AA172" s="350">
        <f t="shared" si="38"/>
        <v>2.18E-2</v>
      </c>
      <c r="AB172" s="351">
        <f t="shared" si="42"/>
        <v>0</v>
      </c>
    </row>
    <row r="173" spans="2:28" ht="17.45" hidden="1" customHeight="1" outlineLevel="1">
      <c r="B173" s="203">
        <f t="shared" si="39"/>
        <v>50891</v>
      </c>
      <c r="C173" s="352">
        <v>151617.12727214035</v>
      </c>
      <c r="D173" s="353">
        <f>IF(ISNUMBER($F173),VLOOKUP($J173,'Table 1'!$B$13:$C$37,2,FALSE)/12*1000*Study_MW,"")</f>
        <v>719696.05974859081</v>
      </c>
      <c r="E173" s="353">
        <f t="shared" si="40"/>
        <v>871313.18702073116</v>
      </c>
      <c r="F173" s="352">
        <v>22706.788430020009</v>
      </c>
      <c r="G173" s="354">
        <f t="shared" si="37"/>
        <v>38.372365590406098</v>
      </c>
      <c r="I173" s="355">
        <f t="shared" si="35"/>
        <v>187</v>
      </c>
      <c r="J173" s="349">
        <f t="shared" si="41"/>
        <v>2039</v>
      </c>
      <c r="K173" s="203">
        <f t="shared" si="43"/>
        <v>50891</v>
      </c>
      <c r="V173" s="330" t="str">
        <f t="shared" si="36"/>
        <v>Summer</v>
      </c>
      <c r="AA173" s="350">
        <f t="shared" si="38"/>
        <v>2.18E-2</v>
      </c>
      <c r="AB173" s="351">
        <f t="shared" si="42"/>
        <v>0</v>
      </c>
    </row>
    <row r="174" spans="2:28" ht="17.45" hidden="1" customHeight="1" outlineLevel="1">
      <c r="B174" s="203">
        <f t="shared" si="39"/>
        <v>50922</v>
      </c>
      <c r="C174" s="352">
        <v>226836.52613473532</v>
      </c>
      <c r="D174" s="353">
        <f>IF(ISNUMBER($F174),VLOOKUP($J174,'Table 1'!$B$13:$C$37,2,FALSE)/12*1000*Study_MW,"")</f>
        <v>719696.05974859081</v>
      </c>
      <c r="E174" s="353">
        <f t="shared" si="40"/>
        <v>946532.58588332613</v>
      </c>
      <c r="F174" s="352">
        <v>21745.812183619997</v>
      </c>
      <c r="G174" s="354">
        <f t="shared" si="37"/>
        <v>43.527120435460233</v>
      </c>
      <c r="I174" s="355">
        <f t="shared" si="35"/>
        <v>188</v>
      </c>
      <c r="J174" s="349">
        <f t="shared" si="41"/>
        <v>2039</v>
      </c>
      <c r="K174" s="203">
        <f t="shared" si="43"/>
        <v>50922</v>
      </c>
      <c r="V174" s="330" t="str">
        <f t="shared" si="36"/>
        <v>Summer</v>
      </c>
      <c r="AA174" s="350">
        <f t="shared" si="38"/>
        <v>2.18E-2</v>
      </c>
      <c r="AB174" s="351">
        <f t="shared" si="42"/>
        <v>0</v>
      </c>
    </row>
    <row r="175" spans="2:28" ht="17.45" hidden="1" customHeight="1" outlineLevel="1">
      <c r="B175" s="203">
        <f t="shared" si="39"/>
        <v>50952</v>
      </c>
      <c r="C175" s="352">
        <v>129374.20458513225</v>
      </c>
      <c r="D175" s="353">
        <f>IF(ISNUMBER($F175),VLOOKUP($J175,'Table 1'!$B$13:$C$37,2,FALSE)/12*1000*Study_MW,"")</f>
        <v>719696.05974859081</v>
      </c>
      <c r="E175" s="353">
        <f t="shared" si="40"/>
        <v>849070.26433372311</v>
      </c>
      <c r="F175" s="352">
        <v>13611.277785999999</v>
      </c>
      <c r="G175" s="354">
        <f t="shared" si="37"/>
        <v>62.379908608363124</v>
      </c>
      <c r="I175" s="355">
        <f t="shared" si="35"/>
        <v>189</v>
      </c>
      <c r="J175" s="349">
        <f t="shared" si="41"/>
        <v>2039</v>
      </c>
      <c r="K175" s="203">
        <f t="shared" si="43"/>
        <v>50952</v>
      </c>
      <c r="V175" s="330" t="str">
        <f t="shared" si="36"/>
        <v>Summer</v>
      </c>
      <c r="AA175" s="350">
        <f t="shared" si="38"/>
        <v>2.18E-2</v>
      </c>
      <c r="AB175" s="351">
        <f t="shared" si="42"/>
        <v>0</v>
      </c>
    </row>
    <row r="176" spans="2:28" ht="17.45" hidden="1" customHeight="1" outlineLevel="1">
      <c r="B176" s="203">
        <f t="shared" si="39"/>
        <v>50983</v>
      </c>
      <c r="C176" s="352">
        <v>82180.405333994713</v>
      </c>
      <c r="D176" s="353">
        <f>IF(ISNUMBER($F176),VLOOKUP($J176,'Table 1'!$B$13:$C$37,2,FALSE)/12*1000*Study_MW,"")</f>
        <v>719696.05974859081</v>
      </c>
      <c r="E176" s="353">
        <f t="shared" si="40"/>
        <v>801876.46508258558</v>
      </c>
      <c r="F176" s="352">
        <v>13189.19712069</v>
      </c>
      <c r="G176" s="354">
        <f t="shared" si="37"/>
        <v>60.797974110545027</v>
      </c>
      <c r="I176" s="355">
        <f t="shared" si="35"/>
        <v>190</v>
      </c>
      <c r="J176" s="349">
        <f t="shared" si="41"/>
        <v>2039</v>
      </c>
      <c r="K176" s="203">
        <f t="shared" si="43"/>
        <v>50983</v>
      </c>
      <c r="V176" s="330" t="str">
        <f t="shared" si="36"/>
        <v>Summer</v>
      </c>
      <c r="AA176" s="350">
        <f t="shared" si="38"/>
        <v>2.18E-2</v>
      </c>
      <c r="AB176" s="351">
        <f t="shared" si="42"/>
        <v>0</v>
      </c>
    </row>
    <row r="177" spans="2:28" ht="17.45" hidden="1" customHeight="1" outlineLevel="1">
      <c r="B177" s="203">
        <f t="shared" si="39"/>
        <v>51014</v>
      </c>
      <c r="C177" s="352">
        <v>134368.68665791189</v>
      </c>
      <c r="D177" s="353">
        <f>IF(ISNUMBER($F177),VLOOKUP($J177,'Table 1'!$B$13:$C$37,2,FALSE)/12*1000*Study_MW,"")</f>
        <v>719696.05974859081</v>
      </c>
      <c r="E177" s="353">
        <f t="shared" si="40"/>
        <v>854064.74640650267</v>
      </c>
      <c r="F177" s="352">
        <v>11582.931032570001</v>
      </c>
      <c r="G177" s="354">
        <f t="shared" si="37"/>
        <v>73.734769205217674</v>
      </c>
      <c r="I177" s="355">
        <f t="shared" si="35"/>
        <v>191</v>
      </c>
      <c r="J177" s="349">
        <f t="shared" si="41"/>
        <v>2039</v>
      </c>
      <c r="K177" s="203">
        <f t="shared" si="43"/>
        <v>51014</v>
      </c>
      <c r="V177" s="330" t="str">
        <f t="shared" si="36"/>
        <v>Winter</v>
      </c>
      <c r="AA177" s="350">
        <f t="shared" si="38"/>
        <v>2.18E-2</v>
      </c>
      <c r="AB177" s="351">
        <f t="shared" si="42"/>
        <v>0</v>
      </c>
    </row>
    <row r="178" spans="2:28" ht="17.45" hidden="1" customHeight="1" outlineLevel="1">
      <c r="B178" s="203">
        <f t="shared" si="39"/>
        <v>51044</v>
      </c>
      <c r="C178" s="352">
        <v>161076.90590813581</v>
      </c>
      <c r="D178" s="353">
        <f>IF(ISNUMBER($F178),VLOOKUP($J178,'Table 1'!$B$13:$C$37,2,FALSE)/12*1000*Study_MW,"")</f>
        <v>719696.05974859081</v>
      </c>
      <c r="E178" s="353">
        <f t="shared" si="40"/>
        <v>880772.96565672662</v>
      </c>
      <c r="F178" s="352">
        <v>23195.825556000003</v>
      </c>
      <c r="G178" s="354">
        <f t="shared" si="37"/>
        <v>37.9711842344365</v>
      </c>
      <c r="I178" s="355">
        <f t="shared" si="35"/>
        <v>192</v>
      </c>
      <c r="J178" s="349">
        <f t="shared" si="41"/>
        <v>2039</v>
      </c>
      <c r="K178" s="203">
        <f t="shared" si="43"/>
        <v>51044</v>
      </c>
      <c r="V178" s="330" t="str">
        <f t="shared" si="36"/>
        <v>Winter</v>
      </c>
      <c r="AA178" s="350">
        <f t="shared" si="38"/>
        <v>2.18E-2</v>
      </c>
      <c r="AB178" s="351">
        <f t="shared" si="42"/>
        <v>0</v>
      </c>
    </row>
    <row r="179" spans="2:28" ht="17.45" hidden="1" customHeight="1" outlineLevel="1">
      <c r="B179" s="203">
        <f t="shared" si="39"/>
        <v>51075</v>
      </c>
      <c r="C179" s="352">
        <v>-120507.86622694432</v>
      </c>
      <c r="D179" s="353">
        <f>IF(ISNUMBER($F179),VLOOKUP($J179,'Table 1'!$B$13:$C$37,2,FALSE)/12*1000*Study_MW,"")</f>
        <v>719696.05974859081</v>
      </c>
      <c r="E179" s="353">
        <f t="shared" si="40"/>
        <v>599188.19352164655</v>
      </c>
      <c r="F179" s="352">
        <v>14022.606174700002</v>
      </c>
      <c r="G179" s="354">
        <f t="shared" si="37"/>
        <v>42.730159148498338</v>
      </c>
      <c r="I179" s="355">
        <f t="shared" si="35"/>
        <v>193</v>
      </c>
      <c r="J179" s="349">
        <f t="shared" si="41"/>
        <v>2039</v>
      </c>
      <c r="K179" s="203">
        <f t="shared" si="43"/>
        <v>51075</v>
      </c>
      <c r="V179" s="330" t="str">
        <f t="shared" si="36"/>
        <v>Winter</v>
      </c>
      <c r="AA179" s="350">
        <f t="shared" si="38"/>
        <v>2.18E-2</v>
      </c>
      <c r="AB179" s="351">
        <f t="shared" si="42"/>
        <v>0</v>
      </c>
    </row>
    <row r="180" spans="2:28" ht="17.45" hidden="1" customHeight="1" outlineLevel="1">
      <c r="B180" s="204">
        <f t="shared" si="39"/>
        <v>51105</v>
      </c>
      <c r="C180" s="359">
        <v>-334933.28353255399</v>
      </c>
      <c r="D180" s="360">
        <f>IF(ISNUMBER($F180),VLOOKUP($J180,'Table 1'!$B$13:$C$37,2,FALSE)/12*1000*Study_MW,"")</f>
        <v>719696.05974859081</v>
      </c>
      <c r="E180" s="360">
        <f t="shared" si="40"/>
        <v>384762.77621603681</v>
      </c>
      <c r="F180" s="359">
        <v>14366.53339939067</v>
      </c>
      <c r="G180" s="361">
        <f t="shared" si="37"/>
        <v>26.781880187767204</v>
      </c>
      <c r="I180" s="362">
        <f t="shared" si="35"/>
        <v>194</v>
      </c>
      <c r="J180" s="349">
        <f t="shared" si="41"/>
        <v>2039</v>
      </c>
      <c r="K180" s="204">
        <f t="shared" si="43"/>
        <v>51105</v>
      </c>
      <c r="V180" s="330" t="str">
        <f t="shared" si="36"/>
        <v>Winter</v>
      </c>
      <c r="AA180" s="350">
        <f t="shared" si="38"/>
        <v>2.18E-2</v>
      </c>
      <c r="AB180" s="351">
        <f t="shared" si="42"/>
        <v>0</v>
      </c>
    </row>
    <row r="181" spans="2:28" ht="17.45" hidden="1" customHeight="1" outlineLevel="1">
      <c r="B181" s="202">
        <f t="shared" si="39"/>
        <v>51136</v>
      </c>
      <c r="C181" s="343">
        <v>218775.43468516888</v>
      </c>
      <c r="D181" s="344">
        <f>IF(ISNUMBER($F181),VLOOKUP($J181,'Table 1'!$B$13:$C$37,2,FALSE)/12*1000*Study_MW,"")</f>
        <v>735385.43407015363</v>
      </c>
      <c r="E181" s="345">
        <f t="shared" si="40"/>
        <v>954160.86875532253</v>
      </c>
      <c r="F181" s="346">
        <v>20415.319112959998</v>
      </c>
      <c r="G181" s="347">
        <f t="shared" si="37"/>
        <v>46.73749469581422</v>
      </c>
      <c r="I181" s="363">
        <f t="shared" si="35"/>
        <v>196</v>
      </c>
      <c r="J181" s="349">
        <f t="shared" si="41"/>
        <v>2040</v>
      </c>
      <c r="K181" s="202">
        <f t="shared" si="43"/>
        <v>51136</v>
      </c>
      <c r="V181" s="330" t="str">
        <f t="shared" si="36"/>
        <v>Winter</v>
      </c>
      <c r="AA181" s="350">
        <f t="shared" si="38"/>
        <v>2.18E-2</v>
      </c>
      <c r="AB181" s="351">
        <f t="shared" si="42"/>
        <v>0</v>
      </c>
    </row>
    <row r="182" spans="2:28" ht="17.45" hidden="1" customHeight="1" outlineLevel="1">
      <c r="B182" s="203">
        <f t="shared" si="39"/>
        <v>51167</v>
      </c>
      <c r="C182" s="352">
        <v>309153.68745892739</v>
      </c>
      <c r="D182" s="353">
        <f>IF(ISNUMBER($F182),VLOOKUP($J182,'Table 1'!$B$13:$C$37,2,FALSE)/12*1000*Study_MW,"")</f>
        <v>735385.43407015363</v>
      </c>
      <c r="E182" s="353">
        <f t="shared" si="40"/>
        <v>1044539.121529081</v>
      </c>
      <c r="F182" s="352">
        <v>18378.476628709999</v>
      </c>
      <c r="G182" s="354">
        <f t="shared" si="37"/>
        <v>56.834913068766035</v>
      </c>
      <c r="I182" s="355">
        <f t="shared" si="35"/>
        <v>197</v>
      </c>
      <c r="J182" s="349">
        <f t="shared" si="41"/>
        <v>2040</v>
      </c>
      <c r="K182" s="203">
        <f t="shared" si="43"/>
        <v>51167</v>
      </c>
      <c r="V182" s="330" t="str">
        <f t="shared" si="36"/>
        <v>Winter</v>
      </c>
      <c r="AA182" s="350">
        <f t="shared" si="38"/>
        <v>2.18E-2</v>
      </c>
      <c r="AB182" s="351">
        <f t="shared" si="42"/>
        <v>0</v>
      </c>
    </row>
    <row r="183" spans="2:28" ht="17.45" hidden="1" customHeight="1" outlineLevel="1">
      <c r="B183" s="203">
        <f t="shared" si="39"/>
        <v>51196</v>
      </c>
      <c r="C183" s="352">
        <v>9101.4357226158609</v>
      </c>
      <c r="D183" s="353">
        <f>IF(ISNUMBER($F183),VLOOKUP($J183,'Table 1'!$B$13:$C$37,2,FALSE)/12*1000*Study_MW,"")</f>
        <v>735385.43407015363</v>
      </c>
      <c r="E183" s="353">
        <f t="shared" si="40"/>
        <v>744486.86979276943</v>
      </c>
      <c r="F183" s="352">
        <v>17461.912206590001</v>
      </c>
      <c r="G183" s="354">
        <f t="shared" si="37"/>
        <v>42.634899373265974</v>
      </c>
      <c r="I183" s="355">
        <f t="shared" si="35"/>
        <v>198</v>
      </c>
      <c r="J183" s="349">
        <f t="shared" si="41"/>
        <v>2040</v>
      </c>
      <c r="K183" s="203">
        <f t="shared" si="43"/>
        <v>51196</v>
      </c>
      <c r="V183" s="330" t="str">
        <f t="shared" si="36"/>
        <v>Winter</v>
      </c>
      <c r="AA183" s="350">
        <f t="shared" si="38"/>
        <v>2.18E-2</v>
      </c>
      <c r="AB183" s="351">
        <f t="shared" si="42"/>
        <v>0</v>
      </c>
    </row>
    <row r="184" spans="2:28" ht="17.45" hidden="1" customHeight="1" outlineLevel="1">
      <c r="B184" s="203">
        <f t="shared" si="39"/>
        <v>51227</v>
      </c>
      <c r="C184" s="352">
        <v>104267.8318693288</v>
      </c>
      <c r="D184" s="353">
        <f>IF(ISNUMBER($F184),VLOOKUP($J184,'Table 1'!$B$13:$C$37,2,FALSE)/12*1000*Study_MW,"")</f>
        <v>735385.43407015363</v>
      </c>
      <c r="E184" s="353">
        <f t="shared" si="40"/>
        <v>839653.26593948249</v>
      </c>
      <c r="F184" s="352">
        <v>23966.333635690004</v>
      </c>
      <c r="G184" s="354">
        <f t="shared" si="37"/>
        <v>35.034698202193681</v>
      </c>
      <c r="I184" s="355">
        <f t="shared" si="35"/>
        <v>199</v>
      </c>
      <c r="J184" s="349">
        <f t="shared" si="41"/>
        <v>2040</v>
      </c>
      <c r="K184" s="203">
        <f t="shared" si="43"/>
        <v>51227</v>
      </c>
      <c r="V184" s="330" t="str">
        <f t="shared" si="36"/>
        <v>Winter</v>
      </c>
      <c r="AA184" s="350">
        <f t="shared" si="38"/>
        <v>2.18E-2</v>
      </c>
      <c r="AB184" s="351">
        <f t="shared" si="42"/>
        <v>0</v>
      </c>
    </row>
    <row r="185" spans="2:28" ht="17.45" hidden="1" customHeight="1" outlineLevel="1">
      <c r="B185" s="203">
        <f t="shared" si="39"/>
        <v>51257</v>
      </c>
      <c r="C185" s="352">
        <v>99801.035882526776</v>
      </c>
      <c r="D185" s="353">
        <f>IF(ISNUMBER($F185),VLOOKUP($J185,'Table 1'!$B$13:$C$37,2,FALSE)/12*1000*Study_MW,"")</f>
        <v>735385.43407015363</v>
      </c>
      <c r="E185" s="353">
        <f t="shared" si="40"/>
        <v>835186.4699526804</v>
      </c>
      <c r="F185" s="352">
        <v>22571.998863140001</v>
      </c>
      <c r="G185" s="354">
        <f t="shared" si="37"/>
        <v>37.000997342620693</v>
      </c>
      <c r="I185" s="355">
        <f t="shared" si="35"/>
        <v>200</v>
      </c>
      <c r="J185" s="349">
        <f t="shared" si="41"/>
        <v>2040</v>
      </c>
      <c r="K185" s="203">
        <f t="shared" si="43"/>
        <v>51257</v>
      </c>
      <c r="V185" s="330" t="str">
        <f t="shared" si="36"/>
        <v>Summer</v>
      </c>
      <c r="AA185" s="350">
        <f t="shared" si="38"/>
        <v>2.18E-2</v>
      </c>
      <c r="AB185" s="351">
        <f t="shared" si="42"/>
        <v>0</v>
      </c>
    </row>
    <row r="186" spans="2:28" ht="17.45" hidden="1" customHeight="1" outlineLevel="1">
      <c r="B186" s="203">
        <f t="shared" si="39"/>
        <v>51288</v>
      </c>
      <c r="C186" s="352">
        <v>238767.66903361568</v>
      </c>
      <c r="D186" s="353">
        <f>IF(ISNUMBER($F186),VLOOKUP($J186,'Table 1'!$B$13:$C$37,2,FALSE)/12*1000*Study_MW,"")</f>
        <v>735385.43407015363</v>
      </c>
      <c r="E186" s="353">
        <f t="shared" si="40"/>
        <v>974153.10310376924</v>
      </c>
      <c r="F186" s="352">
        <v>21093.46980789</v>
      </c>
      <c r="G186" s="354">
        <f t="shared" si="37"/>
        <v>46.182686489037849</v>
      </c>
      <c r="I186" s="355">
        <f t="shared" ref="I186:I252" si="44">I174+13</f>
        <v>201</v>
      </c>
      <c r="J186" s="349">
        <f t="shared" si="41"/>
        <v>2040</v>
      </c>
      <c r="K186" s="203">
        <f t="shared" si="43"/>
        <v>51288</v>
      </c>
      <c r="V186" s="330" t="str">
        <f t="shared" si="36"/>
        <v>Summer</v>
      </c>
      <c r="AA186" s="350">
        <f t="shared" si="38"/>
        <v>2.18E-2</v>
      </c>
      <c r="AB186" s="351">
        <f t="shared" si="42"/>
        <v>0</v>
      </c>
    </row>
    <row r="187" spans="2:28" ht="17.45" hidden="1" customHeight="1" outlineLevel="1">
      <c r="B187" s="203">
        <f t="shared" si="39"/>
        <v>51318</v>
      </c>
      <c r="C187" s="352">
        <v>45069.481175301917</v>
      </c>
      <c r="D187" s="353">
        <f>IF(ISNUMBER($F187),VLOOKUP($J187,'Table 1'!$B$13:$C$37,2,FALSE)/12*1000*Study_MW,"")</f>
        <v>735385.43407015363</v>
      </c>
      <c r="E187" s="353">
        <f t="shared" si="40"/>
        <v>780454.91524545557</v>
      </c>
      <c r="F187" s="352">
        <v>12599.71663126</v>
      </c>
      <c r="G187" s="354">
        <f t="shared" si="37"/>
        <v>61.942259344876099</v>
      </c>
      <c r="I187" s="355">
        <f t="shared" si="44"/>
        <v>202</v>
      </c>
      <c r="J187" s="349">
        <f t="shared" si="41"/>
        <v>2040</v>
      </c>
      <c r="K187" s="203">
        <f t="shared" si="43"/>
        <v>51318</v>
      </c>
      <c r="V187" s="330" t="str">
        <f t="shared" si="36"/>
        <v>Summer</v>
      </c>
      <c r="AA187" s="350">
        <f t="shared" si="38"/>
        <v>2.18E-2</v>
      </c>
      <c r="AB187" s="351">
        <f t="shared" si="42"/>
        <v>0</v>
      </c>
    </row>
    <row r="188" spans="2:28" ht="17.45" hidden="1" customHeight="1" outlineLevel="1">
      <c r="B188" s="203">
        <f t="shared" si="39"/>
        <v>51349</v>
      </c>
      <c r="C188" s="352">
        <v>101738.08771283439</v>
      </c>
      <c r="D188" s="353">
        <f>IF(ISNUMBER($F188),VLOOKUP($J188,'Table 1'!$B$13:$C$37,2,FALSE)/12*1000*Study_MW,"")</f>
        <v>735385.43407015363</v>
      </c>
      <c r="E188" s="353">
        <f t="shared" si="40"/>
        <v>837123.52178298798</v>
      </c>
      <c r="F188" s="352">
        <v>13274.537031640002</v>
      </c>
      <c r="G188" s="354">
        <f t="shared" si="37"/>
        <v>63.062351612541747</v>
      </c>
      <c r="I188" s="355">
        <f t="shared" si="44"/>
        <v>203</v>
      </c>
      <c r="J188" s="349">
        <f t="shared" si="41"/>
        <v>2040</v>
      </c>
      <c r="K188" s="203">
        <f t="shared" si="43"/>
        <v>51349</v>
      </c>
      <c r="V188" s="330" t="str">
        <f t="shared" si="36"/>
        <v>Summer</v>
      </c>
      <c r="AA188" s="350">
        <f t="shared" si="38"/>
        <v>2.18E-2</v>
      </c>
      <c r="AB188" s="351">
        <f t="shared" si="42"/>
        <v>0</v>
      </c>
    </row>
    <row r="189" spans="2:28" ht="17.45" hidden="1" customHeight="1" outlineLevel="1">
      <c r="B189" s="203">
        <f t="shared" si="39"/>
        <v>51380</v>
      </c>
      <c r="C189" s="352">
        <v>94483.428275612823</v>
      </c>
      <c r="D189" s="353">
        <f>IF(ISNUMBER($F189),VLOOKUP($J189,'Table 1'!$B$13:$C$37,2,FALSE)/12*1000*Study_MW,"")</f>
        <v>735385.43407015363</v>
      </c>
      <c r="E189" s="353">
        <f t="shared" si="40"/>
        <v>829868.86234576651</v>
      </c>
      <c r="F189" s="352">
        <v>11262.100543829998</v>
      </c>
      <c r="G189" s="354">
        <f t="shared" si="37"/>
        <v>73.686863220237768</v>
      </c>
      <c r="I189" s="355">
        <f t="shared" si="44"/>
        <v>204</v>
      </c>
      <c r="J189" s="349">
        <f t="shared" si="41"/>
        <v>2040</v>
      </c>
      <c r="K189" s="203">
        <f t="shared" si="43"/>
        <v>51380</v>
      </c>
      <c r="V189" s="330" t="str">
        <f t="shared" si="36"/>
        <v>Winter</v>
      </c>
      <c r="AA189" s="350">
        <f t="shared" si="38"/>
        <v>2.18E-2</v>
      </c>
      <c r="AB189" s="351">
        <f t="shared" si="42"/>
        <v>0</v>
      </c>
    </row>
    <row r="190" spans="2:28" ht="17.45" hidden="1" customHeight="1" outlineLevel="1">
      <c r="B190" s="203">
        <f t="shared" si="39"/>
        <v>51410</v>
      </c>
      <c r="C190" s="352">
        <v>22949.013910169015</v>
      </c>
      <c r="D190" s="353">
        <f>IF(ISNUMBER($F190),VLOOKUP($J190,'Table 1'!$B$13:$C$37,2,FALSE)/12*1000*Study_MW,"")</f>
        <v>735385.43407015363</v>
      </c>
      <c r="E190" s="353">
        <f t="shared" si="40"/>
        <v>758334.44798032264</v>
      </c>
      <c r="F190" s="352">
        <v>23306.767880120002</v>
      </c>
      <c r="G190" s="354">
        <f t="shared" si="37"/>
        <v>32.537091881674421</v>
      </c>
      <c r="I190" s="355">
        <f t="shared" si="44"/>
        <v>205</v>
      </c>
      <c r="J190" s="349">
        <f t="shared" si="41"/>
        <v>2040</v>
      </c>
      <c r="K190" s="203">
        <f t="shared" si="43"/>
        <v>51410</v>
      </c>
      <c r="V190" s="330" t="str">
        <f t="shared" si="36"/>
        <v>Winter</v>
      </c>
      <c r="AA190" s="350">
        <f t="shared" si="38"/>
        <v>2.18E-2</v>
      </c>
      <c r="AB190" s="351">
        <f t="shared" si="42"/>
        <v>0</v>
      </c>
    </row>
    <row r="191" spans="2:28" ht="17.45" hidden="1" customHeight="1" outlineLevel="1">
      <c r="B191" s="203">
        <f t="shared" si="39"/>
        <v>51441</v>
      </c>
      <c r="C191" s="352">
        <v>31369.440818998555</v>
      </c>
      <c r="D191" s="353">
        <f>IF(ISNUMBER($F191),VLOOKUP($J191,'Table 1'!$B$13:$C$37,2,FALSE)/12*1000*Study_MW,"")</f>
        <v>735385.43407015363</v>
      </c>
      <c r="E191" s="353">
        <f t="shared" si="40"/>
        <v>766754.87488915212</v>
      </c>
      <c r="F191" s="352">
        <v>15087.522923910003</v>
      </c>
      <c r="G191" s="354">
        <f t="shared" si="37"/>
        <v>50.820461301439664</v>
      </c>
      <c r="I191" s="355">
        <f t="shared" si="44"/>
        <v>206</v>
      </c>
      <c r="J191" s="349">
        <f t="shared" si="41"/>
        <v>2040</v>
      </c>
      <c r="K191" s="203">
        <f t="shared" si="43"/>
        <v>51441</v>
      </c>
      <c r="V191" s="330" t="str">
        <f t="shared" si="36"/>
        <v>Winter</v>
      </c>
      <c r="AA191" s="350">
        <f t="shared" si="38"/>
        <v>2.18E-2</v>
      </c>
      <c r="AB191" s="351">
        <f t="shared" si="42"/>
        <v>0</v>
      </c>
    </row>
    <row r="192" spans="2:28" ht="17.45" hidden="1" customHeight="1" outlineLevel="1">
      <c r="B192" s="204">
        <f t="shared" si="39"/>
        <v>51471</v>
      </c>
      <c r="C192" s="359">
        <v>-620510.81799135078</v>
      </c>
      <c r="D192" s="360">
        <f>IF(ISNUMBER($F192),VLOOKUP($J192,'Table 1'!$B$13:$C$37,2,FALSE)/12*1000*Study_MW,"")</f>
        <v>735385.43407015363</v>
      </c>
      <c r="E192" s="360">
        <f t="shared" si="40"/>
        <v>114874.61607880285</v>
      </c>
      <c r="F192" s="359">
        <v>13759.754610631726</v>
      </c>
      <c r="G192" s="361">
        <f t="shared" si="37"/>
        <v>8.3485948208729592</v>
      </c>
      <c r="I192" s="362">
        <f t="shared" si="44"/>
        <v>207</v>
      </c>
      <c r="J192" s="349">
        <f t="shared" si="41"/>
        <v>2040</v>
      </c>
      <c r="K192" s="204">
        <f t="shared" si="43"/>
        <v>51471</v>
      </c>
      <c r="V192" s="330" t="str">
        <f t="shared" si="36"/>
        <v>Winter</v>
      </c>
      <c r="AA192" s="350">
        <f t="shared" si="38"/>
        <v>2.18E-2</v>
      </c>
      <c r="AB192" s="351">
        <f t="shared" si="42"/>
        <v>0</v>
      </c>
    </row>
    <row r="193" spans="2:28" ht="17.45" hidden="1" customHeight="1" outlineLevel="1">
      <c r="B193" s="202">
        <f t="shared" si="39"/>
        <v>51502</v>
      </c>
      <c r="C193" s="343">
        <v>139272.03367708353</v>
      </c>
      <c r="D193" s="344">
        <f>IF(ISNUMBER($F193),VLOOKUP($J193,'Table 1'!$B$13:$C$37,2,FALSE)/12*1000*Study_MW,"")</f>
        <v>751416.83618041361</v>
      </c>
      <c r="E193" s="345">
        <f t="shared" si="40"/>
        <v>890688.86985749716</v>
      </c>
      <c r="F193" s="346">
        <v>21721.678344020002</v>
      </c>
      <c r="G193" s="347">
        <f t="shared" si="37"/>
        <v>41.00460635458699</v>
      </c>
      <c r="I193" s="363">
        <f t="shared" si="44"/>
        <v>209</v>
      </c>
      <c r="J193" s="349">
        <f t="shared" ref="J193:J240" si="45">YEAR(B193)</f>
        <v>2041</v>
      </c>
      <c r="K193" s="202">
        <f t="shared" ref="K193:K240" si="46">IF(ISNUMBER(F193),IF(F193&lt;&gt;0,B193,""),"")</f>
        <v>51502</v>
      </c>
      <c r="M193" s="350">
        <f>F181*IF(MONTH(B193)=2,IF(MOD($J193,4)=0,29/28,IF(MOD($J181,4)=0,28/29)),1)</f>
        <v>20415.319112959998</v>
      </c>
      <c r="V193" s="330" t="str">
        <f t="shared" si="36"/>
        <v>Winter</v>
      </c>
      <c r="AA193" s="350">
        <f t="shared" si="38"/>
        <v>2.18E-2</v>
      </c>
      <c r="AB193" s="351">
        <f t="shared" si="42"/>
        <v>0</v>
      </c>
    </row>
    <row r="194" spans="2:28" ht="17.45" hidden="1" customHeight="1" outlineLevel="1">
      <c r="B194" s="203">
        <f t="shared" si="39"/>
        <v>51533</v>
      </c>
      <c r="C194" s="352">
        <v>159778.85768826309</v>
      </c>
      <c r="D194" s="353">
        <f>IF(ISNUMBER($F194),VLOOKUP($J194,'Table 1'!$B$13:$C$37,2,FALSE)/12*1000*Study_MW,"")</f>
        <v>751416.83618041361</v>
      </c>
      <c r="E194" s="353">
        <f t="shared" si="40"/>
        <v>911195.69386867667</v>
      </c>
      <c r="F194" s="352">
        <v>17114.06280498</v>
      </c>
      <c r="G194" s="354">
        <f t="shared" si="37"/>
        <v>53.24251197696487</v>
      </c>
      <c r="I194" s="355">
        <f t="shared" si="44"/>
        <v>210</v>
      </c>
      <c r="J194" s="349">
        <f t="shared" si="45"/>
        <v>2041</v>
      </c>
      <c r="K194" s="203">
        <f t="shared" si="46"/>
        <v>51533</v>
      </c>
      <c r="M194" s="350"/>
      <c r="V194" s="330" t="str">
        <f t="shared" si="36"/>
        <v>Winter</v>
      </c>
      <c r="AA194" s="350">
        <f t="shared" si="38"/>
        <v>2.18E-2</v>
      </c>
      <c r="AB194" s="351">
        <f t="shared" si="42"/>
        <v>0</v>
      </c>
    </row>
    <row r="195" spans="2:28" ht="17.45" hidden="1" customHeight="1" outlineLevel="1">
      <c r="B195" s="203">
        <f t="shared" si="39"/>
        <v>51561</v>
      </c>
      <c r="C195" s="352">
        <v>110084.45957375989</v>
      </c>
      <c r="D195" s="353">
        <f>IF(ISNUMBER($F195),VLOOKUP($J195,'Table 1'!$B$13:$C$37,2,FALSE)/12*1000*Study_MW,"")</f>
        <v>751416.83618041361</v>
      </c>
      <c r="E195" s="353">
        <f t="shared" si="40"/>
        <v>861501.29575417354</v>
      </c>
      <c r="F195" s="352">
        <v>18128.276000130001</v>
      </c>
      <c r="G195" s="354">
        <f t="shared" si="37"/>
        <v>47.522516523247745</v>
      </c>
      <c r="I195" s="355">
        <f t="shared" si="44"/>
        <v>211</v>
      </c>
      <c r="J195" s="349">
        <f t="shared" si="45"/>
        <v>2041</v>
      </c>
      <c r="K195" s="203">
        <f t="shared" si="46"/>
        <v>51561</v>
      </c>
      <c r="M195" s="350"/>
      <c r="V195" s="330" t="str">
        <f t="shared" si="36"/>
        <v>Winter</v>
      </c>
      <c r="AA195" s="350">
        <f t="shared" si="38"/>
        <v>2.18E-2</v>
      </c>
      <c r="AB195" s="351">
        <f t="shared" si="42"/>
        <v>0</v>
      </c>
    </row>
    <row r="196" spans="2:28" ht="17.45" hidden="1" customHeight="1" outlineLevel="1">
      <c r="B196" s="203">
        <f t="shared" si="39"/>
        <v>51592</v>
      </c>
      <c r="C196" s="352">
        <v>100492.76656556322</v>
      </c>
      <c r="D196" s="353">
        <f>IF(ISNUMBER($F196),VLOOKUP($J196,'Table 1'!$B$13:$C$37,2,FALSE)/12*1000*Study_MW,"")</f>
        <v>751416.83618041361</v>
      </c>
      <c r="E196" s="353">
        <f t="shared" si="40"/>
        <v>851909.60274597676</v>
      </c>
      <c r="F196" s="352">
        <v>22846.704080700001</v>
      </c>
      <c r="G196" s="354">
        <f t="shared" si="37"/>
        <v>37.288074452088544</v>
      </c>
      <c r="I196" s="355">
        <f t="shared" si="44"/>
        <v>212</v>
      </c>
      <c r="J196" s="349">
        <f t="shared" si="45"/>
        <v>2041</v>
      </c>
      <c r="K196" s="203">
        <f t="shared" si="46"/>
        <v>51592</v>
      </c>
      <c r="M196" s="350"/>
      <c r="V196" s="330" t="str">
        <f t="shared" si="36"/>
        <v>Winter</v>
      </c>
      <c r="AA196" s="350">
        <f t="shared" si="38"/>
        <v>2.18E-2</v>
      </c>
      <c r="AB196" s="351">
        <f t="shared" si="42"/>
        <v>0</v>
      </c>
    </row>
    <row r="197" spans="2:28" ht="17.45" hidden="1" customHeight="1" outlineLevel="1">
      <c r="B197" s="203">
        <f t="shared" si="39"/>
        <v>51622</v>
      </c>
      <c r="C197" s="352">
        <v>93295.379910605334</v>
      </c>
      <c r="D197" s="353">
        <f>IF(ISNUMBER($F197),VLOOKUP($J197,'Table 1'!$B$13:$C$37,2,FALSE)/12*1000*Study_MW,"")</f>
        <v>751416.83618041361</v>
      </c>
      <c r="E197" s="353">
        <f t="shared" si="40"/>
        <v>844712.21609101899</v>
      </c>
      <c r="F197" s="352">
        <v>23562.79290335</v>
      </c>
      <c r="G197" s="354">
        <f t="shared" si="37"/>
        <v>35.849409683982046</v>
      </c>
      <c r="I197" s="355">
        <f t="shared" si="44"/>
        <v>213</v>
      </c>
      <c r="J197" s="349">
        <f t="shared" si="45"/>
        <v>2041</v>
      </c>
      <c r="K197" s="203">
        <f t="shared" si="46"/>
        <v>51622</v>
      </c>
      <c r="M197" s="350"/>
      <c r="V197" s="330" t="str">
        <f t="shared" si="36"/>
        <v>Summer</v>
      </c>
      <c r="AA197" s="350">
        <f t="shared" si="38"/>
        <v>2.18E-2</v>
      </c>
      <c r="AB197" s="351">
        <f t="shared" si="42"/>
        <v>0</v>
      </c>
    </row>
    <row r="198" spans="2:28" ht="17.45" hidden="1" customHeight="1" outlineLevel="1">
      <c r="B198" s="203">
        <f t="shared" si="39"/>
        <v>51653</v>
      </c>
      <c r="C198" s="352">
        <v>262624.35979058227</v>
      </c>
      <c r="D198" s="353">
        <f>IF(ISNUMBER($F198),VLOOKUP($J198,'Table 1'!$B$13:$C$37,2,FALSE)/12*1000*Study_MW,"")</f>
        <v>751416.83618041361</v>
      </c>
      <c r="E198" s="353">
        <f t="shared" si="40"/>
        <v>1014041.1959709958</v>
      </c>
      <c r="F198" s="352">
        <v>20755.61726345</v>
      </c>
      <c r="G198" s="354">
        <f t="shared" si="37"/>
        <v>48.856229284815875</v>
      </c>
      <c r="I198" s="355">
        <f t="shared" si="44"/>
        <v>214</v>
      </c>
      <c r="J198" s="349">
        <f t="shared" si="45"/>
        <v>2041</v>
      </c>
      <c r="K198" s="203">
        <f t="shared" si="46"/>
        <v>51653</v>
      </c>
      <c r="M198" s="350"/>
      <c r="V198" s="330" t="str">
        <f t="shared" si="36"/>
        <v>Summer</v>
      </c>
      <c r="AA198" s="350">
        <f t="shared" si="38"/>
        <v>2.18E-2</v>
      </c>
      <c r="AB198" s="351">
        <f t="shared" si="42"/>
        <v>0</v>
      </c>
    </row>
    <row r="199" spans="2:28" ht="17.45" hidden="1" customHeight="1" outlineLevel="1">
      <c r="B199" s="203">
        <f t="shared" si="39"/>
        <v>51683</v>
      </c>
      <c r="C199" s="352">
        <v>121007.58366734954</v>
      </c>
      <c r="D199" s="353">
        <f>IF(ISNUMBER($F199),VLOOKUP($J199,'Table 1'!$B$13:$C$37,2,FALSE)/12*1000*Study_MW,"")</f>
        <v>751416.83618041361</v>
      </c>
      <c r="E199" s="353">
        <f t="shared" si="40"/>
        <v>872424.41984776314</v>
      </c>
      <c r="F199" s="352">
        <v>11919.739425549998</v>
      </c>
      <c r="G199" s="354">
        <f t="shared" si="37"/>
        <v>73.19156809566816</v>
      </c>
      <c r="I199" s="355">
        <f t="shared" si="44"/>
        <v>215</v>
      </c>
      <c r="J199" s="349">
        <f t="shared" si="45"/>
        <v>2041</v>
      </c>
      <c r="K199" s="203">
        <f t="shared" si="46"/>
        <v>51683</v>
      </c>
      <c r="M199" s="350"/>
      <c r="V199" s="330" t="str">
        <f t="shared" si="36"/>
        <v>Summer</v>
      </c>
      <c r="AA199" s="350">
        <f t="shared" si="38"/>
        <v>2.18E-2</v>
      </c>
      <c r="AB199" s="351">
        <f t="shared" si="42"/>
        <v>0</v>
      </c>
    </row>
    <row r="200" spans="2:28" ht="17.45" hidden="1" customHeight="1" outlineLevel="1">
      <c r="B200" s="203">
        <f t="shared" si="39"/>
        <v>51714</v>
      </c>
      <c r="C200" s="352">
        <v>28001.078590823454</v>
      </c>
      <c r="D200" s="353">
        <f>IF(ISNUMBER($F200),VLOOKUP($J200,'Table 1'!$B$13:$C$37,2,FALSE)/12*1000*Study_MW,"")</f>
        <v>751416.83618041361</v>
      </c>
      <c r="E200" s="353">
        <f t="shared" si="40"/>
        <v>779417.91477123706</v>
      </c>
      <c r="F200" s="352">
        <v>13400.009111429999</v>
      </c>
      <c r="G200" s="354">
        <f t="shared" si="37"/>
        <v>58.165476477654458</v>
      </c>
      <c r="I200" s="355">
        <f t="shared" si="44"/>
        <v>216</v>
      </c>
      <c r="J200" s="349">
        <f t="shared" si="45"/>
        <v>2041</v>
      </c>
      <c r="K200" s="203">
        <f t="shared" si="46"/>
        <v>51714</v>
      </c>
      <c r="M200" s="350"/>
      <c r="V200" s="330" t="str">
        <f t="shared" si="36"/>
        <v>Summer</v>
      </c>
      <c r="AA200" s="350">
        <f t="shared" si="38"/>
        <v>2.18E-2</v>
      </c>
      <c r="AB200" s="351">
        <f t="shared" si="42"/>
        <v>0</v>
      </c>
    </row>
    <row r="201" spans="2:28" ht="17.45" hidden="1" customHeight="1" outlineLevel="1">
      <c r="B201" s="203">
        <f t="shared" si="39"/>
        <v>51745</v>
      </c>
      <c r="C201" s="352">
        <v>137850.45522125438</v>
      </c>
      <c r="D201" s="353">
        <f>IF(ISNUMBER($F201),VLOOKUP($J201,'Table 1'!$B$13:$C$37,2,FALSE)/12*1000*Study_MW,"")</f>
        <v>751416.83618041361</v>
      </c>
      <c r="E201" s="353">
        <f t="shared" si="40"/>
        <v>889267.29140166799</v>
      </c>
      <c r="F201" s="352">
        <v>11326.96957904</v>
      </c>
      <c r="G201" s="354">
        <f t="shared" si="37"/>
        <v>78.508844329132245</v>
      </c>
      <c r="I201" s="355">
        <f t="shared" si="44"/>
        <v>217</v>
      </c>
      <c r="J201" s="349">
        <f t="shared" si="45"/>
        <v>2041</v>
      </c>
      <c r="K201" s="203">
        <f t="shared" si="46"/>
        <v>51745</v>
      </c>
      <c r="M201" s="350"/>
      <c r="V201" s="330" t="str">
        <f t="shared" si="36"/>
        <v>Winter</v>
      </c>
      <c r="AA201" s="350">
        <f t="shared" si="38"/>
        <v>2.18E-2</v>
      </c>
      <c r="AB201" s="351">
        <f t="shared" si="42"/>
        <v>0</v>
      </c>
    </row>
    <row r="202" spans="2:28" ht="17.45" hidden="1" customHeight="1" outlineLevel="1">
      <c r="B202" s="203">
        <f t="shared" si="39"/>
        <v>51775</v>
      </c>
      <c r="C202" s="352">
        <v>102870.09804974332</v>
      </c>
      <c r="D202" s="353">
        <f>IF(ISNUMBER($F202),VLOOKUP($J202,'Table 1'!$B$13:$C$37,2,FALSE)/12*1000*Study_MW,"")</f>
        <v>751416.83618041361</v>
      </c>
      <c r="E202" s="353">
        <f t="shared" si="40"/>
        <v>854286.93423015694</v>
      </c>
      <c r="F202" s="352">
        <v>23084.924245520004</v>
      </c>
      <c r="G202" s="354">
        <f t="shared" si="37"/>
        <v>37.006269769152262</v>
      </c>
      <c r="I202" s="355">
        <f t="shared" si="44"/>
        <v>218</v>
      </c>
      <c r="J202" s="349">
        <f t="shared" si="45"/>
        <v>2041</v>
      </c>
      <c r="K202" s="203">
        <f t="shared" si="46"/>
        <v>51775</v>
      </c>
      <c r="M202" s="350"/>
      <c r="V202" s="330" t="str">
        <f t="shared" si="36"/>
        <v>Winter</v>
      </c>
      <c r="AA202" s="350">
        <f t="shared" si="38"/>
        <v>2.18E-2</v>
      </c>
      <c r="AB202" s="351">
        <f t="shared" si="42"/>
        <v>0</v>
      </c>
    </row>
    <row r="203" spans="2:28" ht="17.45" hidden="1" customHeight="1" outlineLevel="1">
      <c r="B203" s="203">
        <f t="shared" si="39"/>
        <v>51806</v>
      </c>
      <c r="C203" s="352">
        <v>-146980.94368322927</v>
      </c>
      <c r="D203" s="353">
        <f>IF(ISNUMBER($F203),VLOOKUP($J203,'Table 1'!$B$13:$C$37,2,FALSE)/12*1000*Study_MW,"")</f>
        <v>751416.83618041361</v>
      </c>
      <c r="E203" s="353">
        <f t="shared" si="40"/>
        <v>604435.89249718434</v>
      </c>
      <c r="F203" s="352">
        <v>16305.06483669</v>
      </c>
      <c r="G203" s="354">
        <f t="shared" si="37"/>
        <v>37.070437839478565</v>
      </c>
      <c r="I203" s="355">
        <f t="shared" si="44"/>
        <v>219</v>
      </c>
      <c r="J203" s="349">
        <f t="shared" si="45"/>
        <v>2041</v>
      </c>
      <c r="K203" s="203">
        <f t="shared" si="46"/>
        <v>51806</v>
      </c>
      <c r="M203" s="350"/>
      <c r="V203" s="330" t="str">
        <f t="shared" si="36"/>
        <v>Winter</v>
      </c>
      <c r="AA203" s="350">
        <f t="shared" si="38"/>
        <v>2.18E-2</v>
      </c>
      <c r="AB203" s="351">
        <f t="shared" si="42"/>
        <v>0</v>
      </c>
    </row>
    <row r="204" spans="2:28" ht="17.45" hidden="1" customHeight="1" outlineLevel="1">
      <c r="B204" s="204">
        <f t="shared" si="39"/>
        <v>51836</v>
      </c>
      <c r="C204" s="359">
        <v>-732211.99288985133</v>
      </c>
      <c r="D204" s="360">
        <f>IF(ISNUMBER($F204),VLOOKUP($J204,'Table 1'!$B$13:$C$37,2,FALSE)/12*1000*Study_MW,"")</f>
        <v>751416.83618041361</v>
      </c>
      <c r="E204" s="360">
        <f t="shared" si="40"/>
        <v>19204.843290562276</v>
      </c>
      <c r="F204" s="359">
        <v>12741.417520637669</v>
      </c>
      <c r="G204" s="361">
        <f t="shared" si="37"/>
        <v>1.5072768206092921</v>
      </c>
      <c r="I204" s="362">
        <f t="shared" si="44"/>
        <v>220</v>
      </c>
      <c r="J204" s="349">
        <f t="shared" si="45"/>
        <v>2041</v>
      </c>
      <c r="K204" s="204">
        <f t="shared" si="46"/>
        <v>51836</v>
      </c>
      <c r="M204" s="350"/>
      <c r="V204" s="330" t="str">
        <f t="shared" ref="V204:V267" si="47">IFERROR(IF(AND(MONTH(K205)&gt;=6,MONTH(K205)&lt;=9),"Summer","Winter"),"-")</f>
        <v>Winter</v>
      </c>
      <c r="AA204" s="350">
        <f t="shared" si="38"/>
        <v>2.18E-2</v>
      </c>
      <c r="AB204" s="351">
        <f t="shared" si="42"/>
        <v>0</v>
      </c>
    </row>
    <row r="205" spans="2:28" ht="17.45" hidden="1" customHeight="1" outlineLevel="1">
      <c r="B205" s="202">
        <f t="shared" si="39"/>
        <v>51867</v>
      </c>
      <c r="C205" s="343">
        <v>-139793.41166629456</v>
      </c>
      <c r="D205" s="344">
        <f>IF(ISNUMBER($F205),VLOOKUP($J205,'Table 1'!$B$13:$C$37,2,FALSE)/12*1000*Study_MW,"")</f>
        <v>767797.72323726933</v>
      </c>
      <c r="E205" s="345">
        <f t="shared" si="40"/>
        <v>628004.31157097477</v>
      </c>
      <c r="F205" s="346">
        <v>16962.172302200001</v>
      </c>
      <c r="G205" s="347">
        <f t="shared" ref="G205" si="48">IF(ISNUMBER($F205),E205/$F205,"")</f>
        <v>37.023813953919237</v>
      </c>
      <c r="I205" s="363">
        <f t="shared" si="44"/>
        <v>222</v>
      </c>
      <c r="J205" s="349">
        <f t="shared" si="45"/>
        <v>2042</v>
      </c>
      <c r="K205" s="202">
        <f t="shared" si="46"/>
        <v>51867</v>
      </c>
      <c r="M205" s="350"/>
      <c r="N205" s="364">
        <f t="shared" ref="N205:P220" si="49">E205/E193-1</f>
        <v>-0.29492291548287763</v>
      </c>
      <c r="O205" s="364">
        <f t="shared" si="49"/>
        <v>-0.21911318114745482</v>
      </c>
      <c r="P205" s="364">
        <f t="shared" si="49"/>
        <v>-9.7081590449713984E-2</v>
      </c>
      <c r="V205" s="330" t="str">
        <f t="shared" si="47"/>
        <v>Winter</v>
      </c>
      <c r="AA205" s="350">
        <f t="shared" ref="AA205:AA268" si="50">Inflation</f>
        <v>2.18E-2</v>
      </c>
      <c r="AB205" s="351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2">
        <v>438515.91902895598</v>
      </c>
      <c r="D206" s="353">
        <f>IF(ISNUMBER($F206),VLOOKUP($J206,'Table 1'!$B$13:$C$37,2,FALSE)/12*1000*Study_MW,"")</f>
        <v>767797.72323726933</v>
      </c>
      <c r="E206" s="353">
        <f t="shared" ref="E206:E269" si="52">IF(ISNUMBER(C206+D206),C206+D206,"")</f>
        <v>1206313.6422662253</v>
      </c>
      <c r="F206" s="352">
        <v>20624.67032782</v>
      </c>
      <c r="G206" s="354">
        <f t="shared" ref="G206" si="53">IF(ISNUMBER($F206),E206/$F206,"")</f>
        <v>58.488869062748847</v>
      </c>
      <c r="I206" s="355">
        <f t="shared" si="44"/>
        <v>223</v>
      </c>
      <c r="J206" s="349">
        <f t="shared" si="45"/>
        <v>2042</v>
      </c>
      <c r="K206" s="203">
        <f t="shared" si="46"/>
        <v>51898</v>
      </c>
      <c r="M206" s="350"/>
      <c r="N206" s="364">
        <f t="shared" si="49"/>
        <v>0.32387987606104907</v>
      </c>
      <c r="O206" s="364">
        <f t="shared" si="49"/>
        <v>0.205129989462143</v>
      </c>
      <c r="P206" s="364">
        <f t="shared" si="49"/>
        <v>9.8536994048173288E-2</v>
      </c>
      <c r="V206" s="330" t="str">
        <f t="shared" si="47"/>
        <v>Winter</v>
      </c>
      <c r="AA206" s="350">
        <f t="shared" si="50"/>
        <v>2.18E-2</v>
      </c>
      <c r="AB206" s="351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2">
        <v>154179.76025746611</v>
      </c>
      <c r="D207" s="353">
        <f>IF(ISNUMBER($F207),VLOOKUP($J207,'Table 1'!$B$13:$C$37,2,FALSE)/12*1000*Study_MW,"")</f>
        <v>767797.72323726933</v>
      </c>
      <c r="E207" s="353">
        <f t="shared" si="52"/>
        <v>921977.48349473544</v>
      </c>
      <c r="F207" s="352">
        <v>18952.858266089999</v>
      </c>
      <c r="G207" s="354">
        <f t="shared" ref="G207:G270" si="55">IF(ISNUMBER($F207),E207/$F207,"")</f>
        <v>48.645828009188222</v>
      </c>
      <c r="I207" s="355">
        <f t="shared" si="44"/>
        <v>224</v>
      </c>
      <c r="J207" s="349">
        <f t="shared" si="45"/>
        <v>2042</v>
      </c>
      <c r="K207" s="203">
        <f t="shared" si="46"/>
        <v>51926</v>
      </c>
      <c r="M207" s="350"/>
      <c r="N207" s="364">
        <f t="shared" si="49"/>
        <v>7.0198603343504029E-2</v>
      </c>
      <c r="O207" s="364">
        <f t="shared" si="49"/>
        <v>4.5485972629393245E-2</v>
      </c>
      <c r="P207" s="364">
        <f t="shared" si="49"/>
        <v>2.3637457948822105E-2</v>
      </c>
      <c r="V207" s="330" t="str">
        <f t="shared" si="47"/>
        <v>Winter</v>
      </c>
      <c r="AA207" s="350">
        <f t="shared" si="50"/>
        <v>2.18E-2</v>
      </c>
      <c r="AB207" s="351">
        <f t="shared" si="54"/>
        <v>0</v>
      </c>
    </row>
    <row r="208" spans="2:28" ht="17.45" hidden="1" customHeight="1" outlineLevel="1">
      <c r="B208" s="203">
        <f t="shared" si="51"/>
        <v>51957</v>
      </c>
      <c r="C208" s="352">
        <v>118842.21477532992</v>
      </c>
      <c r="D208" s="353">
        <f>IF(ISNUMBER($F208),VLOOKUP($J208,'Table 1'!$B$13:$C$37,2,FALSE)/12*1000*Study_MW,"")</f>
        <v>767797.72323726933</v>
      </c>
      <c r="E208" s="353">
        <f t="shared" si="52"/>
        <v>886639.93801259925</v>
      </c>
      <c r="F208" s="352">
        <v>19742.419320159999</v>
      </c>
      <c r="G208" s="354">
        <f t="shared" si="55"/>
        <v>44.910399461893995</v>
      </c>
      <c r="I208" s="355">
        <f t="shared" si="44"/>
        <v>225</v>
      </c>
      <c r="J208" s="349">
        <f t="shared" si="45"/>
        <v>2042</v>
      </c>
      <c r="K208" s="203">
        <f t="shared" si="46"/>
        <v>51957</v>
      </c>
      <c r="M208" s="350"/>
      <c r="N208" s="364">
        <f t="shared" si="49"/>
        <v>4.0767629751649048E-2</v>
      </c>
      <c r="O208" s="364">
        <f t="shared" si="49"/>
        <v>-0.13587451168338893</v>
      </c>
      <c r="P208" s="364">
        <f t="shared" si="49"/>
        <v>0.2044172331719456</v>
      </c>
      <c r="V208" s="330" t="str">
        <f t="shared" si="47"/>
        <v>Winter</v>
      </c>
      <c r="AA208" s="350">
        <f t="shared" si="50"/>
        <v>2.18E-2</v>
      </c>
      <c r="AB208" s="351">
        <f t="shared" si="54"/>
        <v>0</v>
      </c>
    </row>
    <row r="209" spans="2:28" ht="17.45" hidden="1" customHeight="1" outlineLevel="1">
      <c r="B209" s="203">
        <f t="shared" si="51"/>
        <v>51987</v>
      </c>
      <c r="C209" s="352">
        <v>180361.88766786654</v>
      </c>
      <c r="D209" s="353">
        <f>IF(ISNUMBER($F209),VLOOKUP($J209,'Table 1'!$B$13:$C$37,2,FALSE)/12*1000*Study_MW,"")</f>
        <v>767797.72323726933</v>
      </c>
      <c r="E209" s="353">
        <f t="shared" si="52"/>
        <v>948159.61090513587</v>
      </c>
      <c r="F209" s="352">
        <v>22480.287469800009</v>
      </c>
      <c r="G209" s="354">
        <f t="shared" si="55"/>
        <v>42.177379278574278</v>
      </c>
      <c r="I209" s="355">
        <f t="shared" si="44"/>
        <v>226</v>
      </c>
      <c r="J209" s="349">
        <f t="shared" si="45"/>
        <v>2042</v>
      </c>
      <c r="K209" s="203">
        <f t="shared" si="46"/>
        <v>51987</v>
      </c>
      <c r="M209" s="350"/>
      <c r="N209" s="364">
        <f t="shared" si="49"/>
        <v>0.12246466055957961</v>
      </c>
      <c r="O209" s="364">
        <f t="shared" si="49"/>
        <v>-4.594130407164454E-2</v>
      </c>
      <c r="P209" s="364">
        <f t="shared" si="49"/>
        <v>0.17651530807269178</v>
      </c>
      <c r="V209" s="330" t="str">
        <f t="shared" si="47"/>
        <v>Summer</v>
      </c>
      <c r="AA209" s="350">
        <f t="shared" si="50"/>
        <v>2.18E-2</v>
      </c>
      <c r="AB209" s="351">
        <f t="shared" si="54"/>
        <v>0</v>
      </c>
    </row>
    <row r="210" spans="2:28" ht="17.45" hidden="1" customHeight="1" outlineLevel="1">
      <c r="B210" s="203">
        <f t="shared" si="51"/>
        <v>52018</v>
      </c>
      <c r="C210" s="352">
        <v>284523.18653734983</v>
      </c>
      <c r="D210" s="353">
        <f>IF(ISNUMBER($F210),VLOOKUP($J210,'Table 1'!$B$13:$C$37,2,FALSE)/12*1000*Study_MW,"")</f>
        <v>767797.72323726933</v>
      </c>
      <c r="E210" s="353">
        <f t="shared" si="52"/>
        <v>1052320.9097746192</v>
      </c>
      <c r="F210" s="352">
        <v>21828.513316659995</v>
      </c>
      <c r="G210" s="354">
        <f t="shared" si="55"/>
        <v>48.208546982055118</v>
      </c>
      <c r="I210" s="355">
        <f t="shared" si="44"/>
        <v>227</v>
      </c>
      <c r="J210" s="349">
        <f t="shared" si="45"/>
        <v>2042</v>
      </c>
      <c r="K210" s="203">
        <f t="shared" si="46"/>
        <v>52018</v>
      </c>
      <c r="M210" s="350"/>
      <c r="N210" s="364">
        <f t="shared" si="49"/>
        <v>3.7749663382234289E-2</v>
      </c>
      <c r="O210" s="364">
        <f t="shared" si="49"/>
        <v>5.169184031444507E-2</v>
      </c>
      <c r="P210" s="364">
        <f t="shared" si="49"/>
        <v>-1.3256903208493265E-2</v>
      </c>
      <c r="V210" s="330" t="str">
        <f t="shared" si="47"/>
        <v>Summer</v>
      </c>
      <c r="AA210" s="350">
        <f t="shared" si="50"/>
        <v>2.18E-2</v>
      </c>
      <c r="AB210" s="351">
        <f t="shared" si="54"/>
        <v>0</v>
      </c>
    </row>
    <row r="211" spans="2:28" ht="17.45" hidden="1" customHeight="1" outlineLevel="1">
      <c r="B211" s="203">
        <f t="shared" si="51"/>
        <v>52048</v>
      </c>
      <c r="C211" s="352">
        <v>190495.77248939022</v>
      </c>
      <c r="D211" s="353">
        <f>IF(ISNUMBER($F211),VLOOKUP($J211,'Table 1'!$B$13:$C$37,2,FALSE)/12*1000*Study_MW,"")</f>
        <v>767797.72323726933</v>
      </c>
      <c r="E211" s="353">
        <f t="shared" si="52"/>
        <v>958293.49572665954</v>
      </c>
      <c r="F211" s="352">
        <v>15662.846689080001</v>
      </c>
      <c r="G211" s="354">
        <f t="shared" si="55"/>
        <v>61.182587989881391</v>
      </c>
      <c r="I211" s="355">
        <f t="shared" si="44"/>
        <v>228</v>
      </c>
      <c r="J211" s="349">
        <f t="shared" si="45"/>
        <v>2042</v>
      </c>
      <c r="K211" s="203">
        <f t="shared" si="46"/>
        <v>52048</v>
      </c>
      <c r="M211" s="350"/>
      <c r="N211" s="364">
        <f t="shared" si="49"/>
        <v>9.8425805061578275E-2</v>
      </c>
      <c r="O211" s="364">
        <f t="shared" si="49"/>
        <v>0.31402593042484139</v>
      </c>
      <c r="P211" s="364">
        <f t="shared" si="49"/>
        <v>-0.16407600517712528</v>
      </c>
      <c r="V211" s="330" t="str">
        <f t="shared" si="47"/>
        <v>Summer</v>
      </c>
      <c r="AA211" s="350">
        <f t="shared" si="50"/>
        <v>2.18E-2</v>
      </c>
      <c r="AB211" s="351">
        <f t="shared" si="54"/>
        <v>0</v>
      </c>
    </row>
    <row r="212" spans="2:28" ht="17.45" hidden="1" customHeight="1" outlineLevel="1">
      <c r="B212" s="203">
        <f t="shared" si="51"/>
        <v>52079</v>
      </c>
      <c r="C212" s="352">
        <v>75824.917005636962</v>
      </c>
      <c r="D212" s="353">
        <f>IF(ISNUMBER($F212),VLOOKUP($J212,'Table 1'!$B$13:$C$37,2,FALSE)/12*1000*Study_MW,"")</f>
        <v>767797.72323726933</v>
      </c>
      <c r="E212" s="353">
        <f t="shared" si="52"/>
        <v>843622.64024290629</v>
      </c>
      <c r="F212" s="352">
        <v>11824.751846509998</v>
      </c>
      <c r="G212" s="354">
        <f t="shared" si="55"/>
        <v>71.343792342830113</v>
      </c>
      <c r="I212" s="355">
        <f t="shared" si="44"/>
        <v>229</v>
      </c>
      <c r="J212" s="349">
        <f t="shared" si="45"/>
        <v>2042</v>
      </c>
      <c r="K212" s="203">
        <f t="shared" si="46"/>
        <v>52079</v>
      </c>
      <c r="M212" s="350"/>
      <c r="N212" s="364">
        <f t="shared" si="49"/>
        <v>8.2375224196012509E-2</v>
      </c>
      <c r="O212" s="364">
        <f t="shared" si="49"/>
        <v>-0.1175564323740893</v>
      </c>
      <c r="P212" s="364">
        <f t="shared" si="49"/>
        <v>0.22656594019716136</v>
      </c>
      <c r="V212" s="330" t="str">
        <f t="shared" si="47"/>
        <v>Summer</v>
      </c>
      <c r="AA212" s="350">
        <f t="shared" si="50"/>
        <v>2.18E-2</v>
      </c>
      <c r="AB212" s="351">
        <f t="shared" si="54"/>
        <v>0</v>
      </c>
    </row>
    <row r="213" spans="2:28" ht="17.45" hidden="1" customHeight="1" outlineLevel="1">
      <c r="B213" s="203">
        <f t="shared" si="51"/>
        <v>52110</v>
      </c>
      <c r="C213" s="352">
        <v>188239.47587326984</v>
      </c>
      <c r="D213" s="353">
        <f>IF(ISNUMBER($F213),VLOOKUP($J213,'Table 1'!$B$13:$C$37,2,FALSE)/12*1000*Study_MW,"")</f>
        <v>767797.72323726933</v>
      </c>
      <c r="E213" s="353">
        <f t="shared" si="52"/>
        <v>956037.19911053916</v>
      </c>
      <c r="F213" s="352">
        <v>12170.57831556</v>
      </c>
      <c r="G213" s="354">
        <f t="shared" si="55"/>
        <v>78.553144667599909</v>
      </c>
      <c r="I213" s="355">
        <f t="shared" si="44"/>
        <v>230</v>
      </c>
      <c r="J213" s="349">
        <f t="shared" si="45"/>
        <v>2042</v>
      </c>
      <c r="K213" s="203">
        <f t="shared" si="46"/>
        <v>52110</v>
      </c>
      <c r="M213" s="350"/>
      <c r="N213" s="364">
        <f t="shared" si="49"/>
        <v>7.5084182623683438E-2</v>
      </c>
      <c r="O213" s="364">
        <f t="shared" si="49"/>
        <v>7.4477884895272961E-2</v>
      </c>
      <c r="P213" s="364">
        <f t="shared" si="49"/>
        <v>5.6427194727182162E-4</v>
      </c>
      <c r="V213" s="330" t="str">
        <f t="shared" si="47"/>
        <v>Winter</v>
      </c>
      <c r="AA213" s="350">
        <f t="shared" si="50"/>
        <v>2.18E-2</v>
      </c>
      <c r="AB213" s="351">
        <f t="shared" si="54"/>
        <v>0</v>
      </c>
    </row>
    <row r="214" spans="2:28" ht="17.45" hidden="1" customHeight="1" outlineLevel="1">
      <c r="B214" s="203">
        <f t="shared" si="51"/>
        <v>52140</v>
      </c>
      <c r="C214" s="352">
        <v>260311.44456754555</v>
      </c>
      <c r="D214" s="353">
        <f>IF(ISNUMBER($F214),VLOOKUP($J214,'Table 1'!$B$13:$C$37,2,FALSE)/12*1000*Study_MW,"")</f>
        <v>767797.72323726933</v>
      </c>
      <c r="E214" s="353">
        <f t="shared" si="52"/>
        <v>1028109.1678048149</v>
      </c>
      <c r="F214" s="352">
        <v>23527.343133190003</v>
      </c>
      <c r="G214" s="354">
        <f t="shared" si="55"/>
        <v>43.698481464082619</v>
      </c>
      <c r="I214" s="355">
        <f t="shared" si="44"/>
        <v>231</v>
      </c>
      <c r="J214" s="349">
        <f t="shared" si="45"/>
        <v>2042</v>
      </c>
      <c r="K214" s="203">
        <f t="shared" si="46"/>
        <v>52140</v>
      </c>
      <c r="M214" s="350"/>
      <c r="N214" s="364">
        <f t="shared" si="49"/>
        <v>0.20347055141525527</v>
      </c>
      <c r="O214" s="364">
        <f t="shared" si="49"/>
        <v>1.9164840350552881E-2</v>
      </c>
      <c r="P214" s="364">
        <f t="shared" si="49"/>
        <v>0.18083994243885826</v>
      </c>
      <c r="V214" s="330" t="str">
        <f t="shared" si="47"/>
        <v>Winter</v>
      </c>
      <c r="AA214" s="350">
        <f t="shared" si="50"/>
        <v>2.18E-2</v>
      </c>
      <c r="AB214" s="351">
        <f t="shared" si="54"/>
        <v>0</v>
      </c>
    </row>
    <row r="215" spans="2:28" ht="17.45" hidden="1" customHeight="1" outlineLevel="1">
      <c r="B215" s="203">
        <f t="shared" si="51"/>
        <v>52171</v>
      </c>
      <c r="C215" s="352">
        <v>-398499.66683224193</v>
      </c>
      <c r="D215" s="353">
        <f>IF(ISNUMBER($F215),VLOOKUP($J215,'Table 1'!$B$13:$C$37,2,FALSE)/12*1000*Study_MW,"")</f>
        <v>767797.72323726933</v>
      </c>
      <c r="E215" s="353">
        <f t="shared" si="52"/>
        <v>369298.0564050274</v>
      </c>
      <c r="F215" s="352">
        <v>13776.181571250001</v>
      </c>
      <c r="G215" s="354">
        <f t="shared" si="55"/>
        <v>26.806996880451148</v>
      </c>
      <c r="I215" s="355">
        <f t="shared" si="44"/>
        <v>232</v>
      </c>
      <c r="J215" s="349">
        <f t="shared" si="45"/>
        <v>2042</v>
      </c>
      <c r="K215" s="203">
        <f t="shared" si="46"/>
        <v>52171</v>
      </c>
      <c r="M215" s="350"/>
      <c r="N215" s="364">
        <f t="shared" si="49"/>
        <v>-0.38902030638965124</v>
      </c>
      <c r="O215" s="364">
        <f t="shared" si="49"/>
        <v>-0.1550980195889472</v>
      </c>
      <c r="P215" s="364">
        <f t="shared" si="49"/>
        <v>-0.27686322463926372</v>
      </c>
      <c r="V215" s="330" t="str">
        <f t="shared" si="47"/>
        <v>Winter</v>
      </c>
      <c r="AA215" s="350">
        <f t="shared" si="50"/>
        <v>2.18E-2</v>
      </c>
      <c r="AB215" s="351">
        <f t="shared" si="54"/>
        <v>0</v>
      </c>
    </row>
    <row r="216" spans="2:28" ht="17.45" hidden="1" customHeight="1" outlineLevel="1">
      <c r="B216" s="204">
        <f t="shared" si="51"/>
        <v>52201</v>
      </c>
      <c r="C216" s="359">
        <v>-704995.99119779118</v>
      </c>
      <c r="D216" s="360">
        <f>IF(ISNUMBER($F216),VLOOKUP($J216,'Table 1'!$B$13:$C$37,2,FALSE)/12*1000*Study_MW,"")</f>
        <v>767797.72323726933</v>
      </c>
      <c r="E216" s="360">
        <f t="shared" si="52"/>
        <v>62801.732039478142</v>
      </c>
      <c r="F216" s="359">
        <v>15565.060646275002</v>
      </c>
      <c r="G216" s="361">
        <f t="shared" si="55"/>
        <v>4.0347887789635903</v>
      </c>
      <c r="I216" s="362">
        <f t="shared" si="44"/>
        <v>233</v>
      </c>
      <c r="J216" s="349">
        <f t="shared" si="45"/>
        <v>2042</v>
      </c>
      <c r="K216" s="204">
        <f t="shared" si="46"/>
        <v>52201</v>
      </c>
      <c r="M216" s="350"/>
      <c r="N216" s="364">
        <f t="shared" si="49"/>
        <v>2.2700986459150347</v>
      </c>
      <c r="O216" s="364">
        <f t="shared" si="49"/>
        <v>0.22161138044992179</v>
      </c>
      <c r="P216" s="364">
        <f t="shared" si="49"/>
        <v>1.6768731024023791</v>
      </c>
      <c r="V216" s="330" t="str">
        <f t="shared" si="47"/>
        <v>Winter</v>
      </c>
      <c r="AA216" s="350">
        <f t="shared" si="50"/>
        <v>2.18E-2</v>
      </c>
      <c r="AB216" s="351">
        <f t="shared" si="54"/>
        <v>0</v>
      </c>
    </row>
    <row r="217" spans="2:28" ht="17.45" hidden="1" customHeight="1" outlineLevel="1">
      <c r="B217" s="202">
        <f t="shared" si="51"/>
        <v>52232</v>
      </c>
      <c r="C217" s="343">
        <v>-209664.51118799159</v>
      </c>
      <c r="D217" s="344">
        <f>IF(ISNUMBER($F217),VLOOKUP($J217,'Table 1'!$B$13:$C$37,2,FALSE)/12*1000*Study_MW,"")</f>
        <v>784535.71384277917</v>
      </c>
      <c r="E217" s="345">
        <f t="shared" si="52"/>
        <v>574871.20265478757</v>
      </c>
      <c r="F217" s="346">
        <v>17943.308888460004</v>
      </c>
      <c r="G217" s="347">
        <f t="shared" si="55"/>
        <v>32.03819352541538</v>
      </c>
      <c r="I217" s="363">
        <f t="shared" si="44"/>
        <v>235</v>
      </c>
      <c r="J217" s="349">
        <f t="shared" si="45"/>
        <v>2043</v>
      </c>
      <c r="K217" s="202">
        <f t="shared" si="46"/>
        <v>52232</v>
      </c>
      <c r="M217" s="350"/>
      <c r="N217" s="364">
        <f t="shared" si="49"/>
        <v>-8.4606280462108385E-2</v>
      </c>
      <c r="O217" s="364">
        <f t="shared" si="49"/>
        <v>5.7842625860648145E-2</v>
      </c>
      <c r="P217" s="364">
        <f t="shared" si="49"/>
        <v>-0.13465982825834977</v>
      </c>
      <c r="V217" s="330" t="str">
        <f t="shared" si="47"/>
        <v>Winter</v>
      </c>
      <c r="AA217" s="350">
        <f t="shared" si="50"/>
        <v>2.18E-2</v>
      </c>
      <c r="AB217" s="351">
        <f t="shared" si="54"/>
        <v>0</v>
      </c>
    </row>
    <row r="218" spans="2:28" ht="17.45" hidden="1" customHeight="1" outlineLevel="1">
      <c r="B218" s="203">
        <f t="shared" si="51"/>
        <v>52263</v>
      </c>
      <c r="C218" s="352">
        <v>472666.06526686519</v>
      </c>
      <c r="D218" s="353">
        <f>IF(ISNUMBER($F218),VLOOKUP($J218,'Table 1'!$B$13:$C$37,2,FALSE)/12*1000*Study_MW,"")</f>
        <v>784535.71384277917</v>
      </c>
      <c r="E218" s="353">
        <f t="shared" si="52"/>
        <v>1257201.7791096442</v>
      </c>
      <c r="F218" s="352">
        <v>20134.57358511</v>
      </c>
      <c r="G218" s="354">
        <f t="shared" si="55"/>
        <v>62.439950555465209</v>
      </c>
      <c r="I218" s="355">
        <f t="shared" si="44"/>
        <v>236</v>
      </c>
      <c r="J218" s="349">
        <f t="shared" si="45"/>
        <v>2043</v>
      </c>
      <c r="K218" s="203">
        <f t="shared" si="46"/>
        <v>52263</v>
      </c>
      <c r="M218" s="350"/>
      <c r="N218" s="364">
        <f t="shared" si="49"/>
        <v>4.2184830760778391E-2</v>
      </c>
      <c r="O218" s="364">
        <f t="shared" si="49"/>
        <v>-2.3762646137859611E-2</v>
      </c>
      <c r="P218" s="364">
        <f t="shared" si="49"/>
        <v>6.7552707994362304E-2</v>
      </c>
      <c r="V218" s="330" t="str">
        <f t="shared" si="47"/>
        <v>Winter</v>
      </c>
      <c r="AA218" s="350">
        <f t="shared" si="50"/>
        <v>2.18E-2</v>
      </c>
      <c r="AB218" s="351">
        <f t="shared" si="54"/>
        <v>0</v>
      </c>
    </row>
    <row r="219" spans="2:28" ht="17.45" hidden="1" customHeight="1" outlineLevel="1">
      <c r="B219" s="203">
        <f t="shared" si="51"/>
        <v>52291</v>
      </c>
      <c r="C219" s="352">
        <v>81343.181874530273</v>
      </c>
      <c r="D219" s="353">
        <f>IF(ISNUMBER($F219),VLOOKUP($J219,'Table 1'!$B$13:$C$37,2,FALSE)/12*1000*Study_MW,"")</f>
        <v>784535.71384277917</v>
      </c>
      <c r="E219" s="353">
        <f t="shared" si="52"/>
        <v>865878.89571730944</v>
      </c>
      <c r="F219" s="352">
        <v>18349.125429259999</v>
      </c>
      <c r="G219" s="354">
        <f t="shared" si="55"/>
        <v>47.189109860056661</v>
      </c>
      <c r="I219" s="355">
        <f t="shared" si="44"/>
        <v>237</v>
      </c>
      <c r="J219" s="349">
        <f t="shared" si="45"/>
        <v>2043</v>
      </c>
      <c r="K219" s="203">
        <f t="shared" si="46"/>
        <v>52291</v>
      </c>
      <c r="M219" s="350"/>
      <c r="N219" s="364">
        <f t="shared" si="49"/>
        <v>-6.0845941231433942E-2</v>
      </c>
      <c r="O219" s="364">
        <f t="shared" si="49"/>
        <v>-3.1854447933596597E-2</v>
      </c>
      <c r="P219" s="364">
        <f t="shared" si="49"/>
        <v>-2.9945387071146468E-2</v>
      </c>
      <c r="V219" s="330" t="str">
        <f t="shared" si="47"/>
        <v>Winter</v>
      </c>
      <c r="AA219" s="350">
        <f t="shared" si="50"/>
        <v>2.18E-2</v>
      </c>
      <c r="AB219" s="351">
        <f t="shared" si="54"/>
        <v>0</v>
      </c>
    </row>
    <row r="220" spans="2:28" ht="17.45" hidden="1" customHeight="1" outlineLevel="1">
      <c r="B220" s="203">
        <f t="shared" si="51"/>
        <v>52322</v>
      </c>
      <c r="C220" s="352">
        <v>151823.42067737773</v>
      </c>
      <c r="D220" s="353">
        <f>IF(ISNUMBER($F220),VLOOKUP($J220,'Table 1'!$B$13:$C$37,2,FALSE)/12*1000*Study_MW,"")</f>
        <v>784535.71384277917</v>
      </c>
      <c r="E220" s="353">
        <f t="shared" si="52"/>
        <v>936359.13452015689</v>
      </c>
      <c r="F220" s="352">
        <v>20661.518720159998</v>
      </c>
      <c r="G220" s="354">
        <f t="shared" si="55"/>
        <v>45.318988754032205</v>
      </c>
      <c r="I220" s="355">
        <f t="shared" si="44"/>
        <v>238</v>
      </c>
      <c r="J220" s="349">
        <f t="shared" si="45"/>
        <v>2043</v>
      </c>
      <c r="K220" s="203">
        <f t="shared" si="46"/>
        <v>52322</v>
      </c>
      <c r="M220" s="350"/>
      <c r="N220" s="364">
        <f t="shared" si="49"/>
        <v>5.6075972191150125E-2</v>
      </c>
      <c r="O220" s="364">
        <f t="shared" si="49"/>
        <v>4.6554547601035834E-2</v>
      </c>
      <c r="P220" s="364">
        <f t="shared" si="49"/>
        <v>9.0978770403700171E-3</v>
      </c>
      <c r="V220" s="330" t="str">
        <f t="shared" si="47"/>
        <v>Winter</v>
      </c>
      <c r="AA220" s="350">
        <f t="shared" si="50"/>
        <v>2.18E-2</v>
      </c>
      <c r="AB220" s="351">
        <f t="shared" si="54"/>
        <v>0</v>
      </c>
    </row>
    <row r="221" spans="2:28" ht="17.45" hidden="1" customHeight="1" outlineLevel="1">
      <c r="B221" s="203">
        <f t="shared" si="51"/>
        <v>52352</v>
      </c>
      <c r="C221" s="352">
        <v>270251.07107609801</v>
      </c>
      <c r="D221" s="353">
        <f>IF(ISNUMBER($F221),VLOOKUP($J221,'Table 1'!$B$13:$C$37,2,FALSE)/12*1000*Study_MW,"")</f>
        <v>784535.71384277917</v>
      </c>
      <c r="E221" s="353">
        <f t="shared" si="52"/>
        <v>1054786.7849188773</v>
      </c>
      <c r="F221" s="352">
        <v>22464.29332414001</v>
      </c>
      <c r="G221" s="354">
        <f t="shared" si="55"/>
        <v>46.9539268250833</v>
      </c>
      <c r="I221" s="355">
        <f t="shared" si="44"/>
        <v>239</v>
      </c>
      <c r="J221" s="349">
        <f t="shared" si="45"/>
        <v>2043</v>
      </c>
      <c r="K221" s="203">
        <f t="shared" si="46"/>
        <v>52352</v>
      </c>
      <c r="M221" s="350"/>
      <c r="N221" s="364">
        <f t="shared" ref="N221:P236" si="56">E221/E209-1</f>
        <v>0.11245698802963422</v>
      </c>
      <c r="O221" s="364">
        <f t="shared" si="56"/>
        <v>-7.1147424967255013E-4</v>
      </c>
      <c r="P221" s="364">
        <f t="shared" si="56"/>
        <v>0.113249036052258</v>
      </c>
      <c r="V221" s="330" t="str">
        <f t="shared" si="47"/>
        <v>Summer</v>
      </c>
      <c r="AA221" s="350">
        <f t="shared" si="50"/>
        <v>2.18E-2</v>
      </c>
      <c r="AB221" s="351">
        <f t="shared" si="54"/>
        <v>0</v>
      </c>
    </row>
    <row r="222" spans="2:28" ht="17.45" hidden="1" customHeight="1" outlineLevel="1">
      <c r="B222" s="203">
        <f t="shared" si="51"/>
        <v>52383</v>
      </c>
      <c r="C222" s="352">
        <v>299067.78743209725</v>
      </c>
      <c r="D222" s="353">
        <f>IF(ISNUMBER($F222),VLOOKUP($J222,'Table 1'!$B$13:$C$37,2,FALSE)/12*1000*Study_MW,"")</f>
        <v>784535.71384277917</v>
      </c>
      <c r="E222" s="353">
        <f t="shared" si="52"/>
        <v>1083603.5012748763</v>
      </c>
      <c r="F222" s="352">
        <v>21524.017336009998</v>
      </c>
      <c r="G222" s="354">
        <f t="shared" si="55"/>
        <v>50.343924387293242</v>
      </c>
      <c r="I222" s="355">
        <f t="shared" si="44"/>
        <v>240</v>
      </c>
      <c r="J222" s="349">
        <f t="shared" si="45"/>
        <v>2043</v>
      </c>
      <c r="K222" s="203">
        <f t="shared" si="46"/>
        <v>52383</v>
      </c>
      <c r="M222" s="350"/>
      <c r="N222" s="364">
        <f t="shared" si="56"/>
        <v>2.9727235494120485E-2</v>
      </c>
      <c r="O222" s="364">
        <f t="shared" si="56"/>
        <v>-1.3949460333498753E-2</v>
      </c>
      <c r="P222" s="364">
        <f t="shared" si="56"/>
        <v>4.429458133291142E-2</v>
      </c>
      <c r="V222" s="330" t="str">
        <f t="shared" si="47"/>
        <v>Summer</v>
      </c>
      <c r="AA222" s="350">
        <f t="shared" si="50"/>
        <v>2.18E-2</v>
      </c>
      <c r="AB222" s="351">
        <f t="shared" si="54"/>
        <v>0</v>
      </c>
    </row>
    <row r="223" spans="2:28" ht="17.45" hidden="1" customHeight="1" outlineLevel="1">
      <c r="B223" s="203">
        <f t="shared" si="51"/>
        <v>52413</v>
      </c>
      <c r="C223" s="352">
        <v>267140.78536391025</v>
      </c>
      <c r="D223" s="353">
        <f>IF(ISNUMBER($F223),VLOOKUP($J223,'Table 1'!$B$13:$C$37,2,FALSE)/12*1000*Study_MW,"")</f>
        <v>784535.71384277917</v>
      </c>
      <c r="E223" s="353">
        <f t="shared" si="52"/>
        <v>1051676.4992066894</v>
      </c>
      <c r="F223" s="352">
        <v>15147.51103519</v>
      </c>
      <c r="G223" s="354">
        <f t="shared" si="55"/>
        <v>69.428997065160274</v>
      </c>
      <c r="I223" s="355">
        <f t="shared" si="44"/>
        <v>241</v>
      </c>
      <c r="J223" s="349">
        <f t="shared" si="45"/>
        <v>2043</v>
      </c>
      <c r="K223" s="203">
        <f t="shared" si="46"/>
        <v>52413</v>
      </c>
      <c r="M223" s="350"/>
      <c r="N223" s="364">
        <f t="shared" si="56"/>
        <v>9.744718491407367E-2</v>
      </c>
      <c r="O223" s="364">
        <f t="shared" si="56"/>
        <v>-3.2901787530697613E-2</v>
      </c>
      <c r="P223" s="364">
        <f t="shared" si="56"/>
        <v>0.13478359360415926</v>
      </c>
      <c r="V223" s="330" t="str">
        <f t="shared" si="47"/>
        <v>Summer</v>
      </c>
      <c r="AA223" s="350">
        <f t="shared" si="50"/>
        <v>2.18E-2</v>
      </c>
      <c r="AB223" s="351">
        <f t="shared" si="54"/>
        <v>0</v>
      </c>
    </row>
    <row r="224" spans="2:28" ht="17.45" hidden="1" customHeight="1" outlineLevel="1">
      <c r="B224" s="203">
        <f t="shared" si="51"/>
        <v>52444</v>
      </c>
      <c r="C224" s="352">
        <v>103542.36305860104</v>
      </c>
      <c r="D224" s="353">
        <f>IF(ISNUMBER($F224),VLOOKUP($J224,'Table 1'!$B$13:$C$37,2,FALSE)/12*1000*Study_MW,"")</f>
        <v>784535.71384277917</v>
      </c>
      <c r="E224" s="353">
        <f t="shared" si="52"/>
        <v>888078.07690138021</v>
      </c>
      <c r="F224" s="352">
        <v>12548.558045939999</v>
      </c>
      <c r="G224" s="354">
        <f t="shared" si="55"/>
        <v>70.771324772945675</v>
      </c>
      <c r="I224" s="355">
        <f t="shared" si="44"/>
        <v>242</v>
      </c>
      <c r="J224" s="349">
        <f t="shared" si="45"/>
        <v>2043</v>
      </c>
      <c r="K224" s="203">
        <f t="shared" si="46"/>
        <v>52444</v>
      </c>
      <c r="M224" s="350"/>
      <c r="N224" s="364">
        <f t="shared" si="56"/>
        <v>5.2695879102620857E-2</v>
      </c>
      <c r="O224" s="364">
        <f t="shared" si="56"/>
        <v>6.1211111135801799E-2</v>
      </c>
      <c r="P224" s="364">
        <f t="shared" si="56"/>
        <v>-8.0240698046095682E-3</v>
      </c>
      <c r="V224" s="330" t="str">
        <f t="shared" si="47"/>
        <v>Summer</v>
      </c>
      <c r="AA224" s="350">
        <f t="shared" si="50"/>
        <v>2.18E-2</v>
      </c>
      <c r="AB224" s="351">
        <f t="shared" si="54"/>
        <v>0</v>
      </c>
    </row>
    <row r="225" spans="2:28" ht="17.45" hidden="1" customHeight="1" outlineLevel="1">
      <c r="B225" s="203">
        <f t="shared" si="51"/>
        <v>52475</v>
      </c>
      <c r="C225" s="352">
        <v>129584.2496647092</v>
      </c>
      <c r="D225" s="353">
        <f>IF(ISNUMBER($F225),VLOOKUP($J225,'Table 1'!$B$13:$C$37,2,FALSE)/12*1000*Study_MW,"")</f>
        <v>784535.71384277917</v>
      </c>
      <c r="E225" s="353">
        <f t="shared" si="52"/>
        <v>914119.96350748837</v>
      </c>
      <c r="F225" s="352">
        <v>12296.434959349997</v>
      </c>
      <c r="G225" s="354">
        <f t="shared" si="55"/>
        <v>74.340243048446112</v>
      </c>
      <c r="I225" s="355">
        <f t="shared" si="44"/>
        <v>243</v>
      </c>
      <c r="J225" s="349">
        <f t="shared" si="45"/>
        <v>2043</v>
      </c>
      <c r="K225" s="203">
        <f t="shared" si="46"/>
        <v>52475</v>
      </c>
      <c r="M225" s="350"/>
      <c r="N225" s="364">
        <f t="shared" si="56"/>
        <v>-4.3844774703378664E-2</v>
      </c>
      <c r="O225" s="364">
        <f t="shared" si="56"/>
        <v>1.0341056975829099E-2</v>
      </c>
      <c r="P225" s="364">
        <f t="shared" si="56"/>
        <v>-5.3631228093806049E-2</v>
      </c>
      <c r="V225" s="330" t="str">
        <f t="shared" si="47"/>
        <v>Winter</v>
      </c>
      <c r="AA225" s="350">
        <f t="shared" si="50"/>
        <v>2.18E-2</v>
      </c>
      <c r="AB225" s="351">
        <f t="shared" si="54"/>
        <v>0</v>
      </c>
    </row>
    <row r="226" spans="2:28" ht="17.45" hidden="1" customHeight="1" outlineLevel="1">
      <c r="B226" s="203">
        <f t="shared" si="51"/>
        <v>52505</v>
      </c>
      <c r="C226" s="352">
        <v>100409.25272053573</v>
      </c>
      <c r="D226" s="353">
        <f>IF(ISNUMBER($F226),VLOOKUP($J226,'Table 1'!$B$13:$C$37,2,FALSE)/12*1000*Study_MW,"")</f>
        <v>784535.71384277917</v>
      </c>
      <c r="E226" s="353">
        <f t="shared" si="52"/>
        <v>884944.9665633149</v>
      </c>
      <c r="F226" s="352">
        <v>22788.968736790001</v>
      </c>
      <c r="G226" s="354">
        <f t="shared" si="55"/>
        <v>38.832163788731677</v>
      </c>
      <c r="I226" s="355">
        <f t="shared" si="44"/>
        <v>244</v>
      </c>
      <c r="J226" s="349">
        <f t="shared" si="45"/>
        <v>2043</v>
      </c>
      <c r="K226" s="203">
        <f t="shared" si="46"/>
        <v>52505</v>
      </c>
      <c r="M226" s="350"/>
      <c r="N226" s="364">
        <f t="shared" si="56"/>
        <v>-0.139249999634941</v>
      </c>
      <c r="O226" s="364">
        <f t="shared" si="56"/>
        <v>-3.1383671000164037E-2</v>
      </c>
      <c r="P226" s="364">
        <f t="shared" si="56"/>
        <v>-0.11136125357927473</v>
      </c>
      <c r="V226" s="330" t="str">
        <f t="shared" si="47"/>
        <v>Winter</v>
      </c>
      <c r="AA226" s="350">
        <f t="shared" si="50"/>
        <v>2.18E-2</v>
      </c>
      <c r="AB226" s="351">
        <f t="shared" si="54"/>
        <v>0</v>
      </c>
    </row>
    <row r="227" spans="2:28" ht="17.45" hidden="1" customHeight="1" outlineLevel="1">
      <c r="B227" s="203">
        <f t="shared" si="51"/>
        <v>52536</v>
      </c>
      <c r="C227" s="352">
        <v>-82525.72507734294</v>
      </c>
      <c r="D227" s="353">
        <f>IF(ISNUMBER($F227),VLOOKUP($J227,'Table 1'!$B$13:$C$37,2,FALSE)/12*1000*Study_MW,"")</f>
        <v>784535.71384277917</v>
      </c>
      <c r="E227" s="353">
        <f t="shared" si="52"/>
        <v>702009.98876543622</v>
      </c>
      <c r="F227" s="352">
        <v>13895.100906430001</v>
      </c>
      <c r="G227" s="354">
        <f t="shared" si="55"/>
        <v>50.522122400750533</v>
      </c>
      <c r="I227" s="355">
        <f t="shared" si="44"/>
        <v>245</v>
      </c>
      <c r="J227" s="349">
        <f t="shared" si="45"/>
        <v>2043</v>
      </c>
      <c r="K227" s="203">
        <f t="shared" si="46"/>
        <v>52536</v>
      </c>
      <c r="M227" s="350"/>
      <c r="N227" s="364">
        <f t="shared" si="56"/>
        <v>0.9009306347269459</v>
      </c>
      <c r="O227" s="364">
        <f t="shared" si="56"/>
        <v>8.6322421467046606E-3</v>
      </c>
      <c r="P227" s="364">
        <f t="shared" si="56"/>
        <v>0.88466177789551304</v>
      </c>
      <c r="V227" s="330" t="str">
        <f t="shared" si="47"/>
        <v>Winter</v>
      </c>
      <c r="AA227" s="350">
        <f t="shared" si="50"/>
        <v>2.18E-2</v>
      </c>
      <c r="AB227" s="351">
        <f t="shared" si="54"/>
        <v>0</v>
      </c>
    </row>
    <row r="228" spans="2:28" ht="17.45" hidden="1" customHeight="1" outlineLevel="1">
      <c r="B228" s="204">
        <f t="shared" si="51"/>
        <v>52566</v>
      </c>
      <c r="C228" s="359">
        <v>-321699.78315123398</v>
      </c>
      <c r="D228" s="360">
        <f>IF(ISNUMBER($F228),VLOOKUP($J228,'Table 1'!$B$13:$C$37,2,FALSE)/12*1000*Study_MW,"")</f>
        <v>784535.71384277917</v>
      </c>
      <c r="E228" s="360">
        <f t="shared" si="52"/>
        <v>462835.93069154519</v>
      </c>
      <c r="F228" s="359">
        <v>15313.756105619334</v>
      </c>
      <c r="G228" s="361">
        <f t="shared" si="55"/>
        <v>30.223540684555438</v>
      </c>
      <c r="I228" s="362">
        <f t="shared" si="44"/>
        <v>246</v>
      </c>
      <c r="J228" s="349">
        <f t="shared" si="45"/>
        <v>2043</v>
      </c>
      <c r="K228" s="204">
        <f t="shared" si="46"/>
        <v>52566</v>
      </c>
      <c r="M228" s="350"/>
      <c r="N228" s="364">
        <f t="shared" si="56"/>
        <v>6.3697956355821423</v>
      </c>
      <c r="O228" s="364">
        <f t="shared" si="56"/>
        <v>-1.6145426372997096E-2</v>
      </c>
      <c r="P228" s="364">
        <f t="shared" si="56"/>
        <v>6.4907367746568658</v>
      </c>
      <c r="V228" s="330" t="str">
        <f t="shared" si="47"/>
        <v>Winter</v>
      </c>
      <c r="AA228" s="350">
        <f t="shared" si="50"/>
        <v>2.18E-2</v>
      </c>
      <c r="AB228" s="351">
        <f t="shared" si="54"/>
        <v>0</v>
      </c>
    </row>
    <row r="229" spans="2:28" ht="17.45" hidden="1" customHeight="1" outlineLevel="1">
      <c r="B229" s="202">
        <f t="shared" si="51"/>
        <v>52597</v>
      </c>
      <c r="C229" s="343">
        <v>-145224.22433792963</v>
      </c>
      <c r="D229" s="344">
        <f>IF(ISNUMBER($F229),VLOOKUP($J229,'Table 1'!$B$13:$C$37,2,FALSE)/12*1000*Study_MW,"")</f>
        <v>801638.59220946487</v>
      </c>
      <c r="E229" s="345">
        <f t="shared" si="52"/>
        <v>656414.36787153524</v>
      </c>
      <c r="F229" s="346">
        <v>18859.187018470002</v>
      </c>
      <c r="G229" s="347">
        <f t="shared" si="55"/>
        <v>34.80607977579664</v>
      </c>
      <c r="I229" s="363">
        <f t="shared" si="44"/>
        <v>248</v>
      </c>
      <c r="J229" s="349">
        <f t="shared" si="45"/>
        <v>2044</v>
      </c>
      <c r="K229" s="202">
        <f t="shared" si="46"/>
        <v>52597</v>
      </c>
      <c r="M229" s="350"/>
      <c r="N229" s="364">
        <f t="shared" si="56"/>
        <v>0.14184597322004788</v>
      </c>
      <c r="O229" s="364">
        <f t="shared" si="56"/>
        <v>5.1042878195059815E-2</v>
      </c>
      <c r="P229" s="364">
        <f t="shared" si="56"/>
        <v>8.6393330765841769E-2</v>
      </c>
      <c r="V229" s="330" t="str">
        <f t="shared" si="47"/>
        <v>Winter</v>
      </c>
      <c r="AA229" s="350">
        <f t="shared" si="50"/>
        <v>2.18E-2</v>
      </c>
      <c r="AB229" s="351">
        <f t="shared" si="54"/>
        <v>0</v>
      </c>
    </row>
    <row r="230" spans="2:28" ht="17.45" hidden="1" customHeight="1" outlineLevel="1">
      <c r="B230" s="203">
        <f t="shared" si="51"/>
        <v>52628</v>
      </c>
      <c r="C230" s="352">
        <v>556777.272981446</v>
      </c>
      <c r="D230" s="353">
        <f>IF(ISNUMBER($F230),VLOOKUP($J230,'Table 1'!$B$13:$C$37,2,FALSE)/12*1000*Study_MW,"")</f>
        <v>801638.59220946487</v>
      </c>
      <c r="E230" s="353">
        <f t="shared" si="52"/>
        <v>1358415.8651909109</v>
      </c>
      <c r="F230" s="352">
        <v>19304.138292299998</v>
      </c>
      <c r="G230" s="354">
        <f t="shared" si="55"/>
        <v>70.369153215854936</v>
      </c>
      <c r="I230" s="355">
        <f t="shared" si="44"/>
        <v>249</v>
      </c>
      <c r="J230" s="349">
        <f t="shared" si="45"/>
        <v>2044</v>
      </c>
      <c r="K230" s="203">
        <f t="shared" si="46"/>
        <v>52628</v>
      </c>
      <c r="M230" s="350"/>
      <c r="N230" s="364">
        <f t="shared" si="56"/>
        <v>8.0507431474482027E-2</v>
      </c>
      <c r="O230" s="364">
        <f t="shared" si="56"/>
        <v>-4.1244245342455521E-2</v>
      </c>
      <c r="P230" s="364">
        <f t="shared" si="56"/>
        <v>0.1269892527116312</v>
      </c>
      <c r="V230" s="330" t="str">
        <f t="shared" si="47"/>
        <v>Winter</v>
      </c>
      <c r="AA230" s="350">
        <f t="shared" si="50"/>
        <v>2.18E-2</v>
      </c>
      <c r="AB230" s="351">
        <f t="shared" si="54"/>
        <v>0</v>
      </c>
    </row>
    <row r="231" spans="2:28" ht="17.45" hidden="1" customHeight="1" outlineLevel="1">
      <c r="B231" s="203">
        <f t="shared" si="51"/>
        <v>52657</v>
      </c>
      <c r="C231" s="352">
        <v>48858.882326094317</v>
      </c>
      <c r="D231" s="353">
        <f>IF(ISNUMBER($F231),VLOOKUP($J231,'Table 1'!$B$13:$C$37,2,FALSE)/12*1000*Study_MW,"")</f>
        <v>801638.59220946487</v>
      </c>
      <c r="E231" s="353">
        <f t="shared" si="52"/>
        <v>850497.47453555919</v>
      </c>
      <c r="F231" s="352">
        <v>17956.003675159998</v>
      </c>
      <c r="G231" s="354">
        <f t="shared" si="55"/>
        <v>47.365632683185602</v>
      </c>
      <c r="I231" s="355">
        <f t="shared" si="44"/>
        <v>250</v>
      </c>
      <c r="J231" s="349">
        <f t="shared" si="45"/>
        <v>2044</v>
      </c>
      <c r="K231" s="203">
        <f t="shared" si="46"/>
        <v>52657</v>
      </c>
      <c r="M231" s="350"/>
      <c r="N231" s="364">
        <f t="shared" si="56"/>
        <v>-1.7763940497715902E-2</v>
      </c>
      <c r="O231" s="364">
        <f t="shared" si="56"/>
        <v>-2.1424549939209503E-2</v>
      </c>
      <c r="P231" s="364">
        <f t="shared" si="56"/>
        <v>3.7407533995117426E-3</v>
      </c>
      <c r="V231" s="330" t="str">
        <f t="shared" si="47"/>
        <v>Winter</v>
      </c>
      <c r="AA231" s="350">
        <f t="shared" si="50"/>
        <v>2.18E-2</v>
      </c>
      <c r="AB231" s="351">
        <f t="shared" si="54"/>
        <v>0</v>
      </c>
    </row>
    <row r="232" spans="2:28" ht="17.45" hidden="1" customHeight="1" outlineLevel="1">
      <c r="B232" s="203">
        <f t="shared" si="51"/>
        <v>52688</v>
      </c>
      <c r="C232" s="352">
        <v>53405.344313025125</v>
      </c>
      <c r="D232" s="353">
        <f>IF(ISNUMBER($F232),VLOOKUP($J232,'Table 1'!$B$13:$C$37,2,FALSE)/12*1000*Study_MW,"")</f>
        <v>801638.59220946487</v>
      </c>
      <c r="E232" s="353">
        <f t="shared" si="52"/>
        <v>855043.93652249</v>
      </c>
      <c r="F232" s="352">
        <v>22296.220530250001</v>
      </c>
      <c r="G232" s="354">
        <f t="shared" si="55"/>
        <v>38.34927697106442</v>
      </c>
      <c r="I232" s="355">
        <f t="shared" si="44"/>
        <v>251</v>
      </c>
      <c r="J232" s="349">
        <f t="shared" si="45"/>
        <v>2044</v>
      </c>
      <c r="K232" s="203">
        <f t="shared" si="46"/>
        <v>52688</v>
      </c>
      <c r="M232" s="350"/>
      <c r="N232" s="364">
        <f t="shared" si="56"/>
        <v>-8.6841891107664937E-2</v>
      </c>
      <c r="O232" s="364">
        <f t="shared" si="56"/>
        <v>7.9118182561041861E-2</v>
      </c>
      <c r="P232" s="364">
        <f t="shared" si="56"/>
        <v>-0.15379230593153215</v>
      </c>
      <c r="V232" s="330" t="str">
        <f t="shared" si="47"/>
        <v>Winter</v>
      </c>
      <c r="AA232" s="350">
        <f t="shared" si="50"/>
        <v>2.18E-2</v>
      </c>
      <c r="AB232" s="351">
        <f t="shared" si="54"/>
        <v>0</v>
      </c>
    </row>
    <row r="233" spans="2:28" ht="17.45" hidden="1" customHeight="1" outlineLevel="1">
      <c r="B233" s="203">
        <f t="shared" si="51"/>
        <v>52718</v>
      </c>
      <c r="C233" s="352">
        <v>17327.477347309468</v>
      </c>
      <c r="D233" s="353">
        <f>IF(ISNUMBER($F233),VLOOKUP($J233,'Table 1'!$B$13:$C$37,2,FALSE)/12*1000*Study_MW,"")</f>
        <v>801638.59220946487</v>
      </c>
      <c r="E233" s="353">
        <f t="shared" si="52"/>
        <v>818966.06955677434</v>
      </c>
      <c r="F233" s="352">
        <v>22706.788430020009</v>
      </c>
      <c r="G233" s="354">
        <f t="shared" si="55"/>
        <v>36.067014588203158</v>
      </c>
      <c r="I233" s="355">
        <f t="shared" si="44"/>
        <v>252</v>
      </c>
      <c r="J233" s="349">
        <f t="shared" si="45"/>
        <v>2044</v>
      </c>
      <c r="K233" s="203">
        <f t="shared" si="46"/>
        <v>52718</v>
      </c>
      <c r="M233" s="350"/>
      <c r="N233" s="364">
        <f t="shared" si="56"/>
        <v>-0.22357192821698058</v>
      </c>
      <c r="O233" s="364">
        <f t="shared" si="56"/>
        <v>1.0794691040622029E-2</v>
      </c>
      <c r="P233" s="364">
        <f t="shared" si="56"/>
        <v>-0.23186372201492289</v>
      </c>
      <c r="V233" s="330" t="str">
        <f t="shared" si="47"/>
        <v>Summer</v>
      </c>
      <c r="AA233" s="350">
        <f t="shared" si="50"/>
        <v>2.18E-2</v>
      </c>
      <c r="AB233" s="351">
        <f t="shared" si="54"/>
        <v>0</v>
      </c>
    </row>
    <row r="234" spans="2:28" ht="17.45" hidden="1" customHeight="1" outlineLevel="1">
      <c r="B234" s="203">
        <f t="shared" si="51"/>
        <v>52749</v>
      </c>
      <c r="C234" s="352">
        <v>545123.54239923297</v>
      </c>
      <c r="D234" s="353">
        <f>IF(ISNUMBER($F234),VLOOKUP($J234,'Table 1'!$B$13:$C$37,2,FALSE)/12*1000*Study_MW,"")</f>
        <v>801638.59220946487</v>
      </c>
      <c r="E234" s="353">
        <f t="shared" si="52"/>
        <v>1346762.1346086978</v>
      </c>
      <c r="F234" s="352">
        <v>21745.812183619997</v>
      </c>
      <c r="G234" s="354">
        <f t="shared" si="55"/>
        <v>61.932022737837521</v>
      </c>
      <c r="I234" s="355">
        <f t="shared" si="44"/>
        <v>253</v>
      </c>
      <c r="J234" s="349">
        <f t="shared" si="45"/>
        <v>2044</v>
      </c>
      <c r="K234" s="203">
        <f t="shared" si="46"/>
        <v>52749</v>
      </c>
      <c r="M234" s="350"/>
      <c r="N234" s="364">
        <f t="shared" si="56"/>
        <v>0.24285509692817664</v>
      </c>
      <c r="O234" s="364">
        <f t="shared" si="56"/>
        <v>1.0304528385550737E-2</v>
      </c>
      <c r="P234" s="364">
        <f t="shared" si="56"/>
        <v>0.23017868574165234</v>
      </c>
      <c r="V234" s="330" t="str">
        <f t="shared" si="47"/>
        <v>Summer</v>
      </c>
      <c r="AA234" s="350">
        <f t="shared" si="50"/>
        <v>2.18E-2</v>
      </c>
      <c r="AB234" s="351">
        <f t="shared" si="54"/>
        <v>0</v>
      </c>
    </row>
    <row r="235" spans="2:28" ht="17.45" hidden="1" customHeight="1" outlineLevel="1">
      <c r="B235" s="203">
        <f t="shared" si="51"/>
        <v>52779</v>
      </c>
      <c r="C235" s="352">
        <v>149471.16860505776</v>
      </c>
      <c r="D235" s="353">
        <f>IF(ISNUMBER($F235),VLOOKUP($J235,'Table 1'!$B$13:$C$37,2,FALSE)/12*1000*Study_MW,"")</f>
        <v>801638.59220946487</v>
      </c>
      <c r="E235" s="353">
        <f t="shared" si="52"/>
        <v>951109.76081452263</v>
      </c>
      <c r="F235" s="352">
        <v>13611.277785999999</v>
      </c>
      <c r="G235" s="354">
        <f t="shared" si="55"/>
        <v>69.876596140943875</v>
      </c>
      <c r="I235" s="355">
        <f t="shared" si="44"/>
        <v>254</v>
      </c>
      <c r="J235" s="349">
        <f t="shared" si="45"/>
        <v>2044</v>
      </c>
      <c r="K235" s="203">
        <f t="shared" si="46"/>
        <v>52779</v>
      </c>
      <c r="M235" s="350"/>
      <c r="N235" s="364">
        <f t="shared" si="56"/>
        <v>-9.5625164647139327E-2</v>
      </c>
      <c r="O235" s="364">
        <f t="shared" si="56"/>
        <v>-0.10141819640342864</v>
      </c>
      <c r="P235" s="364">
        <f t="shared" si="56"/>
        <v>6.4468607455689941E-3</v>
      </c>
      <c r="V235" s="330" t="str">
        <f t="shared" si="47"/>
        <v>Summer</v>
      </c>
      <c r="AA235" s="350">
        <f t="shared" si="50"/>
        <v>2.18E-2</v>
      </c>
      <c r="AB235" s="351">
        <f t="shared" si="54"/>
        <v>0</v>
      </c>
    </row>
    <row r="236" spans="2:28" ht="17.45" hidden="1" customHeight="1" outlineLevel="1">
      <c r="B236" s="203">
        <f t="shared" si="51"/>
        <v>52810</v>
      </c>
      <c r="C236" s="352">
        <v>133801.46689916728</v>
      </c>
      <c r="D236" s="353">
        <f>IF(ISNUMBER($F236),VLOOKUP($J236,'Table 1'!$B$13:$C$37,2,FALSE)/12*1000*Study_MW,"")</f>
        <v>801638.59220946487</v>
      </c>
      <c r="E236" s="353">
        <f t="shared" si="52"/>
        <v>935440.05910863215</v>
      </c>
      <c r="F236" s="352">
        <v>13189.19712069</v>
      </c>
      <c r="G236" s="354">
        <f t="shared" si="55"/>
        <v>70.924715928401724</v>
      </c>
      <c r="I236" s="355">
        <f t="shared" si="44"/>
        <v>255</v>
      </c>
      <c r="J236" s="349">
        <f t="shared" si="45"/>
        <v>2044</v>
      </c>
      <c r="K236" s="203">
        <f t="shared" si="46"/>
        <v>52810</v>
      </c>
      <c r="M236" s="350"/>
      <c r="N236" s="364">
        <f t="shared" si="56"/>
        <v>5.3330876461340049E-2</v>
      </c>
      <c r="O236" s="364">
        <f t="shared" si="56"/>
        <v>5.105280402773249E-2</v>
      </c>
      <c r="P236" s="364">
        <f t="shared" si="56"/>
        <v>2.1674195862260159E-3</v>
      </c>
      <c r="V236" s="330" t="str">
        <f t="shared" si="47"/>
        <v>Summer</v>
      </c>
      <c r="AA236" s="350">
        <f t="shared" si="50"/>
        <v>2.18E-2</v>
      </c>
      <c r="AB236" s="351">
        <f t="shared" si="54"/>
        <v>0</v>
      </c>
    </row>
    <row r="237" spans="2:28" ht="17.45" hidden="1" customHeight="1" outlineLevel="1">
      <c r="B237" s="203">
        <f t="shared" si="51"/>
        <v>52841</v>
      </c>
      <c r="C237" s="352">
        <v>139662.84995008027</v>
      </c>
      <c r="D237" s="353">
        <f>IF(ISNUMBER($F237),VLOOKUP($J237,'Table 1'!$B$13:$C$37,2,FALSE)/12*1000*Study_MW,"")</f>
        <v>801638.59220946487</v>
      </c>
      <c r="E237" s="353">
        <f t="shared" si="52"/>
        <v>941301.44215954514</v>
      </c>
      <c r="F237" s="352">
        <v>11582.931032570001</v>
      </c>
      <c r="G237" s="354">
        <f t="shared" si="55"/>
        <v>81.266256313941881</v>
      </c>
      <c r="I237" s="355">
        <f t="shared" si="44"/>
        <v>256</v>
      </c>
      <c r="J237" s="349">
        <f t="shared" si="45"/>
        <v>2044</v>
      </c>
      <c r="K237" s="203">
        <f t="shared" si="46"/>
        <v>52841</v>
      </c>
      <c r="M237" s="350"/>
      <c r="N237" s="364">
        <f t="shared" ref="N237:P252" si="57">E237/E225-1</f>
        <v>2.9735132955373889E-2</v>
      </c>
      <c r="O237" s="364">
        <f t="shared" si="57"/>
        <v>-5.802526741602132E-2</v>
      </c>
      <c r="P237" s="364">
        <f t="shared" si="57"/>
        <v>9.3166405993349022E-2</v>
      </c>
      <c r="V237" s="330" t="str">
        <f t="shared" si="47"/>
        <v>Winter</v>
      </c>
      <c r="AA237" s="350">
        <f t="shared" si="50"/>
        <v>2.18E-2</v>
      </c>
      <c r="AB237" s="351">
        <f t="shared" si="54"/>
        <v>0</v>
      </c>
    </row>
    <row r="238" spans="2:28" ht="17.45" hidden="1" customHeight="1" outlineLevel="1">
      <c r="B238" s="203">
        <f t="shared" si="51"/>
        <v>52871</v>
      </c>
      <c r="C238" s="352">
        <v>615061.450743975</v>
      </c>
      <c r="D238" s="353">
        <f>IF(ISNUMBER($F238),VLOOKUP($J238,'Table 1'!$B$13:$C$37,2,FALSE)/12*1000*Study_MW,"")</f>
        <v>801638.59220946487</v>
      </c>
      <c r="E238" s="353">
        <f t="shared" si="52"/>
        <v>1416700.04295344</v>
      </c>
      <c r="F238" s="352">
        <v>23195.825556000003</v>
      </c>
      <c r="G238" s="354">
        <f t="shared" si="55"/>
        <v>61.075646543952644</v>
      </c>
      <c r="I238" s="355">
        <f t="shared" si="44"/>
        <v>257</v>
      </c>
      <c r="J238" s="349">
        <f t="shared" si="45"/>
        <v>2044</v>
      </c>
      <c r="K238" s="203">
        <f t="shared" si="46"/>
        <v>52871</v>
      </c>
      <c r="M238" s="350"/>
      <c r="N238" s="364">
        <f t="shared" si="57"/>
        <v>0.60089055984486439</v>
      </c>
      <c r="O238" s="364">
        <f t="shared" si="57"/>
        <v>1.7853235216966246E-2</v>
      </c>
      <c r="P238" s="364">
        <f t="shared" si="57"/>
        <v>0.57281079870382046</v>
      </c>
      <c r="V238" s="330" t="str">
        <f t="shared" si="47"/>
        <v>Winter</v>
      </c>
      <c r="AA238" s="350">
        <f t="shared" si="50"/>
        <v>2.18E-2</v>
      </c>
      <c r="AB238" s="351">
        <f t="shared" si="54"/>
        <v>0</v>
      </c>
    </row>
    <row r="239" spans="2:28" ht="17.45" hidden="1" customHeight="1" outlineLevel="1">
      <c r="B239" s="203">
        <f t="shared" si="51"/>
        <v>52902</v>
      </c>
      <c r="C239" s="352">
        <v>-384753.24471612112</v>
      </c>
      <c r="D239" s="353">
        <f>IF(ISNUMBER($F239),VLOOKUP($J239,'Table 1'!$B$13:$C$37,2,FALSE)/12*1000*Study_MW,"")</f>
        <v>801638.59220946487</v>
      </c>
      <c r="E239" s="353">
        <f t="shared" si="52"/>
        <v>416885.34749334375</v>
      </c>
      <c r="F239" s="352">
        <v>14022.606174700002</v>
      </c>
      <c r="G239" s="354">
        <f t="shared" si="55"/>
        <v>29.729519769691638</v>
      </c>
      <c r="I239" s="355">
        <f t="shared" si="44"/>
        <v>258</v>
      </c>
      <c r="J239" s="349">
        <f t="shared" si="45"/>
        <v>2044</v>
      </c>
      <c r="K239" s="203">
        <f t="shared" si="46"/>
        <v>52902</v>
      </c>
      <c r="M239" s="350"/>
      <c r="N239" s="364">
        <f t="shared" si="57"/>
        <v>-0.40615467847333098</v>
      </c>
      <c r="O239" s="364">
        <f t="shared" si="57"/>
        <v>9.1762750863506604E-3</v>
      </c>
      <c r="P239" s="364">
        <f t="shared" si="57"/>
        <v>-0.41155441701613882</v>
      </c>
      <c r="V239" s="330" t="str">
        <f t="shared" si="47"/>
        <v>Winter</v>
      </c>
      <c r="AA239" s="350">
        <f t="shared" si="50"/>
        <v>2.18E-2</v>
      </c>
      <c r="AB239" s="351">
        <f t="shared" si="54"/>
        <v>0</v>
      </c>
    </row>
    <row r="240" spans="2:28" ht="17.45" hidden="1" customHeight="1" outlineLevel="1">
      <c r="B240" s="204">
        <f t="shared" si="51"/>
        <v>52932</v>
      </c>
      <c r="C240" s="359">
        <v>-696529.33399765729</v>
      </c>
      <c r="D240" s="360">
        <f>IF(ISNUMBER($F240),VLOOKUP($J240,'Table 1'!$B$13:$C$37,2,FALSE)/12*1000*Study_MW,"")</f>
        <v>801638.59220946487</v>
      </c>
      <c r="E240" s="360">
        <f t="shared" si="52"/>
        <v>105109.25821180758</v>
      </c>
      <c r="F240" s="359">
        <v>14720.04135224138</v>
      </c>
      <c r="G240" s="361">
        <f t="shared" si="55"/>
        <v>7.140554547138068</v>
      </c>
      <c r="I240" s="362">
        <f t="shared" si="44"/>
        <v>259</v>
      </c>
      <c r="J240" s="349">
        <f t="shared" si="45"/>
        <v>2044</v>
      </c>
      <c r="K240" s="204">
        <f t="shared" si="46"/>
        <v>52932</v>
      </c>
      <c r="M240" s="350"/>
      <c r="N240" s="364">
        <f t="shared" si="57"/>
        <v>-0.77290168882359922</v>
      </c>
      <c r="O240" s="364">
        <f t="shared" si="57"/>
        <v>-3.8770028024678549E-2</v>
      </c>
      <c r="P240" s="364">
        <f t="shared" si="57"/>
        <v>-0.76374195791074306</v>
      </c>
      <c r="V240" s="330" t="str">
        <f t="shared" si="47"/>
        <v>Winter</v>
      </c>
      <c r="AA240" s="350">
        <f t="shared" si="50"/>
        <v>2.18E-2</v>
      </c>
      <c r="AB240" s="351">
        <f t="shared" si="54"/>
        <v>0</v>
      </c>
    </row>
    <row r="241" spans="2:28" ht="17.45" customHeight="1" collapsed="1">
      <c r="B241" s="202">
        <f t="shared" si="51"/>
        <v>52963</v>
      </c>
      <c r="C241" s="343">
        <v>-148390.1124284965</v>
      </c>
      <c r="D241" s="344">
        <f>IF(ISNUMBER($F241),VLOOKUP($J241,'Table 1'!$B$13:$C$37,2,FALSE)/12*1000*Study_MW,"")</f>
        <v>819114.31388897367</v>
      </c>
      <c r="E241" s="345">
        <f t="shared" si="52"/>
        <v>670724.2014604772</v>
      </c>
      <c r="F241" s="346">
        <v>18859.187018470002</v>
      </c>
      <c r="G241" s="347">
        <f t="shared" si="55"/>
        <v>35.564852334493224</v>
      </c>
      <c r="I241" s="363">
        <f t="shared" si="44"/>
        <v>261</v>
      </c>
      <c r="J241" s="349">
        <f t="shared" ref="J241:J252" si="58">YEAR(B241)</f>
        <v>2045</v>
      </c>
      <c r="K241" s="202">
        <f t="shared" ref="K241:K252" si="59">IF(ISNUMBER(F241),IF(F241&lt;&gt;0,B241,""),"")</f>
        <v>52963</v>
      </c>
      <c r="M241" s="350"/>
      <c r="N241" s="364">
        <f t="shared" si="57"/>
        <v>2.1800000562666622E-2</v>
      </c>
      <c r="O241" s="364">
        <f t="shared" si="57"/>
        <v>0</v>
      </c>
      <c r="P241" s="364">
        <f t="shared" si="57"/>
        <v>2.1800000562666622E-2</v>
      </c>
      <c r="V241" s="330" t="str">
        <f t="shared" si="47"/>
        <v>Winter</v>
      </c>
      <c r="AA241" s="350">
        <f t="shared" si="50"/>
        <v>2.18E-2</v>
      </c>
      <c r="AB241" s="351">
        <f t="shared" si="54"/>
        <v>0</v>
      </c>
    </row>
    <row r="242" spans="2:28" ht="17.45" customHeight="1">
      <c r="B242" s="203">
        <f t="shared" si="51"/>
        <v>52994</v>
      </c>
      <c r="C242" s="352">
        <v>568915.01753244153</v>
      </c>
      <c r="D242" s="353">
        <f>IF(ISNUMBER($F242),VLOOKUP($J242,'Table 1'!$B$13:$C$37,2,FALSE)/12*1000*Study_MW,"")</f>
        <v>819114.31388897367</v>
      </c>
      <c r="E242" s="353">
        <f t="shared" si="52"/>
        <v>1388029.3314214153</v>
      </c>
      <c r="F242" s="352">
        <v>18638.478351186204</v>
      </c>
      <c r="G242" s="354">
        <f t="shared" si="55"/>
        <v>74.471172231346728</v>
      </c>
      <c r="I242" s="355">
        <f t="shared" si="44"/>
        <v>262</v>
      </c>
      <c r="J242" s="349">
        <f t="shared" si="58"/>
        <v>2045</v>
      </c>
      <c r="K242" s="203">
        <f t="shared" si="59"/>
        <v>52994</v>
      </c>
      <c r="M242" s="350"/>
      <c r="N242" s="364">
        <f t="shared" si="57"/>
        <v>2.1800000271892106E-2</v>
      </c>
      <c r="O242" s="364">
        <f t="shared" si="57"/>
        <v>-3.4482758620689724E-2</v>
      </c>
      <c r="P242" s="364">
        <f t="shared" si="57"/>
        <v>5.8292857424459665E-2</v>
      </c>
      <c r="V242" s="330" t="str">
        <f t="shared" si="47"/>
        <v>Winter</v>
      </c>
      <c r="AA242" s="350">
        <f t="shared" si="50"/>
        <v>2.18E-2</v>
      </c>
      <c r="AB242" s="351">
        <f t="shared" si="54"/>
        <v>0</v>
      </c>
    </row>
    <row r="243" spans="2:28" ht="17.45" customHeight="1">
      <c r="B243" s="203">
        <f t="shared" si="51"/>
        <v>53022</v>
      </c>
      <c r="C243" s="352">
        <v>49924.005960803173</v>
      </c>
      <c r="D243" s="353">
        <f>IF(ISNUMBER($F243),VLOOKUP($J243,'Table 1'!$B$13:$C$37,2,FALSE)/12*1000*Study_MW,"")</f>
        <v>819114.31388897367</v>
      </c>
      <c r="E243" s="353">
        <f t="shared" si="52"/>
        <v>869038.3198497768</v>
      </c>
      <c r="F243" s="352">
        <v>17956.003675159998</v>
      </c>
      <c r="G243" s="354">
        <f t="shared" si="55"/>
        <v>48.39820349624835</v>
      </c>
      <c r="I243" s="355">
        <f t="shared" si="44"/>
        <v>263</v>
      </c>
      <c r="J243" s="349">
        <f t="shared" si="58"/>
        <v>2045</v>
      </c>
      <c r="K243" s="203">
        <f t="shared" si="59"/>
        <v>53022</v>
      </c>
      <c r="M243" s="350"/>
      <c r="N243" s="364">
        <f t="shared" si="57"/>
        <v>2.1800000434266442E-2</v>
      </c>
      <c r="O243" s="364">
        <f t="shared" si="57"/>
        <v>0</v>
      </c>
      <c r="P243" s="364">
        <f t="shared" si="57"/>
        <v>2.1800000434266442E-2</v>
      </c>
      <c r="V243" s="330" t="str">
        <f t="shared" si="47"/>
        <v>Winter</v>
      </c>
      <c r="AA243" s="350">
        <f t="shared" si="50"/>
        <v>2.18E-2</v>
      </c>
      <c r="AB243" s="351">
        <f t="shared" si="54"/>
        <v>0</v>
      </c>
    </row>
    <row r="244" spans="2:28" ht="17.45" customHeight="1">
      <c r="B244" s="203">
        <f t="shared" si="51"/>
        <v>53053</v>
      </c>
      <c r="C244" s="352">
        <v>54569.580819049079</v>
      </c>
      <c r="D244" s="353">
        <f>IF(ISNUMBER($F244),VLOOKUP($J244,'Table 1'!$B$13:$C$37,2,FALSE)/12*1000*Study_MW,"")</f>
        <v>819114.31388897367</v>
      </c>
      <c r="E244" s="353">
        <f t="shared" si="52"/>
        <v>873683.89470802271</v>
      </c>
      <c r="F244" s="352">
        <v>22296.220530250001</v>
      </c>
      <c r="G244" s="354">
        <f t="shared" si="55"/>
        <v>39.185291225598867</v>
      </c>
      <c r="I244" s="355">
        <f t="shared" si="44"/>
        <v>264</v>
      </c>
      <c r="J244" s="349">
        <f t="shared" si="58"/>
        <v>2045</v>
      </c>
      <c r="K244" s="203">
        <f t="shared" si="59"/>
        <v>53053</v>
      </c>
      <c r="M244" s="350"/>
      <c r="N244" s="364">
        <f t="shared" si="57"/>
        <v>2.1800000431957178E-2</v>
      </c>
      <c r="O244" s="364">
        <f t="shared" si="57"/>
        <v>0</v>
      </c>
      <c r="P244" s="364">
        <f t="shared" si="57"/>
        <v>2.1800000431957178E-2</v>
      </c>
      <c r="V244" s="330" t="str">
        <f t="shared" si="47"/>
        <v>Winter</v>
      </c>
      <c r="AA244" s="350">
        <f t="shared" si="50"/>
        <v>2.18E-2</v>
      </c>
      <c r="AB244" s="351">
        <f t="shared" si="54"/>
        <v>0</v>
      </c>
    </row>
    <row r="245" spans="2:28" ht="17.45" customHeight="1">
      <c r="B245" s="203">
        <f t="shared" si="51"/>
        <v>53083</v>
      </c>
      <c r="C245" s="352">
        <v>17705.216353480817</v>
      </c>
      <c r="D245" s="353">
        <f>IF(ISNUMBER($F245),VLOOKUP($J245,'Table 1'!$B$13:$C$37,2,FALSE)/12*1000*Study_MW,"")</f>
        <v>819114.31388897367</v>
      </c>
      <c r="E245" s="353">
        <f t="shared" si="52"/>
        <v>836819.53024245449</v>
      </c>
      <c r="F245" s="352">
        <v>22706.788430020009</v>
      </c>
      <c r="G245" s="354">
        <f t="shared" si="55"/>
        <v>36.853275522491714</v>
      </c>
      <c r="I245" s="355">
        <f t="shared" si="44"/>
        <v>265</v>
      </c>
      <c r="J245" s="349">
        <f t="shared" si="58"/>
        <v>2045</v>
      </c>
      <c r="K245" s="203">
        <f t="shared" si="59"/>
        <v>53083</v>
      </c>
      <c r="M245" s="350"/>
      <c r="N245" s="364">
        <f t="shared" si="57"/>
        <v>2.1800000450986401E-2</v>
      </c>
      <c r="O245" s="364">
        <f t="shared" si="57"/>
        <v>0</v>
      </c>
      <c r="P245" s="364">
        <f t="shared" si="57"/>
        <v>2.1800000450986179E-2</v>
      </c>
      <c r="V245" s="330" t="str">
        <f t="shared" si="47"/>
        <v>Summer</v>
      </c>
      <c r="AA245" s="350">
        <f t="shared" si="50"/>
        <v>2.18E-2</v>
      </c>
      <c r="AB245" s="351">
        <f t="shared" si="54"/>
        <v>0</v>
      </c>
    </row>
    <row r="246" spans="2:28" ht="17.45" customHeight="1">
      <c r="B246" s="203">
        <f t="shared" si="51"/>
        <v>53114</v>
      </c>
      <c r="C246" s="352">
        <v>557007.23562353628</v>
      </c>
      <c r="D246" s="353">
        <f>IF(ISNUMBER($F246),VLOOKUP($J246,'Table 1'!$B$13:$C$37,2,FALSE)/12*1000*Study_MW,"")</f>
        <v>819114.31388897367</v>
      </c>
      <c r="E246" s="353">
        <f t="shared" si="52"/>
        <v>1376121.54951251</v>
      </c>
      <c r="F246" s="352">
        <v>21745.812183619997</v>
      </c>
      <c r="G246" s="354">
        <f t="shared" si="55"/>
        <v>63.282140850506913</v>
      </c>
      <c r="I246" s="355">
        <f t="shared" si="44"/>
        <v>266</v>
      </c>
      <c r="J246" s="349">
        <f t="shared" si="58"/>
        <v>2045</v>
      </c>
      <c r="K246" s="203">
        <f t="shared" si="59"/>
        <v>53114</v>
      </c>
      <c r="M246" s="350"/>
      <c r="N246" s="364">
        <f t="shared" si="57"/>
        <v>2.1800000274244891E-2</v>
      </c>
      <c r="O246" s="364">
        <f t="shared" si="57"/>
        <v>0</v>
      </c>
      <c r="P246" s="364">
        <f t="shared" si="57"/>
        <v>2.1800000274244891E-2</v>
      </c>
      <c r="V246" s="330" t="str">
        <f t="shared" si="47"/>
        <v>Summer</v>
      </c>
      <c r="AA246" s="350">
        <f t="shared" si="50"/>
        <v>2.18E-2</v>
      </c>
      <c r="AB246" s="351">
        <f t="shared" si="54"/>
        <v>0</v>
      </c>
    </row>
    <row r="247" spans="2:28" ht="17.45" customHeight="1">
      <c r="B247" s="203">
        <f t="shared" si="51"/>
        <v>53144</v>
      </c>
      <c r="C247" s="352">
        <v>152729.64008064801</v>
      </c>
      <c r="D247" s="353">
        <f>IF(ISNUMBER($F247),VLOOKUP($J247,'Table 1'!$B$13:$C$37,2,FALSE)/12*1000*Study_MW,"")</f>
        <v>819114.31388897367</v>
      </c>
      <c r="E247" s="353">
        <f t="shared" si="52"/>
        <v>971843.95396962168</v>
      </c>
      <c r="F247" s="352">
        <v>13611.277785999999</v>
      </c>
      <c r="G247" s="354">
        <f t="shared" si="55"/>
        <v>71.399905963951483</v>
      </c>
      <c r="I247" s="355">
        <f t="shared" si="44"/>
        <v>267</v>
      </c>
      <c r="J247" s="349">
        <f t="shared" si="58"/>
        <v>2045</v>
      </c>
      <c r="K247" s="203">
        <f t="shared" si="59"/>
        <v>53144</v>
      </c>
      <c r="M247" s="350"/>
      <c r="N247" s="364">
        <f t="shared" si="57"/>
        <v>2.1800000388327856E-2</v>
      </c>
      <c r="O247" s="364">
        <f t="shared" si="57"/>
        <v>0</v>
      </c>
      <c r="P247" s="364">
        <f t="shared" si="57"/>
        <v>2.1800000388327856E-2</v>
      </c>
      <c r="V247" s="330" t="str">
        <f t="shared" si="47"/>
        <v>Summer</v>
      </c>
      <c r="AA247" s="350">
        <f t="shared" si="50"/>
        <v>2.18E-2</v>
      </c>
      <c r="AB247" s="351">
        <f t="shared" si="54"/>
        <v>0</v>
      </c>
    </row>
    <row r="248" spans="2:28" ht="17.45" customHeight="1">
      <c r="B248" s="203">
        <f t="shared" si="51"/>
        <v>53175</v>
      </c>
      <c r="C248" s="352">
        <v>136718.33887756913</v>
      </c>
      <c r="D248" s="353">
        <f>IF(ISNUMBER($F248),VLOOKUP($J248,'Table 1'!$B$13:$C$37,2,FALSE)/12*1000*Study_MW,"")</f>
        <v>819114.31388897367</v>
      </c>
      <c r="E248" s="353">
        <f t="shared" si="52"/>
        <v>955832.65276654274</v>
      </c>
      <c r="F248" s="352">
        <v>13189.19712069</v>
      </c>
      <c r="G248" s="354">
        <f t="shared" si="55"/>
        <v>72.470874763644289</v>
      </c>
      <c r="I248" s="355">
        <f t="shared" si="44"/>
        <v>268</v>
      </c>
      <c r="J248" s="349">
        <f t="shared" si="58"/>
        <v>2045</v>
      </c>
      <c r="K248" s="203">
        <f t="shared" si="59"/>
        <v>53175</v>
      </c>
      <c r="M248" s="350"/>
      <c r="N248" s="364">
        <f t="shared" si="57"/>
        <v>2.1800000394832875E-2</v>
      </c>
      <c r="O248" s="364">
        <f t="shared" si="57"/>
        <v>0</v>
      </c>
      <c r="P248" s="364">
        <f t="shared" si="57"/>
        <v>2.1800000394832875E-2</v>
      </c>
      <c r="V248" s="330" t="str">
        <f t="shared" si="47"/>
        <v>Summer</v>
      </c>
      <c r="AA248" s="350">
        <f t="shared" si="50"/>
        <v>2.18E-2</v>
      </c>
      <c r="AB248" s="351">
        <f t="shared" si="54"/>
        <v>0</v>
      </c>
    </row>
    <row r="249" spans="2:28" ht="17.45" customHeight="1">
      <c r="B249" s="203">
        <f t="shared" si="51"/>
        <v>53206</v>
      </c>
      <c r="C249" s="352">
        <v>142707.50007899202</v>
      </c>
      <c r="D249" s="353">
        <f>IF(ISNUMBER($F249),VLOOKUP($J249,'Table 1'!$B$13:$C$37,2,FALSE)/12*1000*Study_MW,"")</f>
        <v>819114.31388897367</v>
      </c>
      <c r="E249" s="353">
        <f t="shared" si="52"/>
        <v>961821.81396796566</v>
      </c>
      <c r="F249" s="352">
        <v>11582.931032570001</v>
      </c>
      <c r="G249" s="354">
        <f t="shared" si="55"/>
        <v>83.037860733472598</v>
      </c>
      <c r="I249" s="355">
        <f t="shared" si="44"/>
        <v>269</v>
      </c>
      <c r="J249" s="349">
        <f t="shared" si="58"/>
        <v>2045</v>
      </c>
      <c r="K249" s="203">
        <f t="shared" si="59"/>
        <v>53206</v>
      </c>
      <c r="M249" s="350"/>
      <c r="N249" s="364">
        <f t="shared" si="57"/>
        <v>2.1800000392374175E-2</v>
      </c>
      <c r="O249" s="364">
        <f t="shared" si="57"/>
        <v>0</v>
      </c>
      <c r="P249" s="364">
        <f t="shared" si="57"/>
        <v>2.1800000392374175E-2</v>
      </c>
      <c r="V249" s="330" t="str">
        <f t="shared" si="47"/>
        <v>Winter</v>
      </c>
      <c r="AA249" s="350">
        <f t="shared" si="50"/>
        <v>2.18E-2</v>
      </c>
      <c r="AB249" s="351">
        <f t="shared" si="54"/>
        <v>0</v>
      </c>
    </row>
    <row r="250" spans="2:28" ht="17.45" customHeight="1">
      <c r="B250" s="203">
        <f t="shared" si="51"/>
        <v>53236</v>
      </c>
      <c r="C250" s="352">
        <v>628469.79037019366</v>
      </c>
      <c r="D250" s="353">
        <f>IF(ISNUMBER($F250),VLOOKUP($J250,'Table 1'!$B$13:$C$37,2,FALSE)/12*1000*Study_MW,"")</f>
        <v>819114.31388897367</v>
      </c>
      <c r="E250" s="353">
        <f t="shared" si="52"/>
        <v>1447584.1042591673</v>
      </c>
      <c r="F250" s="352">
        <v>23195.825556000003</v>
      </c>
      <c r="G250" s="354">
        <f t="shared" si="55"/>
        <v>62.407095654533606</v>
      </c>
      <c r="I250" s="355">
        <f t="shared" si="44"/>
        <v>270</v>
      </c>
      <c r="J250" s="349">
        <f t="shared" si="58"/>
        <v>2045</v>
      </c>
      <c r="K250" s="203">
        <f t="shared" si="59"/>
        <v>53236</v>
      </c>
      <c r="M250" s="350"/>
      <c r="N250" s="364">
        <f t="shared" si="57"/>
        <v>2.1800000260706165E-2</v>
      </c>
      <c r="O250" s="364">
        <f t="shared" si="57"/>
        <v>0</v>
      </c>
      <c r="P250" s="364">
        <f t="shared" si="57"/>
        <v>2.1800000260706165E-2</v>
      </c>
      <c r="V250" s="330" t="str">
        <f t="shared" si="47"/>
        <v>Winter</v>
      </c>
      <c r="AA250" s="350">
        <f t="shared" si="50"/>
        <v>2.18E-2</v>
      </c>
      <c r="AB250" s="351">
        <f t="shared" si="54"/>
        <v>0</v>
      </c>
    </row>
    <row r="251" spans="2:28" ht="17.45" customHeight="1">
      <c r="B251" s="203">
        <f t="shared" si="51"/>
        <v>53267</v>
      </c>
      <c r="C251" s="352">
        <v>-393140.86545093259</v>
      </c>
      <c r="D251" s="353">
        <f>IF(ISNUMBER($F251),VLOOKUP($J251,'Table 1'!$B$13:$C$37,2,FALSE)/12*1000*Study_MW,"")</f>
        <v>819114.31388897367</v>
      </c>
      <c r="E251" s="353">
        <f t="shared" si="52"/>
        <v>425973.44843804109</v>
      </c>
      <c r="F251" s="352">
        <v>14022.606174700002</v>
      </c>
      <c r="G251" s="354">
        <f t="shared" si="55"/>
        <v>30.377623327009989</v>
      </c>
      <c r="I251" s="355">
        <f t="shared" si="44"/>
        <v>271</v>
      </c>
      <c r="J251" s="349">
        <f t="shared" si="58"/>
        <v>2045</v>
      </c>
      <c r="K251" s="203">
        <f t="shared" si="59"/>
        <v>53267</v>
      </c>
      <c r="M251" s="350"/>
      <c r="N251" s="364">
        <f t="shared" si="57"/>
        <v>2.1800000885956905E-2</v>
      </c>
      <c r="O251" s="364">
        <f t="shared" si="57"/>
        <v>0</v>
      </c>
      <c r="P251" s="364">
        <f t="shared" si="57"/>
        <v>2.1800000885956905E-2</v>
      </c>
      <c r="V251" s="330" t="str">
        <f t="shared" si="47"/>
        <v>Winter</v>
      </c>
      <c r="AA251" s="350">
        <f t="shared" si="50"/>
        <v>2.18E-2</v>
      </c>
      <c r="AB251" s="351">
        <f t="shared" si="54"/>
        <v>0</v>
      </c>
    </row>
    <row r="252" spans="2:28" ht="17.45" customHeight="1" collapsed="1">
      <c r="B252" s="204">
        <f t="shared" si="51"/>
        <v>53297</v>
      </c>
      <c r="C252" s="359">
        <v>-711713.67347880627</v>
      </c>
      <c r="D252" s="360">
        <f>IF(ISNUMBER($F252),VLOOKUP($J252,'Table 1'!$B$13:$C$37,2,FALSE)/12*1000*Study_MW,"")</f>
        <v>819114.31388897367</v>
      </c>
      <c r="E252" s="360">
        <f t="shared" si="52"/>
        <v>107400.6404101674</v>
      </c>
      <c r="F252" s="359">
        <v>14720.04135224138</v>
      </c>
      <c r="G252" s="361">
        <f t="shared" si="55"/>
        <v>7.2962186613568036</v>
      </c>
      <c r="I252" s="362">
        <f t="shared" si="44"/>
        <v>272</v>
      </c>
      <c r="J252" s="349">
        <f t="shared" si="58"/>
        <v>2045</v>
      </c>
      <c r="K252" s="204">
        <f t="shared" si="59"/>
        <v>53297</v>
      </c>
      <c r="M252" s="350"/>
      <c r="N252" s="364">
        <f t="shared" si="57"/>
        <v>2.1800003513890331E-2</v>
      </c>
      <c r="O252" s="364">
        <f t="shared" si="57"/>
        <v>0</v>
      </c>
      <c r="P252" s="364">
        <f t="shared" si="57"/>
        <v>2.1800003513890331E-2</v>
      </c>
      <c r="V252" s="330" t="str">
        <f t="shared" si="47"/>
        <v>Winter</v>
      </c>
      <c r="AA252" s="350">
        <f t="shared" si="50"/>
        <v>2.18E-2</v>
      </c>
      <c r="AB252" s="351">
        <f t="shared" si="54"/>
        <v>0</v>
      </c>
    </row>
    <row r="253" spans="2:28" ht="17.45" customHeight="1">
      <c r="B253" s="202">
        <f t="shared" ref="B253:B312" si="60">EDATE(B252,1)</f>
        <v>53328</v>
      </c>
      <c r="C253" s="343">
        <v>-151625.01687943772</v>
      </c>
      <c r="D253" s="344">
        <f>IF(ISNUMBER($F253),VLOOKUP($J253,'Table 1'!$B$13:$C$37,2,FALSE)/12*1000*Study_MW,"")</f>
        <v>836971.00577207981</v>
      </c>
      <c r="E253" s="345">
        <f t="shared" si="52"/>
        <v>685345.98889264208</v>
      </c>
      <c r="F253" s="346">
        <v>18859.187018470002</v>
      </c>
      <c r="G253" s="347">
        <f t="shared" si="55"/>
        <v>36.340166106918559</v>
      </c>
      <c r="I253" s="363">
        <f t="shared" ref="I253:I312" si="61">I241+13</f>
        <v>274</v>
      </c>
      <c r="J253" s="349">
        <f t="shared" ref="J253:J276" si="62">YEAR(B253)</f>
        <v>2046</v>
      </c>
      <c r="K253" s="202">
        <f t="shared" ref="K253:K276" si="63">IF(ISNUMBER(F253),IF(F253&lt;&gt;0,B253,""),"")</f>
        <v>53328</v>
      </c>
      <c r="M253" s="350"/>
      <c r="N253" s="364">
        <f>E253/E241-1</f>
        <v>2.1799999761938693E-2</v>
      </c>
      <c r="O253" s="364">
        <f>F253/F241-1</f>
        <v>0</v>
      </c>
      <c r="P253" s="364">
        <f>G253/G241-1</f>
        <v>2.1799999761938693E-2</v>
      </c>
      <c r="V253" s="330" t="str">
        <f t="shared" si="47"/>
        <v>Winter</v>
      </c>
      <c r="AA253" s="350">
        <f t="shared" si="50"/>
        <v>2.18E-2</v>
      </c>
      <c r="AB253" s="351">
        <f t="shared" si="54"/>
        <v>0</v>
      </c>
    </row>
    <row r="254" spans="2:28" ht="17.45" customHeight="1">
      <c r="B254" s="203">
        <f t="shared" si="60"/>
        <v>53359</v>
      </c>
      <c r="C254" s="352">
        <v>581317.36491464882</v>
      </c>
      <c r="D254" s="353">
        <f>IF(ISNUMBER($F254),VLOOKUP($J254,'Table 1'!$B$13:$C$37,2,FALSE)/12*1000*Study_MW,"")</f>
        <v>836971.00577207981</v>
      </c>
      <c r="E254" s="353">
        <f t="shared" si="52"/>
        <v>1418288.3706867285</v>
      </c>
      <c r="F254" s="352">
        <v>18638.478351186204</v>
      </c>
      <c r="G254" s="354">
        <f t="shared" si="55"/>
        <v>76.094643777423215</v>
      </c>
      <c r="I254" s="355">
        <f t="shared" si="61"/>
        <v>275</v>
      </c>
      <c r="J254" s="349">
        <f t="shared" si="62"/>
        <v>2046</v>
      </c>
      <c r="K254" s="203">
        <f t="shared" si="63"/>
        <v>53359</v>
      </c>
      <c r="M254" s="350"/>
      <c r="N254" s="364">
        <f t="shared" ref="N254:P269" si="64">E254/E242-1</f>
        <v>2.1799999884963839E-2</v>
      </c>
      <c r="O254" s="364">
        <f t="shared" si="64"/>
        <v>0</v>
      </c>
      <c r="P254" s="364">
        <f t="shared" si="64"/>
        <v>2.1799999884963839E-2</v>
      </c>
      <c r="V254" s="330" t="str">
        <f t="shared" si="47"/>
        <v>Winter</v>
      </c>
      <c r="AA254" s="350">
        <f t="shared" si="50"/>
        <v>2.18E-2</v>
      </c>
      <c r="AB254" s="351">
        <f t="shared" si="54"/>
        <v>0</v>
      </c>
    </row>
    <row r="255" spans="2:28" ht="17.45" customHeight="1">
      <c r="B255" s="203">
        <f t="shared" si="60"/>
        <v>53387</v>
      </c>
      <c r="C255" s="352">
        <v>51012.349290748687</v>
      </c>
      <c r="D255" s="353">
        <f>IF(ISNUMBER($F255),VLOOKUP($J255,'Table 1'!$B$13:$C$37,2,FALSE)/12*1000*Study_MW,"")</f>
        <v>836971.00577207981</v>
      </c>
      <c r="E255" s="353">
        <f t="shared" si="52"/>
        <v>887983.35506282852</v>
      </c>
      <c r="F255" s="352">
        <v>17956.003675159998</v>
      </c>
      <c r="G255" s="354">
        <f t="shared" si="55"/>
        <v>49.453284323574081</v>
      </c>
      <c r="I255" s="355">
        <f t="shared" si="61"/>
        <v>276</v>
      </c>
      <c r="J255" s="349">
        <f t="shared" si="62"/>
        <v>2046</v>
      </c>
      <c r="K255" s="203">
        <f t="shared" si="63"/>
        <v>53387</v>
      </c>
      <c r="M255" s="350"/>
      <c r="N255" s="364">
        <f t="shared" si="64"/>
        <v>2.1799999816264126E-2</v>
      </c>
      <c r="O255" s="364">
        <f t="shared" si="64"/>
        <v>0</v>
      </c>
      <c r="P255" s="364">
        <f t="shared" si="64"/>
        <v>2.1799999816264126E-2</v>
      </c>
      <c r="V255" s="330" t="str">
        <f t="shared" si="47"/>
        <v>Winter</v>
      </c>
      <c r="AA255" s="350">
        <f t="shared" si="50"/>
        <v>2.18E-2</v>
      </c>
      <c r="AB255" s="351">
        <f t="shared" si="54"/>
        <v>0</v>
      </c>
    </row>
    <row r="256" spans="2:28" ht="17.45" customHeight="1">
      <c r="B256" s="203">
        <f t="shared" si="60"/>
        <v>53418</v>
      </c>
      <c r="C256" s="352">
        <v>55759.197680904348</v>
      </c>
      <c r="D256" s="353">
        <f>IF(ISNUMBER($F256),VLOOKUP($J256,'Table 1'!$B$13:$C$37,2,FALSE)/12*1000*Study_MW,"")</f>
        <v>836971.00577207981</v>
      </c>
      <c r="E256" s="353">
        <f t="shared" si="52"/>
        <v>892730.2034529841</v>
      </c>
      <c r="F256" s="352">
        <v>22296.220530250001</v>
      </c>
      <c r="G256" s="354">
        <f t="shared" si="55"/>
        <v>40.039530567155467</v>
      </c>
      <c r="I256" s="355">
        <f t="shared" si="61"/>
        <v>277</v>
      </c>
      <c r="J256" s="349">
        <f t="shared" si="62"/>
        <v>2046</v>
      </c>
      <c r="K256" s="203">
        <f t="shared" si="63"/>
        <v>53418</v>
      </c>
      <c r="M256" s="350"/>
      <c r="N256" s="364">
        <f t="shared" si="64"/>
        <v>2.1799999817241122E-2</v>
      </c>
      <c r="O256" s="364">
        <f t="shared" si="64"/>
        <v>0</v>
      </c>
      <c r="P256" s="364">
        <f t="shared" si="64"/>
        <v>2.1799999817241122E-2</v>
      </c>
      <c r="V256" s="330" t="str">
        <f t="shared" si="47"/>
        <v>Winter</v>
      </c>
      <c r="AA256" s="350">
        <f t="shared" si="50"/>
        <v>2.18E-2</v>
      </c>
      <c r="AB256" s="351">
        <f t="shared" si="54"/>
        <v>0</v>
      </c>
    </row>
    <row r="257" spans="2:28" ht="17.45" customHeight="1">
      <c r="B257" s="203">
        <f t="shared" si="60"/>
        <v>53448</v>
      </c>
      <c r="C257" s="352">
        <v>18091.1900699867</v>
      </c>
      <c r="D257" s="353">
        <f>IF(ISNUMBER($F257),VLOOKUP($J257,'Table 1'!$B$13:$C$37,2,FALSE)/12*1000*Study_MW,"")</f>
        <v>836971.00577207981</v>
      </c>
      <c r="E257" s="353">
        <f t="shared" si="52"/>
        <v>855062.19584206655</v>
      </c>
      <c r="F257" s="352">
        <v>22706.788430020009</v>
      </c>
      <c r="G257" s="354">
        <f t="shared" si="55"/>
        <v>37.656676921850064</v>
      </c>
      <c r="I257" s="355">
        <f t="shared" si="61"/>
        <v>278</v>
      </c>
      <c r="J257" s="349">
        <f t="shared" si="62"/>
        <v>2046</v>
      </c>
      <c r="K257" s="203">
        <f t="shared" si="63"/>
        <v>53448</v>
      </c>
      <c r="M257" s="350"/>
      <c r="N257" s="364">
        <f t="shared" si="64"/>
        <v>2.1799999809190007E-2</v>
      </c>
      <c r="O257" s="364">
        <f t="shared" si="64"/>
        <v>0</v>
      </c>
      <c r="P257" s="364">
        <f t="shared" si="64"/>
        <v>2.1799999809190007E-2</v>
      </c>
      <c r="V257" s="330" t="str">
        <f t="shared" si="47"/>
        <v>Summer</v>
      </c>
      <c r="AA257" s="350">
        <f t="shared" si="50"/>
        <v>2.18E-2</v>
      </c>
      <c r="AB257" s="351">
        <f t="shared" si="54"/>
        <v>0</v>
      </c>
    </row>
    <row r="258" spans="2:28" ht="17.45" customHeight="1">
      <c r="B258" s="203">
        <f t="shared" si="60"/>
        <v>53479</v>
      </c>
      <c r="C258" s="352">
        <v>569149.99336012942</v>
      </c>
      <c r="D258" s="353">
        <f>IF(ISNUMBER($F258),VLOOKUP($J258,'Table 1'!$B$13:$C$37,2,FALSE)/12*1000*Study_MW,"")</f>
        <v>836971.00577207981</v>
      </c>
      <c r="E258" s="353">
        <f t="shared" si="52"/>
        <v>1406120.9991322092</v>
      </c>
      <c r="F258" s="352">
        <v>21745.812183619997</v>
      </c>
      <c r="G258" s="354">
        <f t="shared" si="55"/>
        <v>64.661691513705236</v>
      </c>
      <c r="I258" s="355">
        <f t="shared" si="61"/>
        <v>279</v>
      </c>
      <c r="J258" s="349">
        <f t="shared" si="62"/>
        <v>2046</v>
      </c>
      <c r="K258" s="203">
        <f t="shared" si="63"/>
        <v>53479</v>
      </c>
      <c r="M258" s="350"/>
      <c r="N258" s="364">
        <f t="shared" si="64"/>
        <v>2.1799999883968413E-2</v>
      </c>
      <c r="O258" s="364">
        <f t="shared" si="64"/>
        <v>0</v>
      </c>
      <c r="P258" s="364">
        <f t="shared" si="64"/>
        <v>2.1799999883968413E-2</v>
      </c>
      <c r="V258" s="330" t="str">
        <f t="shared" si="47"/>
        <v>Summer</v>
      </c>
      <c r="AA258" s="350">
        <f t="shared" si="50"/>
        <v>2.18E-2</v>
      </c>
      <c r="AB258" s="351">
        <f t="shared" si="54"/>
        <v>0</v>
      </c>
    </row>
    <row r="259" spans="2:28" ht="17.45" customHeight="1">
      <c r="B259" s="203">
        <f t="shared" si="60"/>
        <v>53509</v>
      </c>
      <c r="C259" s="352">
        <v>156059.14623440613</v>
      </c>
      <c r="D259" s="353">
        <f>IF(ISNUMBER($F259),VLOOKUP($J259,'Table 1'!$B$13:$C$37,2,FALSE)/12*1000*Study_MW,"")</f>
        <v>836971.00577207981</v>
      </c>
      <c r="E259" s="353">
        <f t="shared" si="52"/>
        <v>993030.15200648597</v>
      </c>
      <c r="F259" s="352">
        <v>13611.277785999999</v>
      </c>
      <c r="G259" s="354">
        <f t="shared" si="55"/>
        <v>72.956423902234661</v>
      </c>
      <c r="I259" s="355">
        <f t="shared" si="61"/>
        <v>280</v>
      </c>
      <c r="J259" s="349">
        <f t="shared" si="62"/>
        <v>2046</v>
      </c>
      <c r="K259" s="203">
        <f t="shared" si="63"/>
        <v>53509</v>
      </c>
      <c r="M259" s="350"/>
      <c r="N259" s="364">
        <f t="shared" si="64"/>
        <v>2.1799999835700579E-2</v>
      </c>
      <c r="O259" s="364">
        <f t="shared" si="64"/>
        <v>0</v>
      </c>
      <c r="P259" s="364">
        <f t="shared" si="64"/>
        <v>2.1799999835700579E-2</v>
      </c>
      <c r="V259" s="330" t="str">
        <f t="shared" si="47"/>
        <v>Summer</v>
      </c>
      <c r="AA259" s="350">
        <f t="shared" si="50"/>
        <v>2.18E-2</v>
      </c>
      <c r="AB259" s="351">
        <f t="shared" si="54"/>
        <v>0</v>
      </c>
    </row>
    <row r="260" spans="2:28" ht="17.45" customHeight="1">
      <c r="B260" s="203">
        <f t="shared" si="60"/>
        <v>53540</v>
      </c>
      <c r="C260" s="352">
        <v>139698.79866510013</v>
      </c>
      <c r="D260" s="353">
        <f>IF(ISNUMBER($F260),VLOOKUP($J260,'Table 1'!$B$13:$C$37,2,FALSE)/12*1000*Study_MW,"")</f>
        <v>836971.00577207981</v>
      </c>
      <c r="E260" s="353">
        <f t="shared" si="52"/>
        <v>976669.80443717993</v>
      </c>
      <c r="F260" s="352">
        <v>13189.19712069</v>
      </c>
      <c r="G260" s="354">
        <f t="shared" si="55"/>
        <v>74.050739821385349</v>
      </c>
      <c r="I260" s="355">
        <f t="shared" si="61"/>
        <v>281</v>
      </c>
      <c r="J260" s="349">
        <f t="shared" si="62"/>
        <v>2046</v>
      </c>
      <c r="K260" s="203">
        <f t="shared" si="63"/>
        <v>53540</v>
      </c>
      <c r="M260" s="350"/>
      <c r="N260" s="364">
        <f t="shared" si="64"/>
        <v>2.1799999832948336E-2</v>
      </c>
      <c r="O260" s="364">
        <f t="shared" si="64"/>
        <v>0</v>
      </c>
      <c r="P260" s="364">
        <f t="shared" si="64"/>
        <v>2.1799999832948336E-2</v>
      </c>
      <c r="V260" s="330" t="str">
        <f t="shared" si="47"/>
        <v>Summer</v>
      </c>
      <c r="AA260" s="350">
        <f t="shared" si="50"/>
        <v>2.18E-2</v>
      </c>
      <c r="AB260" s="351">
        <f t="shared" si="54"/>
        <v>0</v>
      </c>
    </row>
    <row r="261" spans="2:28" ht="17.45" customHeight="1">
      <c r="B261" s="203">
        <f t="shared" si="60"/>
        <v>53571</v>
      </c>
      <c r="C261" s="352">
        <v>145818.52358071404</v>
      </c>
      <c r="D261" s="353">
        <f>IF(ISNUMBER($F261),VLOOKUP($J261,'Table 1'!$B$13:$C$37,2,FALSE)/12*1000*Study_MW,"")</f>
        <v>836971.00577207981</v>
      </c>
      <c r="E261" s="353">
        <f t="shared" si="52"/>
        <v>982789.52935279382</v>
      </c>
      <c r="F261" s="352">
        <v>11582.931032570001</v>
      </c>
      <c r="G261" s="354">
        <f t="shared" si="55"/>
        <v>84.84808608367706</v>
      </c>
      <c r="I261" s="355">
        <f t="shared" si="61"/>
        <v>282</v>
      </c>
      <c r="J261" s="349">
        <f t="shared" si="62"/>
        <v>2046</v>
      </c>
      <c r="K261" s="203">
        <f t="shared" si="63"/>
        <v>53571</v>
      </c>
      <c r="M261" s="350"/>
      <c r="N261" s="364">
        <f t="shared" si="64"/>
        <v>2.1799999833988393E-2</v>
      </c>
      <c r="O261" s="364">
        <f t="shared" si="64"/>
        <v>0</v>
      </c>
      <c r="P261" s="364">
        <f t="shared" si="64"/>
        <v>2.1799999833988393E-2</v>
      </c>
      <c r="V261" s="330" t="str">
        <f t="shared" si="47"/>
        <v>Winter</v>
      </c>
      <c r="AA261" s="350">
        <f t="shared" si="50"/>
        <v>2.18E-2</v>
      </c>
      <c r="AB261" s="351">
        <f t="shared" si="54"/>
        <v>0</v>
      </c>
    </row>
    <row r="262" spans="2:28" ht="17.45" customHeight="1">
      <c r="B262" s="203">
        <f t="shared" si="60"/>
        <v>53601</v>
      </c>
      <c r="C262" s="352">
        <v>642170.43180026393</v>
      </c>
      <c r="D262" s="353">
        <f>IF(ISNUMBER($F262),VLOOKUP($J262,'Table 1'!$B$13:$C$37,2,FALSE)/12*1000*Study_MW,"")</f>
        <v>836971.00577207981</v>
      </c>
      <c r="E262" s="353">
        <f t="shared" si="52"/>
        <v>1479141.4375723437</v>
      </c>
      <c r="F262" s="352">
        <v>23195.825556000003</v>
      </c>
      <c r="G262" s="354">
        <f t="shared" si="55"/>
        <v>63.767570332918723</v>
      </c>
      <c r="I262" s="355">
        <f t="shared" si="61"/>
        <v>283</v>
      </c>
      <c r="J262" s="349">
        <f t="shared" si="62"/>
        <v>2046</v>
      </c>
      <c r="K262" s="203">
        <f t="shared" si="63"/>
        <v>53601</v>
      </c>
      <c r="M262" s="350"/>
      <c r="N262" s="364">
        <f t="shared" si="64"/>
        <v>2.1799999889696497E-2</v>
      </c>
      <c r="O262" s="364">
        <f t="shared" si="64"/>
        <v>0</v>
      </c>
      <c r="P262" s="364">
        <f t="shared" si="64"/>
        <v>2.1799999889696497E-2</v>
      </c>
      <c r="V262" s="330" t="str">
        <f t="shared" si="47"/>
        <v>Winter</v>
      </c>
      <c r="AA262" s="350">
        <f t="shared" si="50"/>
        <v>2.18E-2</v>
      </c>
      <c r="AB262" s="351">
        <f t="shared" si="54"/>
        <v>0</v>
      </c>
    </row>
    <row r="263" spans="2:28" ht="17.45" customHeight="1">
      <c r="B263" s="203">
        <f t="shared" si="60"/>
        <v>53632</v>
      </c>
      <c r="C263" s="352">
        <v>-401711.33631776291</v>
      </c>
      <c r="D263" s="353">
        <f>IF(ISNUMBER($F263),VLOOKUP($J263,'Table 1'!$B$13:$C$37,2,FALSE)/12*1000*Study_MW,"")</f>
        <v>836971.00577207981</v>
      </c>
      <c r="E263" s="353">
        <f t="shared" si="52"/>
        <v>435259.6694543169</v>
      </c>
      <c r="F263" s="352">
        <v>14022.606174700002</v>
      </c>
      <c r="G263" s="354">
        <f t="shared" si="55"/>
        <v>31.039855504151944</v>
      </c>
      <c r="I263" s="355">
        <f t="shared" si="61"/>
        <v>284</v>
      </c>
      <c r="J263" s="349">
        <f t="shared" si="62"/>
        <v>2046</v>
      </c>
      <c r="K263" s="203">
        <f t="shared" si="63"/>
        <v>53632</v>
      </c>
      <c r="M263" s="350"/>
      <c r="N263" s="364">
        <f t="shared" si="64"/>
        <v>2.179999962515633E-2</v>
      </c>
      <c r="O263" s="364">
        <f t="shared" si="64"/>
        <v>0</v>
      </c>
      <c r="P263" s="364">
        <f t="shared" si="64"/>
        <v>2.179999962515633E-2</v>
      </c>
      <c r="V263" s="330" t="str">
        <f t="shared" si="47"/>
        <v>Winter</v>
      </c>
      <c r="AA263" s="350">
        <f t="shared" si="50"/>
        <v>2.18E-2</v>
      </c>
      <c r="AB263" s="351">
        <f t="shared" si="54"/>
        <v>0</v>
      </c>
    </row>
    <row r="264" spans="2:28" ht="17.45" customHeight="1">
      <c r="B264" s="204">
        <f t="shared" si="60"/>
        <v>53662</v>
      </c>
      <c r="C264" s="359">
        <v>-727229.03156064427</v>
      </c>
      <c r="D264" s="360">
        <f>IF(ISNUMBER($F264),VLOOKUP($J264,'Table 1'!$B$13:$C$37,2,FALSE)/12*1000*Study_MW,"")</f>
        <v>836971.00577207981</v>
      </c>
      <c r="E264" s="360">
        <f t="shared" si="52"/>
        <v>109741.97421143553</v>
      </c>
      <c r="F264" s="359">
        <v>14720.04135224138</v>
      </c>
      <c r="G264" s="361">
        <f t="shared" si="55"/>
        <v>7.4552762173270271</v>
      </c>
      <c r="I264" s="362">
        <f t="shared" si="61"/>
        <v>285</v>
      </c>
      <c r="J264" s="349">
        <f t="shared" si="62"/>
        <v>2046</v>
      </c>
      <c r="K264" s="204">
        <f t="shared" si="63"/>
        <v>53662</v>
      </c>
      <c r="M264" s="350"/>
      <c r="N264" s="364">
        <f t="shared" si="64"/>
        <v>2.1799998513290841E-2</v>
      </c>
      <c r="O264" s="364">
        <f t="shared" si="64"/>
        <v>0</v>
      </c>
      <c r="P264" s="364">
        <f t="shared" si="64"/>
        <v>2.1799998513290841E-2</v>
      </c>
      <c r="V264" s="330" t="str">
        <f t="shared" si="47"/>
        <v>Winter</v>
      </c>
      <c r="AA264" s="350">
        <f t="shared" si="50"/>
        <v>2.18E-2</v>
      </c>
      <c r="AB264" s="351">
        <f t="shared" si="54"/>
        <v>0</v>
      </c>
    </row>
    <row r="265" spans="2:28" ht="17.45" customHeight="1">
      <c r="B265" s="202">
        <f t="shared" si="60"/>
        <v>53693</v>
      </c>
      <c r="C265" s="343">
        <v>-154930.44224740946</v>
      </c>
      <c r="D265" s="344">
        <f>IF(ISNUMBER($F265),VLOOKUP($J265,'Table 1'!$B$13:$C$37,2,FALSE)/12*1000*Study_MW,"")</f>
        <v>855216.97337970976</v>
      </c>
      <c r="E265" s="345">
        <f t="shared" si="52"/>
        <v>700286.53113230027</v>
      </c>
      <c r="F265" s="346">
        <v>18859.187018470002</v>
      </c>
      <c r="G265" s="347">
        <f t="shared" si="55"/>
        <v>37.132381711176897</v>
      </c>
      <c r="I265" s="363">
        <f t="shared" si="61"/>
        <v>287</v>
      </c>
      <c r="J265" s="349">
        <f t="shared" si="62"/>
        <v>2047</v>
      </c>
      <c r="K265" s="202">
        <f t="shared" si="63"/>
        <v>53693</v>
      </c>
      <c r="M265" s="350"/>
      <c r="N265" s="364">
        <f t="shared" si="64"/>
        <v>2.1799999535706993E-2</v>
      </c>
      <c r="O265" s="364">
        <f t="shared" si="64"/>
        <v>0</v>
      </c>
      <c r="P265" s="364">
        <f t="shared" si="64"/>
        <v>2.1799999535706993E-2</v>
      </c>
      <c r="V265" s="330" t="str">
        <f t="shared" si="47"/>
        <v>Winter</v>
      </c>
      <c r="AA265" s="350">
        <f t="shared" si="50"/>
        <v>2.18E-2</v>
      </c>
      <c r="AB265" s="351">
        <f t="shared" si="54"/>
        <v>0</v>
      </c>
    </row>
    <row r="266" spans="2:28" ht="17.45" customHeight="1">
      <c r="B266" s="203">
        <f t="shared" si="60"/>
        <v>53724</v>
      </c>
      <c r="C266" s="352">
        <v>593990.08346978819</v>
      </c>
      <c r="D266" s="353">
        <f>IF(ISNUMBER($F266),VLOOKUP($J266,'Table 1'!$B$13:$C$37,2,FALSE)/12*1000*Study_MW,"")</f>
        <v>855216.97337970976</v>
      </c>
      <c r="E266" s="353">
        <f t="shared" si="52"/>
        <v>1449207.0568494978</v>
      </c>
      <c r="F266" s="352">
        <v>18638.478351186204</v>
      </c>
      <c r="G266" s="354">
        <f t="shared" si="55"/>
        <v>77.753506994698753</v>
      </c>
      <c r="I266" s="355">
        <f t="shared" si="61"/>
        <v>288</v>
      </c>
      <c r="J266" s="349">
        <f t="shared" si="62"/>
        <v>2047</v>
      </c>
      <c r="K266" s="203">
        <f t="shared" si="63"/>
        <v>53724</v>
      </c>
      <c r="M266" s="350"/>
      <c r="N266" s="364">
        <f t="shared" si="64"/>
        <v>2.1799999775644174E-2</v>
      </c>
      <c r="O266" s="364">
        <f t="shared" si="64"/>
        <v>0</v>
      </c>
      <c r="P266" s="364">
        <f t="shared" si="64"/>
        <v>2.1799999775643952E-2</v>
      </c>
      <c r="V266" s="330" t="str">
        <f t="shared" si="47"/>
        <v>Winter</v>
      </c>
      <c r="AA266" s="350">
        <f t="shared" si="50"/>
        <v>2.18E-2</v>
      </c>
      <c r="AB266" s="351">
        <f t="shared" si="54"/>
        <v>0</v>
      </c>
    </row>
    <row r="267" spans="2:28" ht="17.45" customHeight="1">
      <c r="B267" s="203">
        <f t="shared" si="60"/>
        <v>53752</v>
      </c>
      <c r="C267" s="352">
        <v>52124.418505287009</v>
      </c>
      <c r="D267" s="353">
        <f>IF(ISNUMBER($F267),VLOOKUP($J267,'Table 1'!$B$13:$C$37,2,FALSE)/12*1000*Study_MW,"")</f>
        <v>855216.97337970976</v>
      </c>
      <c r="E267" s="353">
        <f t="shared" si="52"/>
        <v>907341.39188499679</v>
      </c>
      <c r="F267" s="352">
        <v>17956.003675159998</v>
      </c>
      <c r="G267" s="354">
        <f t="shared" si="55"/>
        <v>50.531365904106828</v>
      </c>
      <c r="I267" s="355">
        <f t="shared" si="61"/>
        <v>289</v>
      </c>
      <c r="J267" s="349">
        <f t="shared" si="62"/>
        <v>2047</v>
      </c>
      <c r="K267" s="203">
        <f t="shared" si="63"/>
        <v>53752</v>
      </c>
      <c r="M267" s="350"/>
      <c r="N267" s="364">
        <f t="shared" si="64"/>
        <v>2.1799999641658463E-2</v>
      </c>
      <c r="O267" s="364">
        <f t="shared" si="64"/>
        <v>0</v>
      </c>
      <c r="P267" s="364">
        <f t="shared" si="64"/>
        <v>2.1799999641658463E-2</v>
      </c>
      <c r="V267" s="330" t="str">
        <f t="shared" si="47"/>
        <v>Winter</v>
      </c>
      <c r="AA267" s="350">
        <f t="shared" si="50"/>
        <v>2.18E-2</v>
      </c>
      <c r="AB267" s="351">
        <f t="shared" si="54"/>
        <v>0</v>
      </c>
    </row>
    <row r="268" spans="2:28" ht="17.45" customHeight="1">
      <c r="B268" s="203">
        <f t="shared" si="60"/>
        <v>53783</v>
      </c>
      <c r="C268" s="352">
        <v>56974.748190348066</v>
      </c>
      <c r="D268" s="353">
        <f>IF(ISNUMBER($F268),VLOOKUP($J268,'Table 1'!$B$13:$C$37,2,FALSE)/12*1000*Study_MW,"")</f>
        <v>855216.97337970976</v>
      </c>
      <c r="E268" s="353">
        <f t="shared" si="52"/>
        <v>912191.72157005779</v>
      </c>
      <c r="F268" s="352">
        <v>22296.220530250001</v>
      </c>
      <c r="G268" s="354">
        <f t="shared" si="55"/>
        <v>40.912392319247914</v>
      </c>
      <c r="I268" s="355">
        <f t="shared" si="61"/>
        <v>290</v>
      </c>
      <c r="J268" s="349">
        <f t="shared" si="62"/>
        <v>2047</v>
      </c>
      <c r="K268" s="203">
        <f t="shared" si="63"/>
        <v>53783</v>
      </c>
      <c r="M268" s="350"/>
      <c r="N268" s="364">
        <f t="shared" si="64"/>
        <v>2.1799999643563828E-2</v>
      </c>
      <c r="O268" s="364">
        <f t="shared" si="64"/>
        <v>0</v>
      </c>
      <c r="P268" s="364">
        <f t="shared" si="64"/>
        <v>2.1799999643563606E-2</v>
      </c>
      <c r="V268" s="330" t="str">
        <f t="shared" ref="V268:V312" si="65">IFERROR(IF(AND(MONTH(K269)&gt;=6,MONTH(K269)&lt;=9),"Summer","Winter"),"-")</f>
        <v>Winter</v>
      </c>
      <c r="AA268" s="350">
        <f t="shared" si="50"/>
        <v>2.18E-2</v>
      </c>
      <c r="AB268" s="351">
        <f t="shared" si="54"/>
        <v>0</v>
      </c>
    </row>
    <row r="269" spans="2:28" ht="17.45" customHeight="1">
      <c r="B269" s="203">
        <f t="shared" si="60"/>
        <v>53813</v>
      </c>
      <c r="C269" s="352">
        <v>18485.578013512411</v>
      </c>
      <c r="D269" s="353">
        <f>IF(ISNUMBER($F269),VLOOKUP($J269,'Table 1'!$B$13:$C$37,2,FALSE)/12*1000*Study_MW,"")</f>
        <v>855216.97337970976</v>
      </c>
      <c r="E269" s="353">
        <f t="shared" si="52"/>
        <v>873702.55139322218</v>
      </c>
      <c r="F269" s="352">
        <v>22706.788430020009</v>
      </c>
      <c r="G269" s="354">
        <f t="shared" si="55"/>
        <v>38.477592464732901</v>
      </c>
      <c r="I269" s="355">
        <f t="shared" si="61"/>
        <v>291</v>
      </c>
      <c r="J269" s="349">
        <f t="shared" si="62"/>
        <v>2047</v>
      </c>
      <c r="K269" s="203">
        <f t="shared" si="63"/>
        <v>53813</v>
      </c>
      <c r="M269" s="350"/>
      <c r="N269" s="364">
        <f t="shared" si="64"/>
        <v>2.1799999627861721E-2</v>
      </c>
      <c r="O269" s="364">
        <f t="shared" si="64"/>
        <v>0</v>
      </c>
      <c r="P269" s="364">
        <f t="shared" si="64"/>
        <v>2.1799999627861721E-2</v>
      </c>
      <c r="V269" s="330" t="str">
        <f t="shared" si="65"/>
        <v>Summer</v>
      </c>
      <c r="AA269" s="350">
        <f t="shared" ref="AA269:AA332" si="66">Inflation</f>
        <v>2.18E-2</v>
      </c>
      <c r="AB269" s="351">
        <f t="shared" si="54"/>
        <v>0</v>
      </c>
    </row>
    <row r="270" spans="2:28" ht="17.45" customHeight="1">
      <c r="B270" s="203">
        <f t="shared" si="60"/>
        <v>53844</v>
      </c>
      <c r="C270" s="352">
        <v>581557.46321538021</v>
      </c>
      <c r="D270" s="353">
        <f>IF(ISNUMBER($F270),VLOOKUP($J270,'Table 1'!$B$13:$C$37,2,FALSE)/12*1000*Study_MW,"")</f>
        <v>855216.97337970976</v>
      </c>
      <c r="E270" s="353">
        <f t="shared" ref="E270:E312" si="67">IF(ISNUMBER(C270+D270),C270+D270,"")</f>
        <v>1436774.43659509</v>
      </c>
      <c r="F270" s="352">
        <v>21745.812183619997</v>
      </c>
      <c r="G270" s="354">
        <f t="shared" si="55"/>
        <v>66.071316374071245</v>
      </c>
      <c r="I270" s="355">
        <f t="shared" si="61"/>
        <v>292</v>
      </c>
      <c r="J270" s="349">
        <f t="shared" si="62"/>
        <v>2047</v>
      </c>
      <c r="K270" s="203">
        <f t="shared" si="63"/>
        <v>53844</v>
      </c>
      <c r="M270" s="350"/>
      <c r="N270" s="364">
        <f t="shared" ref="N270:P285" si="68">E270/E258-1</f>
        <v>2.1799999773702616E-2</v>
      </c>
      <c r="O270" s="364">
        <f t="shared" si="68"/>
        <v>0</v>
      </c>
      <c r="P270" s="364">
        <f t="shared" si="68"/>
        <v>2.1799999773702616E-2</v>
      </c>
      <c r="V270" s="330" t="str">
        <f t="shared" si="65"/>
        <v>Summer</v>
      </c>
      <c r="AA270" s="350">
        <f t="shared" si="66"/>
        <v>2.18E-2</v>
      </c>
      <c r="AB270" s="351">
        <f t="shared" ref="AB270:AB333" si="69">IF($AB$8="Solar",IFERROR(IF(J270&gt;$AD$1,-0.005,0),AB258),0)</f>
        <v>0</v>
      </c>
    </row>
    <row r="271" spans="2:28" ht="17.45" customHeight="1">
      <c r="B271" s="203">
        <f t="shared" si="60"/>
        <v>53874</v>
      </c>
      <c r="C271" s="352">
        <v>159461.23562231619</v>
      </c>
      <c r="D271" s="353">
        <f>IF(ISNUMBER($F271),VLOOKUP($J271,'Table 1'!$B$13:$C$37,2,FALSE)/12*1000*Study_MW,"")</f>
        <v>855216.97337970976</v>
      </c>
      <c r="E271" s="353">
        <f t="shared" si="67"/>
        <v>1014678.2090020259</v>
      </c>
      <c r="F271" s="352">
        <v>13611.277785999999</v>
      </c>
      <c r="G271" s="354">
        <f t="shared" ref="G271:G312" si="70">IF(ISNUMBER($F271),E271/$F271,"")</f>
        <v>74.546873919925588</v>
      </c>
      <c r="I271" s="355">
        <f t="shared" si="61"/>
        <v>293</v>
      </c>
      <c r="J271" s="349">
        <f t="shared" si="62"/>
        <v>2047</v>
      </c>
      <c r="K271" s="203">
        <f t="shared" si="63"/>
        <v>53874</v>
      </c>
      <c r="M271" s="350"/>
      <c r="N271" s="364">
        <f t="shared" si="68"/>
        <v>2.1799999679565252E-2</v>
      </c>
      <c r="O271" s="364">
        <f t="shared" si="68"/>
        <v>0</v>
      </c>
      <c r="P271" s="364">
        <f t="shared" si="68"/>
        <v>2.179999967956503E-2</v>
      </c>
      <c r="V271" s="330" t="str">
        <f t="shared" si="65"/>
        <v>Summer</v>
      </c>
      <c r="AA271" s="350">
        <f t="shared" si="66"/>
        <v>2.18E-2</v>
      </c>
      <c r="AB271" s="351">
        <f t="shared" si="69"/>
        <v>0</v>
      </c>
    </row>
    <row r="272" spans="2:28" ht="17.45" customHeight="1">
      <c r="B272" s="203">
        <f t="shared" si="60"/>
        <v>53905</v>
      </c>
      <c r="C272" s="352">
        <v>142744.23247599931</v>
      </c>
      <c r="D272" s="353">
        <f>IF(ISNUMBER($F272),VLOOKUP($J272,'Table 1'!$B$13:$C$37,2,FALSE)/12*1000*Study_MW,"")</f>
        <v>855216.97337970976</v>
      </c>
      <c r="E272" s="353">
        <f t="shared" si="67"/>
        <v>997961.20585570903</v>
      </c>
      <c r="F272" s="352">
        <v>13189.19712069</v>
      </c>
      <c r="G272" s="354">
        <f t="shared" si="70"/>
        <v>75.665045925365632</v>
      </c>
      <c r="I272" s="355">
        <f t="shared" si="61"/>
        <v>294</v>
      </c>
      <c r="J272" s="349">
        <f t="shared" si="62"/>
        <v>2047</v>
      </c>
      <c r="K272" s="203">
        <f t="shared" si="63"/>
        <v>53905</v>
      </c>
      <c r="M272" s="350"/>
      <c r="N272" s="364">
        <f t="shared" si="68"/>
        <v>2.1799999674197545E-2</v>
      </c>
      <c r="O272" s="364">
        <f t="shared" si="68"/>
        <v>0</v>
      </c>
      <c r="P272" s="364">
        <f t="shared" si="68"/>
        <v>2.1799999674197545E-2</v>
      </c>
      <c r="V272" s="330" t="str">
        <f t="shared" si="65"/>
        <v>Summer</v>
      </c>
      <c r="AA272" s="350">
        <f t="shared" si="66"/>
        <v>2.18E-2</v>
      </c>
      <c r="AB272" s="351">
        <f t="shared" si="69"/>
        <v>0</v>
      </c>
    </row>
    <row r="273" spans="2:28" ht="17.45" customHeight="1">
      <c r="B273" s="203">
        <f t="shared" si="60"/>
        <v>53936</v>
      </c>
      <c r="C273" s="352">
        <v>148997.36739477361</v>
      </c>
      <c r="D273" s="353">
        <f>IF(ISNUMBER($F273),VLOOKUP($J273,'Table 1'!$B$13:$C$37,2,FALSE)/12*1000*Study_MW,"")</f>
        <v>855216.97337970976</v>
      </c>
      <c r="E273" s="353">
        <f t="shared" si="67"/>
        <v>1004214.3407744834</v>
      </c>
      <c r="F273" s="352">
        <v>11582.931032570001</v>
      </c>
      <c r="G273" s="354">
        <f t="shared" si="70"/>
        <v>86.697774332829653</v>
      </c>
      <c r="I273" s="355">
        <f t="shared" si="61"/>
        <v>295</v>
      </c>
      <c r="J273" s="349">
        <f t="shared" si="62"/>
        <v>2047</v>
      </c>
      <c r="K273" s="203">
        <f t="shared" si="63"/>
        <v>53936</v>
      </c>
      <c r="M273" s="350"/>
      <c r="N273" s="364">
        <f t="shared" si="68"/>
        <v>2.1799999676226367E-2</v>
      </c>
      <c r="O273" s="364">
        <f t="shared" si="68"/>
        <v>0</v>
      </c>
      <c r="P273" s="364">
        <f t="shared" si="68"/>
        <v>2.1799999676226367E-2</v>
      </c>
      <c r="V273" s="330" t="str">
        <f t="shared" si="65"/>
        <v>Winter</v>
      </c>
      <c r="AA273" s="350">
        <f t="shared" si="66"/>
        <v>2.18E-2</v>
      </c>
      <c r="AB273" s="351">
        <f t="shared" si="69"/>
        <v>0</v>
      </c>
    </row>
    <row r="274" spans="2:28" ht="17.45" customHeight="1">
      <c r="B274" s="203">
        <f t="shared" si="60"/>
        <v>53966</v>
      </c>
      <c r="C274" s="352">
        <v>656169.74721350975</v>
      </c>
      <c r="D274" s="353">
        <f>IF(ISNUMBER($F274),VLOOKUP($J274,'Table 1'!$B$13:$C$37,2,FALSE)/12*1000*Study_MW,"")</f>
        <v>855216.97337970976</v>
      </c>
      <c r="E274" s="353">
        <f t="shared" si="67"/>
        <v>1511386.7205932196</v>
      </c>
      <c r="F274" s="352">
        <v>23195.825556000003</v>
      </c>
      <c r="G274" s="354">
        <f t="shared" si="70"/>
        <v>65.157703352458313</v>
      </c>
      <c r="I274" s="355">
        <f t="shared" si="61"/>
        <v>296</v>
      </c>
      <c r="J274" s="349">
        <f t="shared" si="62"/>
        <v>2047</v>
      </c>
      <c r="K274" s="203">
        <f t="shared" si="63"/>
        <v>53966</v>
      </c>
      <c r="M274" s="350"/>
      <c r="N274" s="364">
        <f t="shared" si="68"/>
        <v>2.1799999784874347E-2</v>
      </c>
      <c r="O274" s="364">
        <f t="shared" si="68"/>
        <v>0</v>
      </c>
      <c r="P274" s="364">
        <f t="shared" si="68"/>
        <v>2.1799999784874347E-2</v>
      </c>
      <c r="V274" s="330" t="str">
        <f t="shared" si="65"/>
        <v>Winter</v>
      </c>
      <c r="AA274" s="350">
        <f t="shared" si="66"/>
        <v>2.18E-2</v>
      </c>
      <c r="AB274" s="351">
        <f t="shared" si="69"/>
        <v>0</v>
      </c>
    </row>
    <row r="275" spans="2:28" ht="17.45" customHeight="1">
      <c r="B275" s="203">
        <f t="shared" si="60"/>
        <v>53997</v>
      </c>
      <c r="C275" s="352">
        <v>-410468.64344949013</v>
      </c>
      <c r="D275" s="353">
        <f>IF(ISNUMBER($F275),VLOOKUP($J275,'Table 1'!$B$13:$C$37,2,FALSE)/12*1000*Study_MW,"")</f>
        <v>855216.97337970976</v>
      </c>
      <c r="E275" s="353">
        <f t="shared" si="67"/>
        <v>444748.32993021962</v>
      </c>
      <c r="F275" s="352">
        <v>14022.606174700002</v>
      </c>
      <c r="G275" s="354">
        <f t="shared" si="70"/>
        <v>31.716524331450426</v>
      </c>
      <c r="I275" s="355">
        <f t="shared" si="61"/>
        <v>297</v>
      </c>
      <c r="J275" s="349">
        <f t="shared" si="62"/>
        <v>2047</v>
      </c>
      <c r="K275" s="203">
        <f t="shared" si="63"/>
        <v>53997</v>
      </c>
      <c r="M275" s="350"/>
      <c r="N275" s="364">
        <f t="shared" si="68"/>
        <v>2.1799999268939052E-2</v>
      </c>
      <c r="O275" s="364">
        <f t="shared" si="68"/>
        <v>0</v>
      </c>
      <c r="P275" s="364">
        <f t="shared" si="68"/>
        <v>2.179999926893883E-2</v>
      </c>
      <c r="V275" s="330" t="str">
        <f t="shared" si="65"/>
        <v>Winter</v>
      </c>
      <c r="AA275" s="350">
        <f t="shared" si="66"/>
        <v>2.18E-2</v>
      </c>
      <c r="AB275" s="351">
        <f t="shared" si="69"/>
        <v>0</v>
      </c>
    </row>
    <row r="276" spans="2:28" ht="17.45" customHeight="1">
      <c r="B276" s="204">
        <f t="shared" si="60"/>
        <v>54027</v>
      </c>
      <c r="C276" s="359">
        <v>-743082.62444866635</v>
      </c>
      <c r="D276" s="360">
        <f>IF(ISNUMBER($F276),VLOOKUP($J276,'Table 1'!$B$13:$C$37,2,FALSE)/12*1000*Study_MW,"")</f>
        <v>855216.97337970976</v>
      </c>
      <c r="E276" s="360">
        <f t="shared" si="67"/>
        <v>112134.34893104341</v>
      </c>
      <c r="F276" s="359">
        <v>14720.04135224138</v>
      </c>
      <c r="G276" s="361">
        <f t="shared" si="70"/>
        <v>7.6178012172478731</v>
      </c>
      <c r="I276" s="362">
        <f t="shared" si="61"/>
        <v>298</v>
      </c>
      <c r="J276" s="349">
        <f t="shared" si="62"/>
        <v>2047</v>
      </c>
      <c r="K276" s="204">
        <f t="shared" si="63"/>
        <v>54027</v>
      </c>
      <c r="M276" s="350"/>
      <c r="N276" s="364">
        <f t="shared" si="68"/>
        <v>2.1799997100458324E-2</v>
      </c>
      <c r="O276" s="364">
        <f t="shared" si="68"/>
        <v>0</v>
      </c>
      <c r="P276" s="364">
        <f t="shared" si="68"/>
        <v>2.1799997100458546E-2</v>
      </c>
      <c r="V276" s="330" t="str">
        <f t="shared" si="65"/>
        <v>Winter</v>
      </c>
      <c r="AA276" s="350">
        <f t="shared" si="66"/>
        <v>2.18E-2</v>
      </c>
      <c r="AB276" s="351">
        <f t="shared" si="69"/>
        <v>0</v>
      </c>
    </row>
    <row r="277" spans="2:28" ht="17.45" hidden="1" customHeight="1">
      <c r="B277" s="202">
        <f t="shared" si="60"/>
        <v>54058</v>
      </c>
      <c r="C277" s="343">
        <v>-158307.925888403</v>
      </c>
      <c r="D277" s="344">
        <f>IF(ISNUMBER($F277),VLOOKUP($J277,'Table 1'!$B$13:$C$37,2,FALSE)/12*1000*Study_MW,"")</f>
        <v>873860.70307424967</v>
      </c>
      <c r="E277" s="345">
        <f t="shared" si="67"/>
        <v>715552.7771858467</v>
      </c>
      <c r="F277" s="346">
        <v>18859.187018470002</v>
      </c>
      <c r="G277" s="347">
        <f t="shared" si="70"/>
        <v>37.94186761524027</v>
      </c>
      <c r="I277" s="363">
        <f t="shared" si="61"/>
        <v>300</v>
      </c>
      <c r="J277" s="349">
        <f t="shared" ref="J277:J312" si="71">YEAR(B277)</f>
        <v>2048</v>
      </c>
      <c r="K277" s="202">
        <f t="shared" ref="K277:K312" si="72">IF(ISNUMBER(F277),IF(F277&lt;&gt;0,B277,""),"")</f>
        <v>54058</v>
      </c>
      <c r="M277" s="350"/>
      <c r="N277" s="364">
        <f t="shared" si="68"/>
        <v>2.1799999535707659E-2</v>
      </c>
      <c r="O277" s="364">
        <f t="shared" si="68"/>
        <v>0</v>
      </c>
      <c r="P277" s="364">
        <f t="shared" si="68"/>
        <v>2.1799999535707659E-2</v>
      </c>
      <c r="V277" s="330" t="str">
        <f t="shared" si="65"/>
        <v>Winter</v>
      </c>
      <c r="AA277" s="350">
        <f t="shared" si="66"/>
        <v>2.18E-2</v>
      </c>
      <c r="AB277" s="351">
        <f t="shared" si="69"/>
        <v>0</v>
      </c>
    </row>
    <row r="278" spans="2:28" ht="17.45" hidden="1" customHeight="1">
      <c r="B278" s="203">
        <f t="shared" si="60"/>
        <v>54089</v>
      </c>
      <c r="C278" s="352">
        <v>606939.0672894296</v>
      </c>
      <c r="D278" s="353">
        <f>IF(ISNUMBER($F278),VLOOKUP($J278,'Table 1'!$B$13:$C$37,2,FALSE)/12*1000*Study_MW,"")</f>
        <v>873860.70307424967</v>
      </c>
      <c r="E278" s="353">
        <f t="shared" si="67"/>
        <v>1480799.7703636792</v>
      </c>
      <c r="F278" s="352">
        <v>19304.138292299998</v>
      </c>
      <c r="G278" s="354">
        <f t="shared" si="70"/>
        <v>76.708928828713269</v>
      </c>
      <c r="I278" s="355">
        <f t="shared" si="61"/>
        <v>301</v>
      </c>
      <c r="J278" s="349">
        <f t="shared" si="71"/>
        <v>2048</v>
      </c>
      <c r="K278" s="203">
        <f t="shared" si="72"/>
        <v>54089</v>
      </c>
      <c r="M278" s="350"/>
      <c r="N278" s="364">
        <f t="shared" si="68"/>
        <v>2.1799999775644396E-2</v>
      </c>
      <c r="O278" s="364">
        <f t="shared" si="68"/>
        <v>3.5714285714285809E-2</v>
      </c>
      <c r="P278" s="364">
        <f t="shared" si="68"/>
        <v>-1.343448297523997E-2</v>
      </c>
      <c r="V278" s="330" t="str">
        <f t="shared" si="65"/>
        <v>Winter</v>
      </c>
      <c r="AA278" s="350">
        <f t="shared" si="66"/>
        <v>2.18E-2</v>
      </c>
      <c r="AB278" s="351">
        <f t="shared" si="69"/>
        <v>0</v>
      </c>
    </row>
    <row r="279" spans="2:28" ht="17.45" hidden="1" customHeight="1">
      <c r="B279" s="203">
        <f t="shared" si="60"/>
        <v>54118</v>
      </c>
      <c r="C279" s="352">
        <v>53260.730828702268</v>
      </c>
      <c r="D279" s="353">
        <f>IF(ISNUMBER($F279),VLOOKUP($J279,'Table 1'!$B$13:$C$37,2,FALSE)/12*1000*Study_MW,"")</f>
        <v>873860.70307424967</v>
      </c>
      <c r="E279" s="353">
        <f t="shared" si="67"/>
        <v>927121.43390295189</v>
      </c>
      <c r="F279" s="352">
        <v>17956.003675159998</v>
      </c>
      <c r="G279" s="354">
        <f t="shared" si="70"/>
        <v>51.632949662708882</v>
      </c>
      <c r="I279" s="355">
        <f t="shared" si="61"/>
        <v>302</v>
      </c>
      <c r="J279" s="349">
        <f t="shared" si="71"/>
        <v>2048</v>
      </c>
      <c r="K279" s="203">
        <f t="shared" si="72"/>
        <v>54118</v>
      </c>
      <c r="M279" s="350"/>
      <c r="N279" s="364">
        <f t="shared" si="68"/>
        <v>2.1799999641658685E-2</v>
      </c>
      <c r="O279" s="364">
        <f t="shared" si="68"/>
        <v>0</v>
      </c>
      <c r="P279" s="364">
        <f t="shared" si="68"/>
        <v>2.1799999641658685E-2</v>
      </c>
      <c r="V279" s="330" t="str">
        <f t="shared" si="65"/>
        <v>Winter</v>
      </c>
      <c r="AA279" s="350">
        <f t="shared" si="66"/>
        <v>2.18E-2</v>
      </c>
      <c r="AB279" s="351">
        <f t="shared" si="69"/>
        <v>0</v>
      </c>
    </row>
    <row r="280" spans="2:28" ht="17.45" hidden="1" customHeight="1">
      <c r="B280" s="203">
        <f t="shared" si="60"/>
        <v>54149</v>
      </c>
      <c r="C280" s="352">
        <v>58216.79770089766</v>
      </c>
      <c r="D280" s="353">
        <f>IF(ISNUMBER($F280),VLOOKUP($J280,'Table 1'!$B$13:$C$37,2,FALSE)/12*1000*Study_MW,"")</f>
        <v>873860.70307424967</v>
      </c>
      <c r="E280" s="353">
        <f t="shared" si="67"/>
        <v>932077.50077514735</v>
      </c>
      <c r="F280" s="352">
        <v>22296.220530250001</v>
      </c>
      <c r="G280" s="354">
        <f t="shared" si="70"/>
        <v>41.804282457224879</v>
      </c>
      <c r="I280" s="355">
        <f t="shared" si="61"/>
        <v>303</v>
      </c>
      <c r="J280" s="349">
        <f t="shared" si="71"/>
        <v>2048</v>
      </c>
      <c r="K280" s="203">
        <f t="shared" si="72"/>
        <v>54149</v>
      </c>
      <c r="M280" s="350"/>
      <c r="N280" s="364">
        <f t="shared" si="68"/>
        <v>2.1799999643564272E-2</v>
      </c>
      <c r="O280" s="364">
        <f t="shared" si="68"/>
        <v>0</v>
      </c>
      <c r="P280" s="364">
        <f t="shared" si="68"/>
        <v>2.1799999643564272E-2</v>
      </c>
      <c r="V280" s="330" t="str">
        <f t="shared" si="65"/>
        <v>Winter</v>
      </c>
      <c r="AA280" s="350">
        <f t="shared" si="66"/>
        <v>2.18E-2</v>
      </c>
      <c r="AB280" s="351">
        <f t="shared" si="69"/>
        <v>0</v>
      </c>
    </row>
    <row r="281" spans="2:28" ht="17.45" hidden="1" customHeight="1">
      <c r="B281" s="203">
        <f t="shared" si="60"/>
        <v>54179</v>
      </c>
      <c r="C281" s="352">
        <v>18888.563614206982</v>
      </c>
      <c r="D281" s="353">
        <f>IF(ISNUMBER($F281),VLOOKUP($J281,'Table 1'!$B$13:$C$37,2,FALSE)/12*1000*Study_MW,"")</f>
        <v>873860.70307424967</v>
      </c>
      <c r="E281" s="353">
        <f t="shared" si="67"/>
        <v>892749.26668845664</v>
      </c>
      <c r="F281" s="352">
        <v>22706.788430020009</v>
      </c>
      <c r="G281" s="354">
        <f t="shared" si="70"/>
        <v>39.31640396614511</v>
      </c>
      <c r="I281" s="355">
        <f t="shared" si="61"/>
        <v>304</v>
      </c>
      <c r="J281" s="349">
        <f t="shared" si="71"/>
        <v>2048</v>
      </c>
      <c r="K281" s="203">
        <f t="shared" si="72"/>
        <v>54179</v>
      </c>
      <c r="M281" s="350"/>
      <c r="N281" s="364">
        <f t="shared" si="68"/>
        <v>2.1799999627862165E-2</v>
      </c>
      <c r="O281" s="364">
        <f t="shared" si="68"/>
        <v>0</v>
      </c>
      <c r="P281" s="364">
        <f t="shared" si="68"/>
        <v>2.1799999627862165E-2</v>
      </c>
      <c r="V281" s="330" t="str">
        <f t="shared" si="65"/>
        <v>Summer</v>
      </c>
      <c r="AA281" s="350">
        <f t="shared" si="66"/>
        <v>2.18E-2</v>
      </c>
      <c r="AB281" s="351">
        <f t="shared" si="69"/>
        <v>0</v>
      </c>
    </row>
    <row r="282" spans="2:28" ht="17.45" hidden="1" customHeight="1">
      <c r="B282" s="203">
        <f t="shared" si="60"/>
        <v>54210</v>
      </c>
      <c r="C282" s="352">
        <v>594235.41591347556</v>
      </c>
      <c r="D282" s="353">
        <f>IF(ISNUMBER($F282),VLOOKUP($J282,'Table 1'!$B$13:$C$37,2,FALSE)/12*1000*Study_MW,"")</f>
        <v>873860.70307424967</v>
      </c>
      <c r="E282" s="353">
        <f t="shared" si="67"/>
        <v>1468096.1189877251</v>
      </c>
      <c r="F282" s="352">
        <v>21745.812183619997</v>
      </c>
      <c r="G282" s="354">
        <f t="shared" si="70"/>
        <v>67.511671056074263</v>
      </c>
      <c r="I282" s="355">
        <f t="shared" si="61"/>
        <v>305</v>
      </c>
      <c r="J282" s="349">
        <f t="shared" si="71"/>
        <v>2048</v>
      </c>
      <c r="K282" s="203">
        <f t="shared" si="72"/>
        <v>54210</v>
      </c>
      <c r="M282" s="350"/>
      <c r="N282" s="364">
        <f t="shared" si="68"/>
        <v>2.179999977370306E-2</v>
      </c>
      <c r="O282" s="364">
        <f t="shared" si="68"/>
        <v>0</v>
      </c>
      <c r="P282" s="364">
        <f t="shared" si="68"/>
        <v>2.179999977370306E-2</v>
      </c>
      <c r="V282" s="330" t="str">
        <f t="shared" si="65"/>
        <v>Summer</v>
      </c>
      <c r="AA282" s="350">
        <f t="shared" si="66"/>
        <v>2.18E-2</v>
      </c>
      <c r="AB282" s="351">
        <f t="shared" si="69"/>
        <v>0</v>
      </c>
    </row>
    <row r="283" spans="2:28" ht="17.45" hidden="1" customHeight="1">
      <c r="B283" s="203">
        <f t="shared" si="60"/>
        <v>54240</v>
      </c>
      <c r="C283" s="352">
        <v>162937.49055888268</v>
      </c>
      <c r="D283" s="353">
        <f>IF(ISNUMBER($F283),VLOOKUP($J283,'Table 1'!$B$13:$C$37,2,FALSE)/12*1000*Study_MW,"")</f>
        <v>873860.70307424967</v>
      </c>
      <c r="E283" s="353">
        <f t="shared" si="67"/>
        <v>1036798.1936331324</v>
      </c>
      <c r="F283" s="352">
        <v>13611.277785999999</v>
      </c>
      <c r="G283" s="354">
        <f t="shared" si="70"/>
        <v>76.171995747492602</v>
      </c>
      <c r="I283" s="355">
        <f t="shared" si="61"/>
        <v>306</v>
      </c>
      <c r="J283" s="349">
        <f t="shared" si="71"/>
        <v>2048</v>
      </c>
      <c r="K283" s="203">
        <f t="shared" si="72"/>
        <v>54240</v>
      </c>
      <c r="M283" s="350"/>
      <c r="N283" s="364">
        <f t="shared" si="68"/>
        <v>2.1799999679565696E-2</v>
      </c>
      <c r="O283" s="364">
        <f t="shared" si="68"/>
        <v>0</v>
      </c>
      <c r="P283" s="364">
        <f t="shared" si="68"/>
        <v>2.1799999679565918E-2</v>
      </c>
      <c r="V283" s="330" t="str">
        <f t="shared" si="65"/>
        <v>Summer</v>
      </c>
      <c r="AA283" s="350">
        <f t="shared" si="66"/>
        <v>2.18E-2</v>
      </c>
      <c r="AB283" s="351">
        <f t="shared" si="69"/>
        <v>0</v>
      </c>
    </row>
    <row r="284" spans="2:28" ht="17.45" hidden="1" customHeight="1">
      <c r="B284" s="203">
        <f t="shared" si="60"/>
        <v>54271</v>
      </c>
      <c r="C284" s="352">
        <v>145856.05674397611</v>
      </c>
      <c r="D284" s="353">
        <f>IF(ISNUMBER($F284),VLOOKUP($J284,'Table 1'!$B$13:$C$37,2,FALSE)/12*1000*Study_MW,"")</f>
        <v>873860.70307424967</v>
      </c>
      <c r="E284" s="353">
        <f t="shared" si="67"/>
        <v>1019716.7598182257</v>
      </c>
      <c r="F284" s="352">
        <v>13189.19712069</v>
      </c>
      <c r="G284" s="354">
        <f t="shared" si="70"/>
        <v>77.314543901886779</v>
      </c>
      <c r="I284" s="355">
        <f t="shared" si="61"/>
        <v>307</v>
      </c>
      <c r="J284" s="349">
        <f t="shared" si="71"/>
        <v>2048</v>
      </c>
      <c r="K284" s="203">
        <f t="shared" si="72"/>
        <v>54271</v>
      </c>
      <c r="M284" s="350"/>
      <c r="N284" s="364">
        <f t="shared" si="68"/>
        <v>2.179999967419799E-2</v>
      </c>
      <c r="O284" s="364">
        <f t="shared" si="68"/>
        <v>0</v>
      </c>
      <c r="P284" s="364">
        <f t="shared" si="68"/>
        <v>2.179999967419799E-2</v>
      </c>
      <c r="V284" s="330" t="str">
        <f t="shared" si="65"/>
        <v>Summer</v>
      </c>
      <c r="AA284" s="350">
        <f t="shared" si="66"/>
        <v>2.18E-2</v>
      </c>
      <c r="AB284" s="351">
        <f t="shared" si="69"/>
        <v>0</v>
      </c>
    </row>
    <row r="285" spans="2:28" ht="17.45" hidden="1" customHeight="1">
      <c r="B285" s="203">
        <f t="shared" si="60"/>
        <v>54302</v>
      </c>
      <c r="C285" s="352">
        <v>152245.51000397967</v>
      </c>
      <c r="D285" s="353">
        <f>IF(ISNUMBER($F285),VLOOKUP($J285,'Table 1'!$B$13:$C$37,2,FALSE)/12*1000*Study_MW,"")</f>
        <v>873860.70307424967</v>
      </c>
      <c r="E285" s="353">
        <f t="shared" si="67"/>
        <v>1026106.2130782293</v>
      </c>
      <c r="F285" s="352">
        <v>11582.931032570001</v>
      </c>
      <c r="G285" s="354">
        <f t="shared" si="70"/>
        <v>88.587785785214905</v>
      </c>
      <c r="I285" s="355">
        <f t="shared" si="61"/>
        <v>308</v>
      </c>
      <c r="J285" s="349">
        <f t="shared" si="71"/>
        <v>2048</v>
      </c>
      <c r="K285" s="203">
        <f t="shared" si="72"/>
        <v>54302</v>
      </c>
      <c r="M285" s="350"/>
      <c r="N285" s="364">
        <f t="shared" si="68"/>
        <v>2.1799999676226589E-2</v>
      </c>
      <c r="O285" s="364">
        <f t="shared" si="68"/>
        <v>0</v>
      </c>
      <c r="P285" s="364">
        <f t="shared" si="68"/>
        <v>2.1799999676226589E-2</v>
      </c>
      <c r="V285" s="330" t="str">
        <f t="shared" si="65"/>
        <v>Winter</v>
      </c>
      <c r="AA285" s="350">
        <f t="shared" si="66"/>
        <v>2.18E-2</v>
      </c>
      <c r="AB285" s="351">
        <f t="shared" si="69"/>
        <v>0</v>
      </c>
    </row>
    <row r="286" spans="2:28" ht="17.45" hidden="1" customHeight="1">
      <c r="B286" s="203">
        <f t="shared" si="60"/>
        <v>54332</v>
      </c>
      <c r="C286" s="352">
        <v>670474.24770276423</v>
      </c>
      <c r="D286" s="353">
        <f>IF(ISNUMBER($F286),VLOOKUP($J286,'Table 1'!$B$13:$C$37,2,FALSE)/12*1000*Study_MW,"")</f>
        <v>873860.70307424967</v>
      </c>
      <c r="E286" s="353">
        <f t="shared" si="67"/>
        <v>1544334.9507770138</v>
      </c>
      <c r="F286" s="352">
        <v>23195.825556000003</v>
      </c>
      <c r="G286" s="354">
        <f t="shared" si="70"/>
        <v>66.578141271524814</v>
      </c>
      <c r="I286" s="355">
        <f t="shared" si="61"/>
        <v>309</v>
      </c>
      <c r="J286" s="349">
        <f t="shared" si="71"/>
        <v>2048</v>
      </c>
      <c r="K286" s="203">
        <f t="shared" si="72"/>
        <v>54332</v>
      </c>
      <c r="M286" s="350"/>
      <c r="N286" s="364">
        <f t="shared" ref="N286:P300" si="73">E286/E274-1</f>
        <v>2.1799999784874347E-2</v>
      </c>
      <c r="O286" s="364">
        <f t="shared" si="73"/>
        <v>0</v>
      </c>
      <c r="P286" s="364">
        <f t="shared" si="73"/>
        <v>2.1799999784874347E-2</v>
      </c>
      <c r="V286" s="330" t="str">
        <f t="shared" si="65"/>
        <v>Winter</v>
      </c>
      <c r="AA286" s="350">
        <f t="shared" si="66"/>
        <v>2.18E-2</v>
      </c>
      <c r="AB286" s="351">
        <f t="shared" si="69"/>
        <v>0</v>
      </c>
    </row>
    <row r="287" spans="2:28" ht="17.45" hidden="1" customHeight="1">
      <c r="B287" s="203">
        <f t="shared" si="60"/>
        <v>54363</v>
      </c>
      <c r="C287" s="352">
        <v>-419416.85987668904</v>
      </c>
      <c r="D287" s="353">
        <f>IF(ISNUMBER($F287),VLOOKUP($J287,'Table 1'!$B$13:$C$37,2,FALSE)/12*1000*Study_MW,"")</f>
        <v>873860.70307424967</v>
      </c>
      <c r="E287" s="353">
        <f t="shared" si="67"/>
        <v>454443.84319756064</v>
      </c>
      <c r="F287" s="352">
        <v>14022.606174700002</v>
      </c>
      <c r="G287" s="354">
        <f t="shared" si="70"/>
        <v>32.407944538689357</v>
      </c>
      <c r="I287" s="355">
        <f t="shared" si="61"/>
        <v>310</v>
      </c>
      <c r="J287" s="349">
        <f t="shared" si="71"/>
        <v>2048</v>
      </c>
      <c r="K287" s="203">
        <f t="shared" si="72"/>
        <v>54363</v>
      </c>
      <c r="M287" s="350"/>
      <c r="N287" s="364">
        <f t="shared" si="73"/>
        <v>2.179999926893994E-2</v>
      </c>
      <c r="O287" s="364">
        <f t="shared" si="73"/>
        <v>0</v>
      </c>
      <c r="P287" s="364">
        <f t="shared" si="73"/>
        <v>2.1799999268939718E-2</v>
      </c>
      <c r="V287" s="330" t="str">
        <f t="shared" si="65"/>
        <v>Winter</v>
      </c>
      <c r="AA287" s="350">
        <f t="shared" si="66"/>
        <v>2.18E-2</v>
      </c>
      <c r="AB287" s="351">
        <f t="shared" si="69"/>
        <v>0</v>
      </c>
    </row>
    <row r="288" spans="2:28" ht="17.45" hidden="1" customHeight="1">
      <c r="B288" s="204">
        <f t="shared" si="60"/>
        <v>54393</v>
      </c>
      <c r="C288" s="359">
        <v>-759281.82566164725</v>
      </c>
      <c r="D288" s="360">
        <f>IF(ISNUMBER($F288),VLOOKUP($J288,'Table 1'!$B$13:$C$37,2,FALSE)/12*1000*Study_MW,"")</f>
        <v>873860.70307424967</v>
      </c>
      <c r="E288" s="360">
        <f t="shared" si="67"/>
        <v>114578.87741260242</v>
      </c>
      <c r="F288" s="359">
        <v>14720.04135224138</v>
      </c>
      <c r="G288" s="361">
        <f t="shared" si="70"/>
        <v>7.7838692616957772</v>
      </c>
      <c r="I288" s="362">
        <f t="shared" si="61"/>
        <v>311</v>
      </c>
      <c r="J288" s="349">
        <f t="shared" si="71"/>
        <v>2048</v>
      </c>
      <c r="K288" s="204">
        <f t="shared" si="72"/>
        <v>54393</v>
      </c>
      <c r="M288" s="350"/>
      <c r="N288" s="364">
        <f t="shared" si="73"/>
        <v>2.1799997100462543E-2</v>
      </c>
      <c r="O288" s="364">
        <f t="shared" si="73"/>
        <v>0</v>
      </c>
      <c r="P288" s="364">
        <f t="shared" si="73"/>
        <v>2.1799997100462543E-2</v>
      </c>
      <c r="V288" s="330" t="str">
        <f t="shared" si="65"/>
        <v>Winter</v>
      </c>
      <c r="AA288" s="350">
        <f t="shared" si="66"/>
        <v>2.18E-2</v>
      </c>
      <c r="AB288" s="351">
        <f t="shared" si="69"/>
        <v>0</v>
      </c>
    </row>
    <row r="289" spans="2:28" ht="17.45" hidden="1" customHeight="1">
      <c r="B289" s="202">
        <f t="shared" si="60"/>
        <v>54424</v>
      </c>
      <c r="C289" s="343">
        <v>-161759.0386727702</v>
      </c>
      <c r="D289" s="344">
        <f>IF(ISNUMBER($F289),VLOOKUP($J289,'Table 1'!$B$13:$C$37,2,FALSE)/12*1000*Study_MW,"")</f>
        <v>892910.86606904224</v>
      </c>
      <c r="E289" s="345">
        <f t="shared" si="67"/>
        <v>731151.82739627198</v>
      </c>
      <c r="F289" s="346">
        <v>18859.187018470002</v>
      </c>
      <c r="G289" s="347">
        <f t="shared" si="70"/>
        <v>38.769000311636361</v>
      </c>
      <c r="I289" s="363">
        <f t="shared" si="61"/>
        <v>313</v>
      </c>
      <c r="J289" s="349">
        <f t="shared" si="71"/>
        <v>2049</v>
      </c>
      <c r="K289" s="202">
        <f t="shared" si="72"/>
        <v>54424</v>
      </c>
      <c r="M289" s="350"/>
      <c r="N289" s="364">
        <f t="shared" si="73"/>
        <v>2.1799999535706993E-2</v>
      </c>
      <c r="O289" s="364">
        <f t="shared" si="73"/>
        <v>0</v>
      </c>
      <c r="P289" s="364">
        <f t="shared" si="73"/>
        <v>2.1799999535706993E-2</v>
      </c>
      <c r="V289" s="330" t="str">
        <f t="shared" si="65"/>
        <v>Winter</v>
      </c>
      <c r="AA289" s="350">
        <f t="shared" si="66"/>
        <v>2.18E-2</v>
      </c>
      <c r="AB289" s="351">
        <f t="shared" si="69"/>
        <v>0</v>
      </c>
    </row>
    <row r="290" spans="2:28" ht="17.45" hidden="1" customHeight="1">
      <c r="B290" s="203">
        <f t="shared" si="60"/>
        <v>54455</v>
      </c>
      <c r="C290" s="352">
        <v>620170.33895633917</v>
      </c>
      <c r="D290" s="353">
        <f>IF(ISNUMBER($F290),VLOOKUP($J290,'Table 1'!$B$13:$C$37,2,FALSE)/12*1000*Study_MW,"")</f>
        <v>892910.86606904224</v>
      </c>
      <c r="E290" s="353">
        <f t="shared" si="67"/>
        <v>1513081.2050253814</v>
      </c>
      <c r="F290" s="352">
        <v>18638.478351186204</v>
      </c>
      <c r="G290" s="354">
        <f t="shared" si="70"/>
        <v>81.180511440682324</v>
      </c>
      <c r="I290" s="355">
        <f t="shared" si="61"/>
        <v>314</v>
      </c>
      <c r="J290" s="349">
        <f t="shared" si="71"/>
        <v>2049</v>
      </c>
      <c r="K290" s="203">
        <f t="shared" si="72"/>
        <v>54455</v>
      </c>
      <c r="M290" s="350"/>
      <c r="N290" s="364">
        <f t="shared" si="73"/>
        <v>2.1799999775644174E-2</v>
      </c>
      <c r="O290" s="364">
        <f t="shared" si="73"/>
        <v>-3.4482758620689724E-2</v>
      </c>
      <c r="P290" s="364">
        <f t="shared" si="73"/>
        <v>5.8292856910488799E-2</v>
      </c>
      <c r="V290" s="330" t="str">
        <f t="shared" si="65"/>
        <v>Winter</v>
      </c>
      <c r="AA290" s="350">
        <f t="shared" si="66"/>
        <v>2.18E-2</v>
      </c>
      <c r="AB290" s="351">
        <f t="shared" si="69"/>
        <v>0</v>
      </c>
    </row>
    <row r="291" spans="2:28" ht="17.45" hidden="1" customHeight="1">
      <c r="B291" s="203">
        <f t="shared" si="60"/>
        <v>54483</v>
      </c>
      <c r="C291" s="352">
        <v>54421.814760767978</v>
      </c>
      <c r="D291" s="353">
        <f>IF(ISNUMBER($F291),VLOOKUP($J291,'Table 1'!$B$13:$C$37,2,FALSE)/12*1000*Study_MW,"")</f>
        <v>892910.86606904224</v>
      </c>
      <c r="E291" s="353">
        <f t="shared" si="67"/>
        <v>947332.68082981021</v>
      </c>
      <c r="F291" s="352">
        <v>17956.003675159998</v>
      </c>
      <c r="G291" s="354">
        <f t="shared" si="70"/>
        <v>52.75854794685371</v>
      </c>
      <c r="I291" s="355">
        <f t="shared" si="61"/>
        <v>315</v>
      </c>
      <c r="J291" s="349">
        <f t="shared" si="71"/>
        <v>2049</v>
      </c>
      <c r="K291" s="203">
        <f t="shared" si="72"/>
        <v>54483</v>
      </c>
      <c r="M291" s="350"/>
      <c r="N291" s="364">
        <f t="shared" si="73"/>
        <v>2.1799999641658463E-2</v>
      </c>
      <c r="O291" s="364">
        <f t="shared" si="73"/>
        <v>0</v>
      </c>
      <c r="P291" s="364">
        <f t="shared" si="73"/>
        <v>2.1799999641658463E-2</v>
      </c>
      <c r="V291" s="330" t="str">
        <f t="shared" si="65"/>
        <v>Winter</v>
      </c>
      <c r="AA291" s="350">
        <f t="shared" si="66"/>
        <v>2.18E-2</v>
      </c>
      <c r="AB291" s="351">
        <f t="shared" si="69"/>
        <v>0</v>
      </c>
    </row>
    <row r="292" spans="2:28" ht="17.45" hidden="1" customHeight="1">
      <c r="B292" s="203">
        <f t="shared" si="60"/>
        <v>54514</v>
      </c>
      <c r="C292" s="352">
        <v>59485.923890777231</v>
      </c>
      <c r="D292" s="353">
        <f>IF(ISNUMBER($F292),VLOOKUP($J292,'Table 1'!$B$13:$C$37,2,FALSE)/12*1000*Study_MW,"")</f>
        <v>892910.86606904224</v>
      </c>
      <c r="E292" s="353">
        <f t="shared" si="67"/>
        <v>952396.78995981952</v>
      </c>
      <c r="F292" s="352">
        <v>22296.220530250001</v>
      </c>
      <c r="G292" s="354">
        <f t="shared" si="70"/>
        <v>42.715615799891829</v>
      </c>
      <c r="I292" s="355">
        <f t="shared" si="61"/>
        <v>316</v>
      </c>
      <c r="J292" s="349">
        <f t="shared" si="71"/>
        <v>2049</v>
      </c>
      <c r="K292" s="203">
        <f t="shared" si="72"/>
        <v>54514</v>
      </c>
      <c r="M292" s="350"/>
      <c r="N292" s="364">
        <f t="shared" si="73"/>
        <v>2.1799999643563828E-2</v>
      </c>
      <c r="O292" s="364">
        <f t="shared" si="73"/>
        <v>0</v>
      </c>
      <c r="P292" s="364">
        <f t="shared" si="73"/>
        <v>2.179999964356405E-2</v>
      </c>
      <c r="V292" s="330" t="str">
        <f t="shared" si="65"/>
        <v>Winter</v>
      </c>
      <c r="AA292" s="350">
        <f t="shared" si="66"/>
        <v>2.18E-2</v>
      </c>
      <c r="AB292" s="351">
        <f t="shared" si="69"/>
        <v>0</v>
      </c>
    </row>
    <row r="293" spans="2:28" ht="17.45" hidden="1" customHeight="1">
      <c r="B293" s="203">
        <f t="shared" si="60"/>
        <v>54544</v>
      </c>
      <c r="C293" s="352">
        <v>19300.334300996696</v>
      </c>
      <c r="D293" s="353">
        <f>IF(ISNUMBER($F293),VLOOKUP($J293,'Table 1'!$B$13:$C$37,2,FALSE)/12*1000*Study_MW,"")</f>
        <v>892910.86606904224</v>
      </c>
      <c r="E293" s="353">
        <f t="shared" si="67"/>
        <v>912211.20037003898</v>
      </c>
      <c r="F293" s="352">
        <v>22706.788430020009</v>
      </c>
      <c r="G293" s="354">
        <f t="shared" si="70"/>
        <v>40.173501557975946</v>
      </c>
      <c r="I293" s="355">
        <f t="shared" si="61"/>
        <v>317</v>
      </c>
      <c r="J293" s="349">
        <f t="shared" si="71"/>
        <v>2049</v>
      </c>
      <c r="K293" s="203">
        <f t="shared" si="72"/>
        <v>54544</v>
      </c>
      <c r="M293" s="350"/>
      <c r="N293" s="364">
        <f t="shared" si="73"/>
        <v>2.1799999627861943E-2</v>
      </c>
      <c r="O293" s="364">
        <f t="shared" si="73"/>
        <v>0</v>
      </c>
      <c r="P293" s="364">
        <f t="shared" si="73"/>
        <v>2.1799999627861943E-2</v>
      </c>
      <c r="V293" s="330" t="str">
        <f t="shared" si="65"/>
        <v>Summer</v>
      </c>
      <c r="AA293" s="350">
        <f t="shared" si="66"/>
        <v>2.18E-2</v>
      </c>
      <c r="AB293" s="351">
        <f t="shared" si="69"/>
        <v>0</v>
      </c>
    </row>
    <row r="294" spans="2:28" ht="17.45" hidden="1" customHeight="1">
      <c r="B294" s="203">
        <f t="shared" si="60"/>
        <v>54575</v>
      </c>
      <c r="C294" s="352">
        <v>607189.74798038939</v>
      </c>
      <c r="D294" s="353">
        <f>IF(ISNUMBER($F294),VLOOKUP($J294,'Table 1'!$B$13:$C$37,2,FALSE)/12*1000*Study_MW,"")</f>
        <v>892910.86606904224</v>
      </c>
      <c r="E294" s="353">
        <f t="shared" si="67"/>
        <v>1500100.6140494316</v>
      </c>
      <c r="F294" s="352">
        <v>21745.812183619997</v>
      </c>
      <c r="G294" s="354">
        <f t="shared" si="70"/>
        <v>68.983425469818982</v>
      </c>
      <c r="I294" s="355">
        <f t="shared" si="61"/>
        <v>318</v>
      </c>
      <c r="J294" s="349">
        <f t="shared" si="71"/>
        <v>2049</v>
      </c>
      <c r="K294" s="203">
        <f t="shared" si="72"/>
        <v>54575</v>
      </c>
      <c r="M294" s="350"/>
      <c r="N294" s="364">
        <f t="shared" si="73"/>
        <v>2.1799999773702838E-2</v>
      </c>
      <c r="O294" s="364">
        <f t="shared" si="73"/>
        <v>0</v>
      </c>
      <c r="P294" s="364">
        <f t="shared" si="73"/>
        <v>2.1799999773702838E-2</v>
      </c>
      <c r="V294" s="330" t="str">
        <f t="shared" si="65"/>
        <v>Summer</v>
      </c>
      <c r="AA294" s="350">
        <f t="shared" si="66"/>
        <v>2.18E-2</v>
      </c>
      <c r="AB294" s="351">
        <f t="shared" si="69"/>
        <v>0</v>
      </c>
    </row>
    <row r="295" spans="2:28" ht="17.45" hidden="1" customHeight="1">
      <c r="B295" s="203">
        <f t="shared" si="60"/>
        <v>54605</v>
      </c>
      <c r="C295" s="352">
        <v>166489.52785306633</v>
      </c>
      <c r="D295" s="353">
        <f>IF(ISNUMBER($F295),VLOOKUP($J295,'Table 1'!$B$13:$C$37,2,FALSE)/12*1000*Study_MW,"")</f>
        <v>892910.86606904224</v>
      </c>
      <c r="E295" s="353">
        <f t="shared" si="67"/>
        <v>1059400.3939221087</v>
      </c>
      <c r="F295" s="352">
        <v>13611.277785999999</v>
      </c>
      <c r="G295" s="354">
        <f t="shared" si="70"/>
        <v>77.832545230379793</v>
      </c>
      <c r="I295" s="355">
        <f t="shared" si="61"/>
        <v>319</v>
      </c>
      <c r="J295" s="349">
        <f t="shared" si="71"/>
        <v>2049</v>
      </c>
      <c r="K295" s="203">
        <f t="shared" si="72"/>
        <v>54605</v>
      </c>
      <c r="M295" s="350"/>
      <c r="N295" s="364">
        <f t="shared" si="73"/>
        <v>2.1799999679565474E-2</v>
      </c>
      <c r="O295" s="364">
        <f t="shared" si="73"/>
        <v>0</v>
      </c>
      <c r="P295" s="364">
        <f t="shared" si="73"/>
        <v>2.1799999679565252E-2</v>
      </c>
      <c r="V295" s="330" t="str">
        <f t="shared" si="65"/>
        <v>Summer</v>
      </c>
      <c r="AA295" s="350">
        <f t="shared" si="66"/>
        <v>2.18E-2</v>
      </c>
      <c r="AB295" s="351">
        <f t="shared" si="69"/>
        <v>0</v>
      </c>
    </row>
    <row r="296" spans="2:28" ht="17.45" hidden="1" customHeight="1">
      <c r="B296" s="203">
        <f t="shared" si="60"/>
        <v>54636</v>
      </c>
      <c r="C296" s="352">
        <v>149035.71878099479</v>
      </c>
      <c r="D296" s="353">
        <f>IF(ISNUMBER($F296),VLOOKUP($J296,'Table 1'!$B$13:$C$37,2,FALSE)/12*1000*Study_MW,"")</f>
        <v>892910.86606904224</v>
      </c>
      <c r="E296" s="353">
        <f t="shared" si="67"/>
        <v>1041946.584850037</v>
      </c>
      <c r="F296" s="352">
        <v>13189.19712069</v>
      </c>
      <c r="G296" s="354">
        <f t="shared" si="70"/>
        <v>79.000000933758656</v>
      </c>
      <c r="I296" s="355">
        <f t="shared" si="61"/>
        <v>320</v>
      </c>
      <c r="J296" s="349">
        <f t="shared" si="71"/>
        <v>2049</v>
      </c>
      <c r="K296" s="203">
        <f t="shared" si="72"/>
        <v>54636</v>
      </c>
      <c r="M296" s="350"/>
      <c r="N296" s="364">
        <f t="shared" si="73"/>
        <v>2.1799999674197768E-2</v>
      </c>
      <c r="O296" s="364">
        <f t="shared" si="73"/>
        <v>0</v>
      </c>
      <c r="P296" s="364">
        <f t="shared" si="73"/>
        <v>2.1799999674197768E-2</v>
      </c>
      <c r="V296" s="330" t="str">
        <f t="shared" si="65"/>
        <v>Summer</v>
      </c>
      <c r="AA296" s="350">
        <f t="shared" si="66"/>
        <v>2.18E-2</v>
      </c>
      <c r="AB296" s="351">
        <f t="shared" si="69"/>
        <v>0</v>
      </c>
    </row>
    <row r="297" spans="2:28" ht="17.45" hidden="1" customHeight="1">
      <c r="B297" s="203">
        <f t="shared" si="60"/>
        <v>54667</v>
      </c>
      <c r="C297" s="352">
        <v>155564.46212206644</v>
      </c>
      <c r="D297" s="353">
        <f>IF(ISNUMBER($F297),VLOOKUP($J297,'Table 1'!$B$13:$C$37,2,FALSE)/12*1000*Study_MW,"")</f>
        <v>892910.86606904224</v>
      </c>
      <c r="E297" s="353">
        <f t="shared" si="67"/>
        <v>1048475.3281911087</v>
      </c>
      <c r="F297" s="352">
        <v>11582.931032570001</v>
      </c>
      <c r="G297" s="354">
        <f t="shared" si="70"/>
        <v>90.518999486650202</v>
      </c>
      <c r="I297" s="355">
        <f t="shared" si="61"/>
        <v>321</v>
      </c>
      <c r="J297" s="349">
        <f t="shared" si="71"/>
        <v>2049</v>
      </c>
      <c r="K297" s="203">
        <f t="shared" si="72"/>
        <v>54667</v>
      </c>
      <c r="M297" s="350"/>
      <c r="N297" s="364">
        <f t="shared" si="73"/>
        <v>2.1799999676226367E-2</v>
      </c>
      <c r="O297" s="364">
        <f t="shared" si="73"/>
        <v>0</v>
      </c>
      <c r="P297" s="364">
        <f t="shared" si="73"/>
        <v>2.1799999676226367E-2</v>
      </c>
      <c r="V297" s="330" t="str">
        <f t="shared" si="65"/>
        <v>Winter</v>
      </c>
      <c r="AA297" s="350">
        <f t="shared" si="66"/>
        <v>2.18E-2</v>
      </c>
      <c r="AB297" s="351">
        <f t="shared" si="69"/>
        <v>0</v>
      </c>
    </row>
    <row r="298" spans="2:28" ht="17.45" hidden="1" customHeight="1">
      <c r="B298" s="203">
        <f t="shared" si="60"/>
        <v>54697</v>
      </c>
      <c r="C298" s="352">
        <v>685090.5863026845</v>
      </c>
      <c r="D298" s="353">
        <f>IF(ISNUMBER($F298),VLOOKUP($J298,'Table 1'!$B$13:$C$37,2,FALSE)/12*1000*Study_MW,"")</f>
        <v>892910.86606904224</v>
      </c>
      <c r="E298" s="353">
        <f t="shared" si="67"/>
        <v>1578001.4523717267</v>
      </c>
      <c r="F298" s="352">
        <v>23195.825556000003</v>
      </c>
      <c r="G298" s="354">
        <f t="shared" si="70"/>
        <v>68.029544736921395</v>
      </c>
      <c r="I298" s="355">
        <f t="shared" si="61"/>
        <v>322</v>
      </c>
      <c r="J298" s="349">
        <f t="shared" si="71"/>
        <v>2049</v>
      </c>
      <c r="K298" s="203">
        <f t="shared" si="72"/>
        <v>54697</v>
      </c>
      <c r="M298" s="350"/>
      <c r="N298" s="364">
        <f t="shared" si="73"/>
        <v>2.1799999784874347E-2</v>
      </c>
      <c r="O298" s="364">
        <f t="shared" si="73"/>
        <v>0</v>
      </c>
      <c r="P298" s="364">
        <f t="shared" si="73"/>
        <v>2.1799999784874347E-2</v>
      </c>
      <c r="V298" s="330" t="str">
        <f t="shared" si="65"/>
        <v>Winter</v>
      </c>
      <c r="AA298" s="350">
        <f t="shared" si="66"/>
        <v>2.18E-2</v>
      </c>
      <c r="AB298" s="351">
        <f t="shared" si="69"/>
        <v>0</v>
      </c>
    </row>
    <row r="299" spans="2:28" ht="17.45" hidden="1" customHeight="1">
      <c r="B299" s="203">
        <f t="shared" si="60"/>
        <v>54728</v>
      </c>
      <c r="C299" s="352">
        <v>-428560.14742200088</v>
      </c>
      <c r="D299" s="353">
        <f>IF(ISNUMBER($F299),VLOOKUP($J299,'Table 1'!$B$13:$C$37,2,FALSE)/12*1000*Study_MW,"")</f>
        <v>892910.86606904224</v>
      </c>
      <c r="E299" s="353">
        <f t="shared" si="67"/>
        <v>464350.71864704136</v>
      </c>
      <c r="F299" s="352">
        <v>14022.606174700002</v>
      </c>
      <c r="G299" s="354">
        <f t="shared" si="70"/>
        <v>33.11443770594061</v>
      </c>
      <c r="I299" s="355">
        <f t="shared" si="61"/>
        <v>323</v>
      </c>
      <c r="J299" s="349">
        <f t="shared" si="71"/>
        <v>2049</v>
      </c>
      <c r="K299" s="203">
        <f t="shared" si="72"/>
        <v>54728</v>
      </c>
      <c r="M299" s="350"/>
      <c r="N299" s="364">
        <f t="shared" si="73"/>
        <v>2.1799999268939052E-2</v>
      </c>
      <c r="O299" s="364">
        <f t="shared" si="73"/>
        <v>0</v>
      </c>
      <c r="P299" s="364">
        <f t="shared" si="73"/>
        <v>2.1799999268939274E-2</v>
      </c>
      <c r="V299" s="330" t="str">
        <f t="shared" si="65"/>
        <v>Winter</v>
      </c>
      <c r="AA299" s="350">
        <f t="shared" si="66"/>
        <v>2.18E-2</v>
      </c>
      <c r="AB299" s="351">
        <f t="shared" si="69"/>
        <v>0</v>
      </c>
    </row>
    <row r="300" spans="2:28" ht="17.45" hidden="1" customHeight="1">
      <c r="B300" s="204">
        <f t="shared" si="60"/>
        <v>54758</v>
      </c>
      <c r="C300" s="359">
        <v>-775834.16946107114</v>
      </c>
      <c r="D300" s="360">
        <f>IF(ISNUMBER($F300),VLOOKUP($J300,'Table 1'!$B$13:$C$37,2,FALSE)/12*1000*Study_MW,"")</f>
        <v>892910.86606904224</v>
      </c>
      <c r="E300" s="360">
        <f t="shared" si="67"/>
        <v>117076.6966079711</v>
      </c>
      <c r="F300" s="359">
        <v>14720.04135224138</v>
      </c>
      <c r="G300" s="361">
        <f t="shared" si="70"/>
        <v>7.9535575890311039</v>
      </c>
      <c r="I300" s="362">
        <f t="shared" si="61"/>
        <v>324</v>
      </c>
      <c r="J300" s="349">
        <f t="shared" si="71"/>
        <v>2049</v>
      </c>
      <c r="K300" s="204">
        <f t="shared" si="72"/>
        <v>54758</v>
      </c>
      <c r="M300" s="350"/>
      <c r="N300" s="364">
        <f t="shared" si="73"/>
        <v>2.1799997100459878E-2</v>
      </c>
      <c r="O300" s="364">
        <f t="shared" si="73"/>
        <v>0</v>
      </c>
      <c r="P300" s="364">
        <f t="shared" si="73"/>
        <v>2.1799997100459878E-2</v>
      </c>
      <c r="V300" s="330" t="str">
        <f t="shared" si="65"/>
        <v>Winter</v>
      </c>
      <c r="AA300" s="350">
        <f t="shared" si="66"/>
        <v>2.18E-2</v>
      </c>
      <c r="AB300" s="351">
        <f t="shared" si="69"/>
        <v>0</v>
      </c>
    </row>
    <row r="301" spans="2:28" ht="17.45" hidden="1" customHeight="1">
      <c r="B301" s="202">
        <f t="shared" si="60"/>
        <v>54789</v>
      </c>
      <c r="C301" s="343">
        <v>-165285.3857158366</v>
      </c>
      <c r="D301" s="344">
        <f>IF(ISNUMBER($F301),VLOOKUP($J301,'Table 1'!$B$13:$C$37,2,FALSE)/12*1000*Study_MW,"")</f>
        <v>912376.32260987896</v>
      </c>
      <c r="E301" s="345">
        <f t="shared" si="67"/>
        <v>747090.93689404242</v>
      </c>
      <c r="F301" s="346">
        <v>18859.187018470002</v>
      </c>
      <c r="G301" s="347">
        <f t="shared" si="70"/>
        <v>39.614164500429879</v>
      </c>
      <c r="I301" s="363">
        <f t="shared" si="61"/>
        <v>326</v>
      </c>
      <c r="J301" s="349">
        <f t="shared" si="71"/>
        <v>2050</v>
      </c>
      <c r="K301" s="202">
        <f t="shared" si="72"/>
        <v>54789</v>
      </c>
      <c r="M301" s="350"/>
      <c r="N301" s="364">
        <f t="shared" ref="N301:N312" si="74">E301/E289-1</f>
        <v>2.1799999535707437E-2</v>
      </c>
      <c r="O301" s="364">
        <f t="shared" ref="O301:O312" si="75">F301/F289-1</f>
        <v>0</v>
      </c>
      <c r="P301" s="364">
        <f t="shared" ref="P301:P312" si="76">G301/G289-1</f>
        <v>2.1799999535707437E-2</v>
      </c>
      <c r="V301" s="330" t="str">
        <f t="shared" si="65"/>
        <v>Winter</v>
      </c>
      <c r="AA301" s="350">
        <f t="shared" si="66"/>
        <v>2.18E-2</v>
      </c>
      <c r="AB301" s="351">
        <f t="shared" si="69"/>
        <v>0</v>
      </c>
    </row>
    <row r="302" spans="2:28" ht="17.45" hidden="1" customHeight="1">
      <c r="B302" s="203">
        <f t="shared" si="60"/>
        <v>54820</v>
      </c>
      <c r="C302" s="352">
        <v>633690.05234558741</v>
      </c>
      <c r="D302" s="353">
        <f>IF(ISNUMBER($F302),VLOOKUP($J302,'Table 1'!$B$13:$C$37,2,FALSE)/12*1000*Study_MW,"")</f>
        <v>912376.32260987896</v>
      </c>
      <c r="E302" s="353">
        <f t="shared" si="67"/>
        <v>1546066.3749554665</v>
      </c>
      <c r="F302" s="352">
        <v>18638.478351186204</v>
      </c>
      <c r="G302" s="354">
        <f t="shared" si="70"/>
        <v>82.950246571875894</v>
      </c>
      <c r="I302" s="355">
        <f t="shared" si="61"/>
        <v>327</v>
      </c>
      <c r="J302" s="349">
        <f t="shared" si="71"/>
        <v>2050</v>
      </c>
      <c r="K302" s="203">
        <f t="shared" si="72"/>
        <v>54820</v>
      </c>
      <c r="M302" s="350"/>
      <c r="N302" s="364">
        <f t="shared" si="74"/>
        <v>2.1799999775644396E-2</v>
      </c>
      <c r="O302" s="364">
        <f t="shared" si="75"/>
        <v>0</v>
      </c>
      <c r="P302" s="364">
        <f t="shared" si="76"/>
        <v>2.1799999775644396E-2</v>
      </c>
      <c r="V302" s="330" t="str">
        <f t="shared" si="65"/>
        <v>Winter</v>
      </c>
      <c r="AA302" s="350">
        <f t="shared" si="66"/>
        <v>2.18E-2</v>
      </c>
      <c r="AB302" s="351">
        <f t="shared" si="69"/>
        <v>0</v>
      </c>
    </row>
    <row r="303" spans="2:28" ht="17.45" hidden="1" customHeight="1">
      <c r="B303" s="203">
        <f t="shared" si="60"/>
        <v>54848</v>
      </c>
      <c r="C303" s="352">
        <v>55608.210322552724</v>
      </c>
      <c r="D303" s="353">
        <f>IF(ISNUMBER($F303),VLOOKUP($J303,'Table 1'!$B$13:$C$37,2,FALSE)/12*1000*Study_MW,"")</f>
        <v>912376.32260987896</v>
      </c>
      <c r="E303" s="353">
        <f t="shared" si="67"/>
        <v>967984.53293243167</v>
      </c>
      <c r="F303" s="352">
        <v>17956.003675159998</v>
      </c>
      <c r="G303" s="354">
        <f t="shared" si="70"/>
        <v>53.908684273189557</v>
      </c>
      <c r="I303" s="355">
        <f t="shared" si="61"/>
        <v>328</v>
      </c>
      <c r="J303" s="349">
        <f t="shared" si="71"/>
        <v>2050</v>
      </c>
      <c r="K303" s="203">
        <f t="shared" si="72"/>
        <v>54848</v>
      </c>
      <c r="M303" s="350"/>
      <c r="N303" s="364">
        <f t="shared" si="74"/>
        <v>2.1799999641658685E-2</v>
      </c>
      <c r="O303" s="364">
        <f t="shared" si="75"/>
        <v>0</v>
      </c>
      <c r="P303" s="364">
        <f t="shared" si="76"/>
        <v>2.1799999641658685E-2</v>
      </c>
      <c r="V303" s="330" t="str">
        <f t="shared" si="65"/>
        <v>Winter</v>
      </c>
      <c r="AA303" s="350">
        <f t="shared" si="66"/>
        <v>2.18E-2</v>
      </c>
      <c r="AB303" s="351">
        <f t="shared" si="69"/>
        <v>0</v>
      </c>
    </row>
    <row r="304" spans="2:28" ht="17.45" hidden="1" customHeight="1">
      <c r="B304" s="203">
        <f t="shared" si="60"/>
        <v>54879</v>
      </c>
      <c r="C304" s="352">
        <v>60782.717031596178</v>
      </c>
      <c r="D304" s="353">
        <f>IF(ISNUMBER($F304),VLOOKUP($J304,'Table 1'!$B$13:$C$37,2,FALSE)/12*1000*Study_MW,"")</f>
        <v>912376.32260987896</v>
      </c>
      <c r="E304" s="353">
        <f t="shared" si="67"/>
        <v>973159.03964147519</v>
      </c>
      <c r="F304" s="352">
        <v>22296.220530250001</v>
      </c>
      <c r="G304" s="354">
        <f t="shared" si="70"/>
        <v>43.646816209104095</v>
      </c>
      <c r="I304" s="355">
        <f t="shared" si="61"/>
        <v>329</v>
      </c>
      <c r="J304" s="349">
        <f t="shared" si="71"/>
        <v>2050</v>
      </c>
      <c r="K304" s="203">
        <f t="shared" si="72"/>
        <v>54879</v>
      </c>
      <c r="M304" s="350"/>
      <c r="N304" s="364">
        <f t="shared" si="74"/>
        <v>2.179999964356405E-2</v>
      </c>
      <c r="O304" s="364">
        <f t="shared" si="75"/>
        <v>0</v>
      </c>
      <c r="P304" s="364">
        <f t="shared" si="76"/>
        <v>2.1799999643564272E-2</v>
      </c>
      <c r="V304" s="330" t="str">
        <f t="shared" si="65"/>
        <v>Winter</v>
      </c>
      <c r="AA304" s="350">
        <f t="shared" si="66"/>
        <v>2.18E-2</v>
      </c>
      <c r="AB304" s="351">
        <f t="shared" si="69"/>
        <v>0</v>
      </c>
    </row>
    <row r="305" spans="2:28" ht="17.45" hidden="1" customHeight="1">
      <c r="B305" s="203">
        <f t="shared" si="60"/>
        <v>54909</v>
      </c>
      <c r="C305" s="352">
        <v>19721.081588758425</v>
      </c>
      <c r="D305" s="353">
        <f>IF(ISNUMBER($F305),VLOOKUP($J305,'Table 1'!$B$13:$C$37,2,FALSE)/12*1000*Study_MW,"")</f>
        <v>912376.32260987896</v>
      </c>
      <c r="E305" s="353">
        <f t="shared" si="67"/>
        <v>932097.40419863735</v>
      </c>
      <c r="F305" s="352">
        <v>22706.788430020009</v>
      </c>
      <c r="G305" s="354">
        <f t="shared" si="70"/>
        <v>41.049283876989733</v>
      </c>
      <c r="I305" s="355">
        <f t="shared" si="61"/>
        <v>330</v>
      </c>
      <c r="J305" s="349">
        <f t="shared" si="71"/>
        <v>2050</v>
      </c>
      <c r="K305" s="203">
        <f t="shared" si="72"/>
        <v>54909</v>
      </c>
      <c r="M305" s="350"/>
      <c r="N305" s="364">
        <f t="shared" si="74"/>
        <v>2.1799999627861943E-2</v>
      </c>
      <c r="O305" s="364">
        <f t="shared" si="75"/>
        <v>0</v>
      </c>
      <c r="P305" s="364">
        <f t="shared" si="76"/>
        <v>2.1799999627861943E-2</v>
      </c>
      <c r="V305" s="330" t="str">
        <f t="shared" si="65"/>
        <v>Summer</v>
      </c>
      <c r="AA305" s="350">
        <f t="shared" si="66"/>
        <v>2.18E-2</v>
      </c>
      <c r="AB305" s="351">
        <f t="shared" si="69"/>
        <v>0</v>
      </c>
    </row>
    <row r="306" spans="2:28" ht="17.45" hidden="1" customHeight="1">
      <c r="B306" s="203">
        <f t="shared" si="60"/>
        <v>54940</v>
      </c>
      <c r="C306" s="352">
        <v>620426.48448636197</v>
      </c>
      <c r="D306" s="353">
        <f>IF(ISNUMBER($F306),VLOOKUP($J306,'Table 1'!$B$13:$C$37,2,FALSE)/12*1000*Study_MW,"")</f>
        <v>912376.32260987896</v>
      </c>
      <c r="E306" s="353">
        <f t="shared" si="67"/>
        <v>1532802.807096241</v>
      </c>
      <c r="F306" s="352">
        <v>21745.812183619997</v>
      </c>
      <c r="G306" s="354">
        <f t="shared" si="70"/>
        <v>70.487264129450296</v>
      </c>
      <c r="I306" s="355">
        <f t="shared" si="61"/>
        <v>331</v>
      </c>
      <c r="J306" s="349">
        <f t="shared" si="71"/>
        <v>2050</v>
      </c>
      <c r="K306" s="203">
        <f t="shared" si="72"/>
        <v>54940</v>
      </c>
      <c r="M306" s="350"/>
      <c r="N306" s="364">
        <f t="shared" si="74"/>
        <v>2.179999977370306E-2</v>
      </c>
      <c r="O306" s="364">
        <f t="shared" si="75"/>
        <v>0</v>
      </c>
      <c r="P306" s="364">
        <f t="shared" si="76"/>
        <v>2.179999977370306E-2</v>
      </c>
      <c r="V306" s="330" t="str">
        <f t="shared" si="65"/>
        <v>Summer</v>
      </c>
      <c r="AA306" s="350">
        <f t="shared" si="66"/>
        <v>2.18E-2</v>
      </c>
      <c r="AB306" s="351">
        <f t="shared" si="69"/>
        <v>0</v>
      </c>
    </row>
    <row r="307" spans="2:28" ht="17.45" hidden="1" customHeight="1">
      <c r="B307" s="203">
        <f t="shared" si="60"/>
        <v>54970</v>
      </c>
      <c r="C307" s="352">
        <v>170118.99956026318</v>
      </c>
      <c r="D307" s="353">
        <f>IF(ISNUMBER($F307),VLOOKUP($J307,'Table 1'!$B$13:$C$37,2,FALSE)/12*1000*Study_MW,"")</f>
        <v>912376.32260987896</v>
      </c>
      <c r="E307" s="353">
        <f t="shared" si="67"/>
        <v>1082495.3221701421</v>
      </c>
      <c r="F307" s="352">
        <v>13611.277785999999</v>
      </c>
      <c r="G307" s="354">
        <f t="shared" si="70"/>
        <v>79.529294691461828</v>
      </c>
      <c r="I307" s="355">
        <f t="shared" si="61"/>
        <v>332</v>
      </c>
      <c r="J307" s="349">
        <f t="shared" si="71"/>
        <v>2050</v>
      </c>
      <c r="K307" s="203">
        <f t="shared" si="72"/>
        <v>54970</v>
      </c>
      <c r="M307" s="350"/>
      <c r="N307" s="364">
        <f t="shared" si="74"/>
        <v>2.1799999679565474E-2</v>
      </c>
      <c r="O307" s="364">
        <f t="shared" si="75"/>
        <v>0</v>
      </c>
      <c r="P307" s="364">
        <f t="shared" si="76"/>
        <v>2.1799999679565252E-2</v>
      </c>
      <c r="V307" s="330" t="str">
        <f t="shared" si="65"/>
        <v>Summer</v>
      </c>
      <c r="AA307" s="350">
        <f t="shared" si="66"/>
        <v>2.18E-2</v>
      </c>
      <c r="AB307" s="351">
        <f t="shared" si="69"/>
        <v>0</v>
      </c>
    </row>
    <row r="308" spans="2:28" ht="17.45" hidden="1" customHeight="1">
      <c r="B308" s="203">
        <f t="shared" si="60"/>
        <v>55001</v>
      </c>
      <c r="C308" s="352">
        <v>152284.6974504205</v>
      </c>
      <c r="D308" s="353">
        <f>IF(ISNUMBER($F308),VLOOKUP($J308,'Table 1'!$B$13:$C$37,2,FALSE)/12*1000*Study_MW,"")</f>
        <v>912376.32260987896</v>
      </c>
      <c r="E308" s="353">
        <f t="shared" si="67"/>
        <v>1064661.0200602994</v>
      </c>
      <c r="F308" s="352">
        <v>13189.19712069</v>
      </c>
      <c r="G308" s="354">
        <f t="shared" si="70"/>
        <v>80.722200928376239</v>
      </c>
      <c r="I308" s="355">
        <f t="shared" si="61"/>
        <v>333</v>
      </c>
      <c r="J308" s="349">
        <f t="shared" si="71"/>
        <v>2050</v>
      </c>
      <c r="K308" s="203">
        <f t="shared" si="72"/>
        <v>55001</v>
      </c>
      <c r="M308" s="350"/>
      <c r="N308" s="364">
        <f t="shared" si="74"/>
        <v>2.179999967419799E-2</v>
      </c>
      <c r="O308" s="364">
        <f t="shared" si="75"/>
        <v>0</v>
      </c>
      <c r="P308" s="364">
        <f t="shared" si="76"/>
        <v>2.179999967419799E-2</v>
      </c>
      <c r="V308" s="330" t="str">
        <f t="shared" si="65"/>
        <v>Summer</v>
      </c>
      <c r="AA308" s="350">
        <f t="shared" si="66"/>
        <v>2.18E-2</v>
      </c>
      <c r="AB308" s="351">
        <f t="shared" si="69"/>
        <v>0</v>
      </c>
    </row>
    <row r="309" spans="2:28" ht="17.45" hidden="1" customHeight="1">
      <c r="B309" s="203">
        <f t="shared" si="60"/>
        <v>55032</v>
      </c>
      <c r="C309" s="352">
        <v>158955.76739632749</v>
      </c>
      <c r="D309" s="353">
        <f>IF(ISNUMBER($F309),VLOOKUP($J309,'Table 1'!$B$13:$C$37,2,FALSE)/12*1000*Study_MW,"")</f>
        <v>912376.32260987896</v>
      </c>
      <c r="E309" s="353">
        <f t="shared" si="67"/>
        <v>1071332.0900062064</v>
      </c>
      <c r="F309" s="352">
        <v>11582.931032570001</v>
      </c>
      <c r="G309" s="354">
        <f t="shared" si="70"/>
        <v>92.492313646151544</v>
      </c>
      <c r="I309" s="355">
        <f t="shared" si="61"/>
        <v>334</v>
      </c>
      <c r="J309" s="349">
        <f t="shared" si="71"/>
        <v>2050</v>
      </c>
      <c r="K309" s="203">
        <f t="shared" si="72"/>
        <v>55032</v>
      </c>
      <c r="M309" s="350"/>
      <c r="N309" s="364">
        <f t="shared" si="74"/>
        <v>2.1799999676226589E-2</v>
      </c>
      <c r="O309" s="364">
        <f t="shared" si="75"/>
        <v>0</v>
      </c>
      <c r="P309" s="364">
        <f t="shared" si="76"/>
        <v>2.1799999676226811E-2</v>
      </c>
      <c r="V309" s="330" t="str">
        <f t="shared" si="65"/>
        <v>Winter</v>
      </c>
      <c r="AA309" s="350">
        <f t="shared" si="66"/>
        <v>2.18E-2</v>
      </c>
      <c r="AB309" s="351">
        <f t="shared" si="69"/>
        <v>0</v>
      </c>
    </row>
    <row r="310" spans="2:28" ht="17.45" hidden="1" customHeight="1">
      <c r="B310" s="203">
        <f t="shared" si="60"/>
        <v>55062</v>
      </c>
      <c r="C310" s="352">
        <v>700025.56108408305</v>
      </c>
      <c r="D310" s="353">
        <f>IF(ISNUMBER($F310),VLOOKUP($J310,'Table 1'!$B$13:$C$37,2,FALSE)/12*1000*Study_MW,"")</f>
        <v>912376.32260987896</v>
      </c>
      <c r="E310" s="353">
        <f t="shared" si="67"/>
        <v>1612401.8836939619</v>
      </c>
      <c r="F310" s="352">
        <v>23195.825556000003</v>
      </c>
      <c r="G310" s="354">
        <f t="shared" si="70"/>
        <v>69.512588797551388</v>
      </c>
      <c r="I310" s="355">
        <f t="shared" si="61"/>
        <v>335</v>
      </c>
      <c r="J310" s="349">
        <f t="shared" si="71"/>
        <v>2050</v>
      </c>
      <c r="K310" s="203">
        <f t="shared" si="72"/>
        <v>55062</v>
      </c>
      <c r="M310" s="350"/>
      <c r="N310" s="364">
        <f t="shared" si="74"/>
        <v>2.1799999784874347E-2</v>
      </c>
      <c r="O310" s="364">
        <f t="shared" si="75"/>
        <v>0</v>
      </c>
      <c r="P310" s="364">
        <f t="shared" si="76"/>
        <v>2.1799999784874347E-2</v>
      </c>
      <c r="V310" s="330" t="str">
        <f t="shared" si="65"/>
        <v>Winter</v>
      </c>
      <c r="AA310" s="350">
        <f t="shared" si="66"/>
        <v>2.18E-2</v>
      </c>
      <c r="AB310" s="351">
        <f t="shared" si="69"/>
        <v>0</v>
      </c>
    </row>
    <row r="311" spans="2:28" ht="17.45" hidden="1" customHeight="1">
      <c r="B311" s="203">
        <f t="shared" si="60"/>
        <v>55093</v>
      </c>
      <c r="C311" s="352">
        <v>-437902.75863580051</v>
      </c>
      <c r="D311" s="353">
        <f>IF(ISNUMBER($F311),VLOOKUP($J311,'Table 1'!$B$13:$C$37,2,FALSE)/12*1000*Study_MW,"")</f>
        <v>912376.32260987896</v>
      </c>
      <c r="E311" s="353">
        <f t="shared" si="67"/>
        <v>474473.56397407845</v>
      </c>
      <c r="F311" s="352">
        <v>14022.606174700002</v>
      </c>
      <c r="G311" s="354">
        <f t="shared" si="70"/>
        <v>33.836332423721458</v>
      </c>
      <c r="I311" s="355">
        <f t="shared" si="61"/>
        <v>336</v>
      </c>
      <c r="J311" s="349">
        <f t="shared" si="71"/>
        <v>2050</v>
      </c>
      <c r="K311" s="203">
        <f t="shared" si="72"/>
        <v>55093</v>
      </c>
      <c r="M311" s="350"/>
      <c r="N311" s="364">
        <f t="shared" si="74"/>
        <v>2.1799999268939718E-2</v>
      </c>
      <c r="O311" s="364">
        <f t="shared" si="75"/>
        <v>0</v>
      </c>
      <c r="P311" s="364">
        <f t="shared" si="76"/>
        <v>2.1799999268939496E-2</v>
      </c>
      <c r="V311" s="330" t="str">
        <f t="shared" si="65"/>
        <v>Winter</v>
      </c>
      <c r="AA311" s="350">
        <f t="shared" si="66"/>
        <v>2.18E-2</v>
      </c>
      <c r="AB311" s="351">
        <f t="shared" si="69"/>
        <v>0</v>
      </c>
    </row>
    <row r="312" spans="2:28" ht="17.45" hidden="1" customHeight="1">
      <c r="B312" s="204">
        <f t="shared" si="60"/>
        <v>55123</v>
      </c>
      <c r="C312" s="359">
        <v>-792747.35435532255</v>
      </c>
      <c r="D312" s="360">
        <f>IF(ISNUMBER($F312),VLOOKUP($J312,'Table 1'!$B$13:$C$37,2,FALSE)/12*1000*Study_MW,"")</f>
        <v>912376.32260987896</v>
      </c>
      <c r="E312" s="360">
        <f t="shared" si="67"/>
        <v>119628.96825455641</v>
      </c>
      <c r="F312" s="359">
        <v>14720.04135224138</v>
      </c>
      <c r="G312" s="361">
        <f t="shared" si="70"/>
        <v>8.1269451214103317</v>
      </c>
      <c r="I312" s="362">
        <f t="shared" si="61"/>
        <v>337</v>
      </c>
      <c r="J312" s="349">
        <f t="shared" si="71"/>
        <v>2050</v>
      </c>
      <c r="K312" s="204">
        <f t="shared" si="72"/>
        <v>55123</v>
      </c>
      <c r="M312" s="350"/>
      <c r="N312" s="364">
        <f t="shared" si="74"/>
        <v>2.1799997100460988E-2</v>
      </c>
      <c r="O312" s="364">
        <f t="shared" si="75"/>
        <v>0</v>
      </c>
      <c r="P312" s="364">
        <f t="shared" si="76"/>
        <v>2.1799997100460988E-2</v>
      </c>
      <c r="V312" s="330" t="str">
        <f t="shared" si="65"/>
        <v>Winter</v>
      </c>
      <c r="AA312" s="350">
        <f t="shared" si="66"/>
        <v>2.18E-2</v>
      </c>
      <c r="AB312" s="351">
        <f t="shared" si="69"/>
        <v>0</v>
      </c>
    </row>
    <row r="313" spans="2:28" ht="17.45" hidden="1" customHeight="1">
      <c r="B313" s="202"/>
      <c r="C313" s="343"/>
      <c r="D313" s="365"/>
      <c r="E313" s="365"/>
      <c r="F313" s="343"/>
      <c r="G313" s="366"/>
      <c r="I313" s="363"/>
      <c r="J313" s="349"/>
      <c r="K313" s="202"/>
      <c r="M313" s="350"/>
      <c r="AA313" s="350">
        <f t="shared" si="66"/>
        <v>2.18E-2</v>
      </c>
      <c r="AB313" s="351">
        <f t="shared" si="69"/>
        <v>0</v>
      </c>
    </row>
    <row r="314" spans="2:28" ht="17.45" hidden="1" customHeight="1">
      <c r="B314" s="203"/>
      <c r="C314" s="352"/>
      <c r="D314" s="367"/>
      <c r="E314" s="367"/>
      <c r="F314" s="352"/>
      <c r="G314" s="368"/>
      <c r="I314" s="355"/>
      <c r="J314" s="349"/>
      <c r="K314" s="203"/>
      <c r="M314" s="350"/>
      <c r="AA314" s="350">
        <f t="shared" si="66"/>
        <v>2.18E-2</v>
      </c>
      <c r="AB314" s="351">
        <f t="shared" si="69"/>
        <v>0</v>
      </c>
    </row>
    <row r="315" spans="2:28" ht="17.45" hidden="1" customHeight="1">
      <c r="B315" s="203"/>
      <c r="C315" s="352"/>
      <c r="D315" s="367"/>
      <c r="E315" s="367"/>
      <c r="F315" s="352"/>
      <c r="G315" s="368"/>
      <c r="I315" s="355"/>
      <c r="J315" s="349"/>
      <c r="K315" s="203"/>
      <c r="M315" s="350"/>
      <c r="AA315" s="350">
        <f t="shared" si="66"/>
        <v>2.18E-2</v>
      </c>
      <c r="AB315" s="351">
        <f t="shared" si="69"/>
        <v>0</v>
      </c>
    </row>
    <row r="316" spans="2:28" ht="17.45" hidden="1" customHeight="1">
      <c r="B316" s="203"/>
      <c r="C316" s="352"/>
      <c r="D316" s="367"/>
      <c r="E316" s="367"/>
      <c r="F316" s="352"/>
      <c r="G316" s="368"/>
      <c r="I316" s="355"/>
      <c r="J316" s="349"/>
      <c r="K316" s="203"/>
      <c r="M316" s="350"/>
      <c r="AA316" s="350">
        <f t="shared" si="66"/>
        <v>2.18E-2</v>
      </c>
      <c r="AB316" s="351">
        <f t="shared" si="69"/>
        <v>0</v>
      </c>
    </row>
    <row r="317" spans="2:28" ht="17.45" hidden="1" customHeight="1">
      <c r="B317" s="203"/>
      <c r="C317" s="352"/>
      <c r="D317" s="367"/>
      <c r="E317" s="367"/>
      <c r="F317" s="352"/>
      <c r="G317" s="368"/>
      <c r="I317" s="355"/>
      <c r="J317" s="349"/>
      <c r="K317" s="203"/>
      <c r="M317" s="350"/>
      <c r="AA317" s="350">
        <f t="shared" si="66"/>
        <v>2.18E-2</v>
      </c>
      <c r="AB317" s="351">
        <f t="shared" si="69"/>
        <v>0</v>
      </c>
    </row>
    <row r="318" spans="2:28" ht="17.45" hidden="1" customHeight="1">
      <c r="B318" s="203"/>
      <c r="C318" s="352"/>
      <c r="D318" s="367"/>
      <c r="E318" s="367"/>
      <c r="F318" s="352"/>
      <c r="G318" s="368"/>
      <c r="I318" s="355"/>
      <c r="J318" s="349"/>
      <c r="K318" s="203"/>
      <c r="M318" s="350"/>
      <c r="AA318" s="350">
        <f t="shared" si="66"/>
        <v>2.18E-2</v>
      </c>
      <c r="AB318" s="351">
        <f t="shared" si="69"/>
        <v>0</v>
      </c>
    </row>
    <row r="319" spans="2:28" ht="17.45" hidden="1" customHeight="1">
      <c r="B319" s="203"/>
      <c r="C319" s="352"/>
      <c r="D319" s="367"/>
      <c r="E319" s="367"/>
      <c r="F319" s="352"/>
      <c r="G319" s="368"/>
      <c r="I319" s="355"/>
      <c r="J319" s="349"/>
      <c r="K319" s="203"/>
      <c r="M319" s="350"/>
      <c r="AA319" s="350">
        <f t="shared" si="66"/>
        <v>2.18E-2</v>
      </c>
      <c r="AB319" s="351">
        <f t="shared" si="69"/>
        <v>0</v>
      </c>
    </row>
    <row r="320" spans="2:28" ht="17.45" hidden="1" customHeight="1">
      <c r="B320" s="203"/>
      <c r="C320" s="352"/>
      <c r="D320" s="367"/>
      <c r="E320" s="367"/>
      <c r="F320" s="352"/>
      <c r="G320" s="368"/>
      <c r="I320" s="355"/>
      <c r="J320" s="349"/>
      <c r="K320" s="203"/>
      <c r="M320" s="350"/>
      <c r="AA320" s="350">
        <f t="shared" si="66"/>
        <v>2.18E-2</v>
      </c>
      <c r="AB320" s="351">
        <f t="shared" si="69"/>
        <v>0</v>
      </c>
    </row>
    <row r="321" spans="2:28" ht="17.45" hidden="1" customHeight="1">
      <c r="B321" s="203"/>
      <c r="C321" s="352"/>
      <c r="D321" s="367"/>
      <c r="E321" s="367"/>
      <c r="F321" s="352"/>
      <c r="G321" s="368"/>
      <c r="I321" s="355"/>
      <c r="J321" s="349"/>
      <c r="K321" s="203"/>
      <c r="M321" s="350"/>
      <c r="AA321" s="350">
        <f t="shared" si="66"/>
        <v>2.18E-2</v>
      </c>
      <c r="AB321" s="351">
        <f t="shared" si="69"/>
        <v>0</v>
      </c>
    </row>
    <row r="322" spans="2:28" ht="17.45" hidden="1" customHeight="1">
      <c r="B322" s="203"/>
      <c r="C322" s="352"/>
      <c r="D322" s="367"/>
      <c r="E322" s="367"/>
      <c r="F322" s="352"/>
      <c r="G322" s="368"/>
      <c r="I322" s="355"/>
      <c r="J322" s="349"/>
      <c r="K322" s="203"/>
      <c r="M322" s="350"/>
      <c r="AA322" s="350">
        <f t="shared" si="66"/>
        <v>2.18E-2</v>
      </c>
      <c r="AB322" s="351">
        <f t="shared" si="69"/>
        <v>0</v>
      </c>
    </row>
    <row r="323" spans="2:28" ht="17.45" hidden="1" customHeight="1">
      <c r="B323" s="203"/>
      <c r="C323" s="352"/>
      <c r="D323" s="367"/>
      <c r="E323" s="367"/>
      <c r="F323" s="352"/>
      <c r="G323" s="368"/>
      <c r="I323" s="355"/>
      <c r="J323" s="349"/>
      <c r="K323" s="203"/>
      <c r="M323" s="350"/>
      <c r="AA323" s="350">
        <f t="shared" si="66"/>
        <v>2.18E-2</v>
      </c>
      <c r="AB323" s="351">
        <f t="shared" si="69"/>
        <v>0</v>
      </c>
    </row>
    <row r="324" spans="2:28" ht="17.45" hidden="1" customHeight="1">
      <c r="B324" s="203"/>
      <c r="C324" s="359"/>
      <c r="D324" s="369"/>
      <c r="E324" s="369"/>
      <c r="F324" s="359"/>
      <c r="G324" s="370"/>
      <c r="I324" s="355"/>
      <c r="J324" s="349"/>
      <c r="K324" s="203"/>
      <c r="M324" s="350"/>
      <c r="AA324" s="350">
        <f t="shared" si="66"/>
        <v>2.18E-2</v>
      </c>
      <c r="AB324" s="351">
        <f t="shared" si="69"/>
        <v>0</v>
      </c>
    </row>
    <row r="325" spans="2:28" ht="17.45" hidden="1" customHeight="1">
      <c r="AA325" s="350">
        <f t="shared" si="66"/>
        <v>2.18E-2</v>
      </c>
      <c r="AB325" s="351">
        <f t="shared" si="69"/>
        <v>0</v>
      </c>
    </row>
    <row r="326" spans="2:28" ht="17.45" hidden="1" customHeight="1">
      <c r="AA326" s="350">
        <f t="shared" si="66"/>
        <v>2.18E-2</v>
      </c>
      <c r="AB326" s="351">
        <f t="shared" si="69"/>
        <v>0</v>
      </c>
    </row>
    <row r="327" spans="2:28" ht="17.45" hidden="1" customHeight="1">
      <c r="AA327" s="350">
        <f t="shared" si="66"/>
        <v>2.18E-2</v>
      </c>
      <c r="AB327" s="351">
        <f t="shared" si="69"/>
        <v>0</v>
      </c>
    </row>
    <row r="328" spans="2:28" ht="17.45" hidden="1" customHeight="1">
      <c r="AA328" s="350">
        <f t="shared" si="66"/>
        <v>2.18E-2</v>
      </c>
      <c r="AB328" s="351">
        <f t="shared" si="69"/>
        <v>0</v>
      </c>
    </row>
    <row r="329" spans="2:28" ht="17.45" hidden="1" customHeight="1">
      <c r="AA329" s="350">
        <f t="shared" si="66"/>
        <v>2.18E-2</v>
      </c>
      <c r="AB329" s="351">
        <f t="shared" si="69"/>
        <v>0</v>
      </c>
    </row>
    <row r="330" spans="2:28" ht="17.45" hidden="1" customHeight="1">
      <c r="AA330" s="350">
        <f t="shared" si="66"/>
        <v>2.18E-2</v>
      </c>
      <c r="AB330" s="351">
        <f t="shared" si="69"/>
        <v>0</v>
      </c>
    </row>
    <row r="331" spans="2:28" ht="17.45" hidden="1" customHeight="1">
      <c r="AA331" s="350">
        <f t="shared" si="66"/>
        <v>2.18E-2</v>
      </c>
      <c r="AB331" s="351">
        <f t="shared" si="69"/>
        <v>0</v>
      </c>
    </row>
    <row r="332" spans="2:28" ht="17.45" hidden="1" customHeight="1">
      <c r="AA332" s="350">
        <f t="shared" si="66"/>
        <v>2.18E-2</v>
      </c>
      <c r="AB332" s="351">
        <f t="shared" si="69"/>
        <v>0</v>
      </c>
    </row>
    <row r="333" spans="2:28" ht="17.45" hidden="1" customHeight="1">
      <c r="AA333" s="350">
        <f t="shared" ref="AA333:AA367" si="77">Inflation</f>
        <v>2.18E-2</v>
      </c>
      <c r="AB333" s="351">
        <f t="shared" si="69"/>
        <v>0</v>
      </c>
    </row>
    <row r="334" spans="2:28" ht="17.45" hidden="1" customHeight="1">
      <c r="AA334" s="350">
        <f t="shared" si="77"/>
        <v>2.18E-2</v>
      </c>
    </row>
    <row r="335" spans="2:28" ht="17.45" hidden="1" customHeight="1">
      <c r="AA335" s="350">
        <f t="shared" si="77"/>
        <v>2.18E-2</v>
      </c>
    </row>
    <row r="336" spans="2:28" ht="17.45" hidden="1" customHeight="1">
      <c r="AA336" s="350">
        <f t="shared" si="77"/>
        <v>2.18E-2</v>
      </c>
    </row>
    <row r="337" spans="27:27" ht="17.45" hidden="1" customHeight="1">
      <c r="AA337" s="350">
        <f t="shared" si="77"/>
        <v>2.18E-2</v>
      </c>
    </row>
    <row r="338" spans="27:27" ht="17.45" hidden="1" customHeight="1">
      <c r="AA338" s="350">
        <f t="shared" si="77"/>
        <v>2.18E-2</v>
      </c>
    </row>
    <row r="339" spans="27:27" ht="17.45" hidden="1" customHeight="1">
      <c r="AA339" s="350">
        <f t="shared" si="77"/>
        <v>2.18E-2</v>
      </c>
    </row>
    <row r="340" spans="27:27" ht="17.45" hidden="1" customHeight="1">
      <c r="AA340" s="350">
        <f t="shared" si="77"/>
        <v>2.18E-2</v>
      </c>
    </row>
    <row r="341" spans="27:27" ht="17.45" hidden="1" customHeight="1">
      <c r="AA341" s="350">
        <f t="shared" si="77"/>
        <v>2.18E-2</v>
      </c>
    </row>
    <row r="342" spans="27:27" ht="17.45" hidden="1" customHeight="1">
      <c r="AA342" s="350">
        <f t="shared" si="77"/>
        <v>2.18E-2</v>
      </c>
    </row>
    <row r="343" spans="27:27" ht="17.45" hidden="1" customHeight="1">
      <c r="AA343" s="350">
        <f t="shared" si="77"/>
        <v>2.18E-2</v>
      </c>
    </row>
    <row r="344" spans="27:27" ht="17.45" hidden="1" customHeight="1">
      <c r="AA344" s="350">
        <f t="shared" si="77"/>
        <v>2.18E-2</v>
      </c>
    </row>
    <row r="345" spans="27:27" ht="17.45" hidden="1" customHeight="1">
      <c r="AA345" s="350">
        <f t="shared" si="77"/>
        <v>2.18E-2</v>
      </c>
    </row>
    <row r="346" spans="27:27" ht="17.45" hidden="1" customHeight="1">
      <c r="AA346" s="350">
        <f t="shared" si="77"/>
        <v>2.18E-2</v>
      </c>
    </row>
    <row r="347" spans="27:27" ht="17.45" hidden="1" customHeight="1">
      <c r="AA347" s="350">
        <f t="shared" si="77"/>
        <v>2.18E-2</v>
      </c>
    </row>
    <row r="348" spans="27:27" ht="17.45" hidden="1" customHeight="1">
      <c r="AA348" s="350">
        <f t="shared" si="77"/>
        <v>2.18E-2</v>
      </c>
    </row>
    <row r="349" spans="27:27" ht="17.45" hidden="1" customHeight="1">
      <c r="AA349" s="350">
        <f t="shared" si="77"/>
        <v>2.18E-2</v>
      </c>
    </row>
    <row r="350" spans="27:27" ht="17.45" hidden="1" customHeight="1">
      <c r="AA350" s="350">
        <f t="shared" si="77"/>
        <v>2.18E-2</v>
      </c>
    </row>
    <row r="351" spans="27:27" ht="17.45" hidden="1" customHeight="1">
      <c r="AA351" s="350">
        <f t="shared" si="77"/>
        <v>2.18E-2</v>
      </c>
    </row>
    <row r="352" spans="27:27" ht="17.45" hidden="1" customHeight="1">
      <c r="AA352" s="350">
        <f t="shared" si="77"/>
        <v>2.18E-2</v>
      </c>
    </row>
    <row r="353" spans="27:27" ht="17.45" hidden="1" customHeight="1">
      <c r="AA353" s="350">
        <f t="shared" si="77"/>
        <v>2.18E-2</v>
      </c>
    </row>
    <row r="354" spans="27:27" ht="17.45" hidden="1" customHeight="1">
      <c r="AA354" s="350">
        <f t="shared" si="77"/>
        <v>2.18E-2</v>
      </c>
    </row>
    <row r="355" spans="27:27" ht="17.45" hidden="1" customHeight="1">
      <c r="AA355" s="350">
        <f t="shared" si="77"/>
        <v>2.18E-2</v>
      </c>
    </row>
    <row r="356" spans="27:27" ht="17.45" hidden="1" customHeight="1">
      <c r="AA356" s="350">
        <f t="shared" si="77"/>
        <v>2.18E-2</v>
      </c>
    </row>
    <row r="357" spans="27:27" ht="17.45" hidden="1" customHeight="1">
      <c r="AA357" s="350">
        <f t="shared" si="77"/>
        <v>2.18E-2</v>
      </c>
    </row>
    <row r="358" spans="27:27" ht="17.45" hidden="1" customHeight="1">
      <c r="AA358" s="350">
        <f t="shared" si="77"/>
        <v>2.18E-2</v>
      </c>
    </row>
    <row r="359" spans="27:27" ht="17.45" hidden="1" customHeight="1">
      <c r="AA359" s="350">
        <f t="shared" si="77"/>
        <v>2.18E-2</v>
      </c>
    </row>
    <row r="360" spans="27:27" ht="17.45" hidden="1" customHeight="1">
      <c r="AA360" s="350">
        <f t="shared" si="77"/>
        <v>2.18E-2</v>
      </c>
    </row>
    <row r="361" spans="27:27" ht="17.45" hidden="1" customHeight="1">
      <c r="AA361" s="350">
        <f t="shared" si="77"/>
        <v>2.18E-2</v>
      </c>
    </row>
    <row r="362" spans="27:27" ht="17.45" hidden="1" customHeight="1">
      <c r="AA362" s="350">
        <f t="shared" si="77"/>
        <v>2.18E-2</v>
      </c>
    </row>
    <row r="363" spans="27:27" ht="17.45" hidden="1" customHeight="1">
      <c r="AA363" s="350">
        <f t="shared" si="77"/>
        <v>2.18E-2</v>
      </c>
    </row>
    <row r="364" spans="27:27" ht="17.45" hidden="1" customHeight="1">
      <c r="AA364" s="350">
        <f t="shared" si="77"/>
        <v>2.18E-2</v>
      </c>
    </row>
    <row r="365" spans="27:27" ht="17.45" hidden="1" customHeight="1">
      <c r="AA365" s="350">
        <f t="shared" si="77"/>
        <v>2.18E-2</v>
      </c>
    </row>
    <row r="366" spans="27:27" ht="17.45" hidden="1" customHeight="1">
      <c r="AA366" s="350">
        <f t="shared" si="77"/>
        <v>2.18E-2</v>
      </c>
    </row>
    <row r="367" spans="27:27" ht="17.45" hidden="1" customHeight="1">
      <c r="AA367" s="350">
        <f t="shared" si="77"/>
        <v>2.18E-2</v>
      </c>
    </row>
    <row r="368" spans="27:27" ht="17.45" hidden="1" customHeight="1"/>
    <row r="369" ht="17.45" hidden="1" customHeight="1"/>
    <row r="370" ht="17.45" hidden="1" customHeight="1"/>
    <row r="371" ht="17.45" hidden="1" customHeight="1"/>
    <row r="372" ht="17.45" hidden="1" customHeight="1"/>
    <row r="373" ht="17.45" hidden="1" customHeight="1"/>
    <row r="374" ht="17.45" hidden="1" customHeight="1"/>
    <row r="375" ht="17.45" hidden="1" customHeight="1"/>
    <row r="376" ht="17.45" hidden="1" customHeight="1"/>
    <row r="377" ht="17.45" hidden="1" customHeight="1"/>
    <row r="378" ht="17.45" hidden="1" customHeight="1"/>
    <row r="379" ht="17.45" hidden="1" customHeight="1"/>
    <row r="380" ht="17.45" hidden="1" customHeight="1"/>
    <row r="381" ht="17.45" hidden="1" customHeight="1"/>
    <row r="382" ht="17.45" hidden="1" customHeight="1"/>
    <row r="383" ht="17.45" hidden="1" customHeight="1"/>
  </sheetData>
  <printOptions horizontalCentered="1"/>
  <pageMargins left="0.25" right="0.25" top="0.75" bottom="0.75" header="0.3" footer="0.3"/>
  <pageSetup scale="4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topLeftCell="A25"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'Table 3 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'Table 3 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IFERROR(INDEX('Table 3 WD_.PX.BDG._.PTC.2029'!$L$9:$L$45,MATCH($A6,'Table 3 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IFERROR(INDEX('PV_.PX.NTN._.PTC.2031'!$L$9:$L$47,MATCH($A6,'PV_.PX.NTN._.PTC.2031'!$B$9:$B$47,0),1),0)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IFERROR(INDEX('Table 3 WD_.PX.BDG._.PTC.2029'!$L$9:$L$45,MATCH($A7,'Table 3 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IFERROR(INDEX('PV_.PX.NTN._.PTC.2031'!$L$9:$L$47,MATCH($A7,'PV_.PX.NTN._.PTC.2031'!$B$9:$B$47,0),1),0)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IFERROR(INDEX('Table 3 WD_.PX.BDG._.PTC.2029'!$L$9:$L$45,MATCH($A8,'Table 3 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IFERROR(INDEX('PV_.PX.NTN._.PTC.2031'!$L$9:$L$47,MATCH($A8,'PV_.PX.NTN._.PTC.2031'!$B$9:$B$47,0),1),0)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IFERROR(INDEX('Table 3 WD_.PX.BDG._.PTC.2029'!$L$9:$L$45,MATCH($A9,'Table 3 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IFERROR(INDEX('PV_.PX.NTN._.PTC.2031'!$L$9:$L$47,MATCH($A9,'PV_.PX.NTN._.PTC.2031'!$B$9:$B$47,0),1),0)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IFERROR(INDEX('Table 3 WD_.PX.BDG._.PTC.2029'!$L$9:$L$45,MATCH($A10,'Table 3 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IFERROR(INDEX('PV_.PX.NTN._.PTC.2031'!$L$9:$L$47,MATCH($A10,'PV_.PX.NTN._.PTC.2031'!$B$9:$B$47,0),1),0)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IFERROR(INDEX('Table 3 WD_.PX.BDG._.PTC.2029'!$L$9:$L$45,MATCH($A11,'Table 3 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IFERROR(INDEX('PV_.PX.NTN._.PTC.2031'!$L$9:$L$47,MATCH($A11,'PV_.PX.NTN._.PTC.2031'!$B$9:$B$47,0),1),0)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IFERROR(INDEX('Table 3 WD_.PX.BDG._.PTC.2029'!$L$9:$L$45,MATCH($A12,'Table 3 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IFERROR(INDEX('PV_.PX.NTN._.PTC.2031'!$L$9:$L$47,MATCH($A12,'PV_.PX.NTN._.PTC.2031'!$B$9:$B$47,0),1),0)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IFERROR(INDEX('Table 3 WD_.PX.BDG._.PTC.2029'!$L$9:$L$45,MATCH($A13,'Table 3 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IFERROR(INDEX('PV_.PX.NTN._.PTC.2031'!$L$9:$L$47,MATCH($A13,'PV_.PX.NTN._.PTC.2031'!$B$9:$B$47,0),1),0)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IFERROR(INDEX('Table 3 WD_.PX.BDG._.PTC.2029'!$L$9:$L$45,MATCH($A14,'Table 3 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IFERROR(INDEX('PV_.PX.NTN._.PTC.2031'!$L$9:$L$47,MATCH($A14,'PV_.PX.NTN._.PTC.2031'!$B$9:$B$47,0),1),0)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IFERROR(INDEX('Table 3 WD_.PX.BDG._.PTC.2029'!$L$9:$L$45,MATCH($A15,'Table 3 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IFERROR(INDEX('PV_.PX.NTN._.PTC.2031'!$L$9:$L$47,MATCH($A15,'PV_.PX.NTN._.PTC.2031'!$B$9:$B$47,0),1),0)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IFERROR(INDEX('Table 3 WD_.PX.BDG._.PTC.2029'!$L$9:$L$45,MATCH($A16,'Table 3 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IFERROR(INDEX('PV_.PX.NTN._.PTC.2031'!$L$9:$L$47,MATCH($A16,'PV_.PX.NTN._.PTC.2031'!$B$9:$B$47,0),1),0)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IFERROR(INDEX('Table 3 WD_.PX.BDG._.PTC.2029'!$L$9:$L$45,MATCH($A17,'Table 3 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IFERROR(INDEX('PV_.PX.NTN._.PTC.2031'!$L$9:$L$47,MATCH($A17,'PV_.PX.NTN._.PTC.2031'!$B$9:$B$47,0),1),0)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IFERROR(INDEX('Table 3 WD_.PX.BDG._.PTC.2029'!$L$9:$L$45,MATCH($A18,'Table 3 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IFERROR(INDEX('PV_.PX.NTN._.PTC.2031'!$L$9:$L$47,MATCH($A18,'PV_.PX.NTN._.PTC.2031'!$B$9:$B$47,0),1),0)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IFERROR(INDEX('Table 3 WD_.PX.BDG._.PTC.2029'!$L$9:$L$45,MATCH($A19,'Table 3 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IFERROR(INDEX('PV_.PX.NTN._.PTC.2031'!$L$9:$L$47,MATCH($A19,'PV_.PX.NTN._.PTC.2031'!$B$9:$B$47,0),1),0)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IFERROR(INDEX('Table 3 WD_.PX.BDG._.PTC.2029'!$L$9:$L$45,MATCH($A20,'Table 3 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IFERROR(INDEX('PV_.PX.NTN._.PTC.2031'!$L$9:$L$47,MATCH($A20,'PV_.PX.NTN._.PTC.2031'!$B$9:$B$47,0),1),0)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IFERROR(INDEX('Table 3 WD_.PX.BDG._.PTC.2029'!$L$9:$L$45,MATCH($A21,'Table 3 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IFERROR(INDEX('PV_.PX.NTN._.PTC.2031'!$L$9:$L$47,MATCH($A21,'PV_.PX.NTN._.PTC.2031'!$B$9:$B$47,0),1),0)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IFERROR(INDEX('Table 3 WD_.PX.BDG._.PTC.2029'!$L$9:$L$45,MATCH($A22,'Table 3 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IFERROR(INDEX('PV_.PX.NTN._.PTC.2031'!$L$9:$L$47,MATCH($A22,'PV_.PX.NTN._.PTC.2031'!$B$9:$B$47,0),1),0)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IFERROR(INDEX('Table 3 WD_.PX.BDG._.PTC.2029'!$L$9:$L$45,MATCH($A23,'Table 3 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IFERROR(INDEX('PV_.PX.NTN._.PTC.2031'!$L$9:$L$47,MATCH($A23,'PV_.PX.NTN._.PTC.2031'!$B$9:$B$47,0),1),0)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IFERROR(INDEX('Table 3 WD_.PX.BDG._.PTC.2029'!$L$9:$L$45,MATCH($A24,'Table 3 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IFERROR(INDEX('PV_.PX.NTN._.PTC.2031'!$L$9:$L$47,MATCH($A24,'PV_.PX.NTN._.PTC.2031'!$B$9:$B$47,0),1),0)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IFERROR(INDEX('Table 3 WD_.PX.BDG._.PTC.2029'!$L$9:$L$45,MATCH($A25,'Table 3 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IFERROR(INDEX('PV_.PX.NTN._.PTC.2031'!$L$9:$L$47,MATCH($A25,'PV_.PX.NTN._.PTC.2031'!$B$9:$B$47,0),1),0)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IFERROR(INDEX('Table 3 WD_.PX.BDG._.PTC.2029'!$L$9:$L$45,MATCH($A26,'Table 3 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IFERROR(INDEX('PV_.PX.NTN._.PTC.2031'!$L$9:$L$47,MATCH($A26,'PV_.PX.NTN._.PTC.2031'!$B$9:$B$47,0),1),0)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IFERROR(INDEX('Table 3 WD_.PX.BDG._.PTC.2029'!$L$9:$L$45,MATCH($A27,'Table 3 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IFERROR(INDEX('PV_.PX.NTN._.PTC.2031'!$L$9:$L$47,MATCH($A27,'PV_.PX.NTN._.PTC.2031'!$B$9:$B$47,0),1),0)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IFERROR(INDEX('Table 3 WD_.PX.BDG._.PTC.2029'!$L$9:$L$45,MATCH($A28,'Table 3 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IFERROR(INDEX('PV_.PX.NTN._.PTC.2031'!$L$9:$L$47,MATCH($A28,'PV_.PX.NTN._.PTC.2031'!$B$9:$B$47,0),1),0)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IFERROR(INDEX('Table 3 WD_.PX.BDG._.PTC.2029'!$L$9:$L$45,MATCH($A29,'Table 3 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IFERROR(INDEX('PV_.PX.NTN._.PTC.2031'!$L$9:$L$47,MATCH($A29,'PV_.PX.NTN._.PTC.2031'!$B$9:$B$47,0),1),0)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IFERROR(INDEX('Table 3 WD_.PX.BDG._.PTC.2029'!$L$9:$L$45,MATCH($A30,'Table 3 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IFERROR(INDEX('PV_.PX.NTN._.PTC.2031'!$L$9:$L$47,MATCH($A30,'PV_.PX.NTN._.PTC.2031'!$B$9:$B$47,0),1),0)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IFERROR(INDEX('Table 3 WD_.PX.BDG._.PTC.2029'!$L$9:$L$45,MATCH($A31,'Table 3 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IFERROR(INDEX('PV_.PX.NTN._.PTC.2031'!$L$9:$L$47,MATCH($A31,'PV_.PX.NTN._.PTC.2031'!$B$9:$B$47,0),1),0)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IFERROR(INDEX('Table 3 WD_.PX.BDG._.PTC.2029'!$L$9:$L$45,MATCH($A32,'Table 3 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IFERROR(INDEX('PV_.PX.NTN._.PTC.2031'!$L$9:$L$47,MATCH($A32,'PV_.PX.NTN._.PTC.2031'!$B$9:$B$47,0),1),0)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IFERROR(INDEX('Table 3 WD_.PX.BDG._.PTC.2029'!$L$9:$L$45,MATCH($A33,'Table 3 WD_.PX.BDG._.PTC.2029'!$B$9:$B$45,0),1),0)</f>
        <v>0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IFERROR(INDEX('PV_.PX.NTN._.PTC.2031'!$L$9:$L$47,MATCH($A33,'PV_.PX.NTN._.PTC.2031'!$B$9:$B$47,0),1),0)</f>
        <v>155.12108527403822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IFERROR(INDEX('Table 3 WD_.PX.BDG._.PTC.2029'!$L$9:$L$45,MATCH($A34,'Table 3 WD_.PX.BDG._.PTC.2029'!$B$9:$B$45,0),1),0)</f>
        <v>0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IFERROR(INDEX('PV_.PX.NTN._.PTC.2031'!$L$9:$L$47,MATCH($A34,'PV_.PX.NTN._.PTC.2031'!$B$9:$B$47,0),1),0)</f>
        <v>158.50272487403802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IFERROR(INDEX('Table 3 WD_.PX.BDG._.PTC.2029'!$L$9:$L$45,MATCH($A35,'Table 3 WD_.PX.BDG._.PTC.2029'!$B$9:$B$45,0),1),0)</f>
        <v>0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IFERROR(INDEX('PV_.PX.NTN._.PTC.2031'!$L$9:$L$47,MATCH($A35,'PV_.PX.NTN._.PTC.2031'!$B$9:$B$47,0),1),0)</f>
        <v>161.9580842160322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IFERROR(INDEX('Table 3 WD_.PX.BDG._.PTC.2029'!$L$9:$L$45,MATCH($A36,'Table 3 WD_.PX.BDG._.PTC.2029'!$B$9:$B$45,0),1),0)</f>
        <v>0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IFERROR(INDEX('PV_.PX.NTN._.PTC.2031'!$L$9:$L$47,MATCH($A36,'PV_.PX.NTN._.PTC.2031'!$B$9:$B$47,0),1),0)</f>
        <v>165.48877039036819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IFERROR(INDEX('Table 3 WD_.PX.BDG._.PTC.2029'!$L$9:$L$45,MATCH($A37,'Table 3 WD_.PX.BDG._.PTC.2029'!$B$9:$B$45,0),1),0)</f>
        <v>0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IFERROR(INDEX('PV_.PX.NTN._.PTC.2031'!$L$9:$L$47,MATCH($A37,'PV_.PX.NTN._.PTC.2031'!$B$9:$B$47,0),1),0)</f>
        <v>169.0964255219624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'Table 3 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7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7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7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7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7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6">
        <f t="shared" si="7"/>
        <v>2031</v>
      </c>
      <c r="C51" s="318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7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7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7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7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373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20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4" t="s">
        <v>308</v>
      </c>
      <c r="K460" s="214">
        <v>5.2789999999999997E-2</v>
      </c>
    </row>
    <row r="461" spans="1:16">
      <c r="J461" s="324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342</v>
      </c>
      <c r="C463" t="s">
        <v>343</v>
      </c>
      <c r="D463" t="s">
        <v>344</v>
      </c>
      <c r="E463" s="91" t="s">
        <v>345</v>
      </c>
      <c r="F463" t="s">
        <v>346</v>
      </c>
      <c r="G463" s="240" t="s">
        <v>347</v>
      </c>
      <c r="H463" s="240" t="s">
        <v>348</v>
      </c>
      <c r="I463" s="178" t="s">
        <v>310</v>
      </c>
      <c r="J463" s="178"/>
    </row>
    <row r="464" spans="1:16">
      <c r="A464">
        <v>2026</v>
      </c>
      <c r="B464" t="s">
        <v>349</v>
      </c>
      <c r="C464">
        <v>250</v>
      </c>
      <c r="D464">
        <v>250</v>
      </c>
      <c r="E464">
        <v>29.5</v>
      </c>
      <c r="F464">
        <v>1</v>
      </c>
      <c r="G464" t="s">
        <v>350</v>
      </c>
      <c r="H464" t="s">
        <v>351</v>
      </c>
      <c r="I464" s="325">
        <f>IF(D464&lt;&gt;0,E464*1000*$K$460*(1-$K$461)/D464,0)</f>
        <v>4.921083799999999</v>
      </c>
      <c r="J464" s="325"/>
    </row>
    <row r="465" spans="1:10">
      <c r="A465">
        <v>2028</v>
      </c>
      <c r="B465" t="s">
        <v>352</v>
      </c>
      <c r="C465">
        <v>0</v>
      </c>
      <c r="D465">
        <v>199</v>
      </c>
      <c r="E465">
        <v>13.62</v>
      </c>
      <c r="F465">
        <v>1</v>
      </c>
      <c r="G465" t="s">
        <v>353</v>
      </c>
      <c r="H465" t="s">
        <v>353</v>
      </c>
      <c r="I465" s="325">
        <f t="shared" ref="I465:I478" si="11">IF(D465&lt;&gt;0,E465*1000*$K$460*(1-$K$461)/D465,0)</f>
        <v>2.8543208140703515</v>
      </c>
      <c r="J465" s="325"/>
    </row>
    <row r="466" spans="1:10">
      <c r="A466">
        <v>2028</v>
      </c>
      <c r="B466" t="s">
        <v>354</v>
      </c>
      <c r="C466">
        <v>400</v>
      </c>
      <c r="D466">
        <v>400</v>
      </c>
      <c r="E466">
        <v>110.63</v>
      </c>
      <c r="F466">
        <v>1</v>
      </c>
      <c r="G466" t="s">
        <v>355</v>
      </c>
      <c r="H466" t="s">
        <v>356</v>
      </c>
      <c r="I466" s="325">
        <f t="shared" si="11"/>
        <v>11.534311457500001</v>
      </c>
      <c r="J466" s="325"/>
    </row>
    <row r="467" spans="1:10">
      <c r="A467">
        <v>2028</v>
      </c>
      <c r="B467" t="s">
        <v>357</v>
      </c>
      <c r="C467">
        <v>0</v>
      </c>
      <c r="D467">
        <v>393</v>
      </c>
      <c r="E467">
        <v>327.88</v>
      </c>
      <c r="F467">
        <v>1</v>
      </c>
      <c r="G467" t="s">
        <v>353</v>
      </c>
      <c r="H467" t="s">
        <v>353</v>
      </c>
      <c r="I467" s="325">
        <f t="shared" si="11"/>
        <v>34.793741241730281</v>
      </c>
      <c r="J467" s="325"/>
    </row>
    <row r="468" spans="1:10">
      <c r="A468">
        <v>2028</v>
      </c>
      <c r="B468" t="s">
        <v>358</v>
      </c>
      <c r="C468">
        <v>0</v>
      </c>
      <c r="D468">
        <v>152</v>
      </c>
      <c r="E468">
        <v>3.56</v>
      </c>
      <c r="F468">
        <v>1</v>
      </c>
      <c r="G468" t="s">
        <v>353</v>
      </c>
      <c r="H468" t="s">
        <v>353</v>
      </c>
      <c r="I468" s="325">
        <f t="shared" si="11"/>
        <v>0.97675392105263159</v>
      </c>
      <c r="J468" s="325"/>
    </row>
    <row r="469" spans="1:10">
      <c r="A469">
        <v>2028</v>
      </c>
      <c r="B469" t="s">
        <v>359</v>
      </c>
      <c r="C469">
        <v>0</v>
      </c>
      <c r="D469">
        <v>628</v>
      </c>
      <c r="E469">
        <v>63.84</v>
      </c>
      <c r="F469">
        <v>1</v>
      </c>
      <c r="G469" t="s">
        <v>353</v>
      </c>
      <c r="H469" t="s">
        <v>353</v>
      </c>
      <c r="I469" s="325">
        <f t="shared" si="11"/>
        <v>4.2394741146496813</v>
      </c>
      <c r="J469" s="325"/>
    </row>
    <row r="470" spans="1:10">
      <c r="A470">
        <v>2028</v>
      </c>
      <c r="B470" t="s">
        <v>360</v>
      </c>
      <c r="C470">
        <v>200</v>
      </c>
      <c r="D470">
        <v>200</v>
      </c>
      <c r="E470">
        <v>12.08</v>
      </c>
      <c r="F470">
        <v>1</v>
      </c>
      <c r="G470" t="s">
        <v>350</v>
      </c>
      <c r="H470" t="s">
        <v>351</v>
      </c>
      <c r="I470" s="325">
        <f t="shared" si="11"/>
        <v>2.5189276399999998</v>
      </c>
      <c r="J470" s="325"/>
    </row>
    <row r="471" spans="1:10">
      <c r="A471">
        <v>2029</v>
      </c>
      <c r="B471" t="s">
        <v>361</v>
      </c>
      <c r="C471">
        <v>0</v>
      </c>
      <c r="D471">
        <v>393</v>
      </c>
      <c r="E471">
        <v>2.21</v>
      </c>
      <c r="F471">
        <v>1</v>
      </c>
      <c r="G471" t="s">
        <v>353</v>
      </c>
      <c r="H471" t="s">
        <v>353</v>
      </c>
      <c r="I471" s="325">
        <f t="shared" si="11"/>
        <v>0.23451923918575063</v>
      </c>
      <c r="J471" s="325"/>
    </row>
    <row r="472" spans="1:10">
      <c r="A472">
        <v>2030</v>
      </c>
      <c r="B472" t="s">
        <v>362</v>
      </c>
      <c r="C472">
        <v>1500</v>
      </c>
      <c r="D472">
        <v>670</v>
      </c>
      <c r="E472">
        <v>1283.43</v>
      </c>
      <c r="F472">
        <v>1</v>
      </c>
      <c r="G472" t="s">
        <v>355</v>
      </c>
      <c r="H472" t="s">
        <v>363</v>
      </c>
      <c r="I472" s="325">
        <f t="shared" si="11"/>
        <v>79.887004571641782</v>
      </c>
      <c r="J472" s="325"/>
    </row>
    <row r="473" spans="1:10">
      <c r="A473">
        <v>2030</v>
      </c>
      <c r="B473" t="s">
        <v>364</v>
      </c>
      <c r="C473">
        <v>400</v>
      </c>
      <c r="D473">
        <v>400</v>
      </c>
      <c r="E473">
        <v>141.83000000000001</v>
      </c>
      <c r="F473">
        <v>1</v>
      </c>
      <c r="G473" t="s">
        <v>365</v>
      </c>
      <c r="H473" t="s">
        <v>366</v>
      </c>
      <c r="I473" s="325">
        <f t="shared" si="11"/>
        <v>14.7872312575</v>
      </c>
      <c r="J473" s="325"/>
    </row>
    <row r="474" spans="1:10">
      <c r="A474">
        <v>2031</v>
      </c>
      <c r="B474" t="s">
        <v>367</v>
      </c>
      <c r="C474">
        <v>0</v>
      </c>
      <c r="D474">
        <v>231</v>
      </c>
      <c r="E474">
        <v>42.11</v>
      </c>
      <c r="F474">
        <v>1</v>
      </c>
      <c r="G474" t="s">
        <v>353</v>
      </c>
      <c r="H474" t="s">
        <v>353</v>
      </c>
      <c r="I474" s="325">
        <f t="shared" si="11"/>
        <v>7.602422731601731</v>
      </c>
      <c r="J474" s="325"/>
    </row>
    <row r="475" spans="1:10">
      <c r="A475">
        <v>2032</v>
      </c>
      <c r="B475" t="s">
        <v>368</v>
      </c>
      <c r="C475">
        <v>0</v>
      </c>
      <c r="D475">
        <v>300</v>
      </c>
      <c r="E475">
        <v>303.12</v>
      </c>
      <c r="F475">
        <v>1</v>
      </c>
      <c r="G475" t="s">
        <v>353</v>
      </c>
      <c r="H475" t="s">
        <v>353</v>
      </c>
      <c r="I475" s="325">
        <f t="shared" si="11"/>
        <v>42.137822640000003</v>
      </c>
      <c r="J475" s="325"/>
    </row>
    <row r="476" spans="1:10">
      <c r="A476">
        <v>2033</v>
      </c>
      <c r="B476" t="s">
        <v>369</v>
      </c>
      <c r="C476">
        <v>0</v>
      </c>
      <c r="D476">
        <v>518</v>
      </c>
      <c r="E476">
        <v>372.32</v>
      </c>
      <c r="F476">
        <v>1</v>
      </c>
      <c r="G476" t="s">
        <v>353</v>
      </c>
      <c r="H476" t="s">
        <v>353</v>
      </c>
      <c r="I476" s="325">
        <f t="shared" si="11"/>
        <v>29.975425698841697</v>
      </c>
      <c r="J476" s="325"/>
    </row>
    <row r="477" spans="1:10">
      <c r="A477">
        <v>2039</v>
      </c>
      <c r="B477" t="s">
        <v>370</v>
      </c>
      <c r="C477">
        <v>1500</v>
      </c>
      <c r="D477">
        <v>670</v>
      </c>
      <c r="E477">
        <v>1463.04</v>
      </c>
      <c r="F477">
        <v>1</v>
      </c>
      <c r="G477" t="s">
        <v>365</v>
      </c>
      <c r="H477" t="s">
        <v>363</v>
      </c>
      <c r="I477" s="325">
        <f t="shared" si="11"/>
        <v>91.06681561791045</v>
      </c>
      <c r="J477" s="325"/>
    </row>
    <row r="478" spans="1:10">
      <c r="A478" t="s">
        <v>371</v>
      </c>
      <c r="C478">
        <v>4250</v>
      </c>
      <c r="D478">
        <v>5404</v>
      </c>
      <c r="E478">
        <v>4169.17</v>
      </c>
      <c r="F478">
        <v>14</v>
      </c>
      <c r="G478" t="s">
        <v>372</v>
      </c>
      <c r="H478" t="s">
        <v>372</v>
      </c>
      <c r="I478" s="325">
        <f t="shared" si="11"/>
        <v>32.174589673760174</v>
      </c>
      <c r="J478" s="325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view="pageBreakPreview" zoomScale="60" zoomScaleNormal="100" workbookViewId="0">
      <selection activeCell="B1" sqref="B1:K1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35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Assumptions'!$E$371:$E$394,'Table 3 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Assumptions'!$E$371:$E$394,'Table 3 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Assumptions'!$E$371:$E$394,'Table 3 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Assumptions'!$E$371:$E$394,'Table 3 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Assumptions'!$E$371:$E$394,'Table 3 WD_.PX.BDG._.PTC.2029'!$B14-2023,1)</f>
        <v>35.253578386050002</v>
      </c>
      <c r="F14" s="237"/>
      <c r="G14" s="70">
        <f t="shared" ref="G14:G35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35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Assumptions'!$E$371:$E$394,'Table 3 WD_.PX.BDG._.PTC.2029'!$B15-2023,1)/INDEX('2025 IRP Assumptions'!$E$371:$E$394,'Table 3 WD_.PX.BDG._.PTC.2029'!$B15-2023-1,1)</f>
        <v>89.975181371987603</v>
      </c>
      <c r="E15" s="69" cm="1">
        <f t="array" ref="E15">$E$9*INDEX('2025 IRP Assumptions'!$E$371:$E$394,'Table 3 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Assumptions'!$E$371:$E$394,'Table 3 WD_.PX.BDG._.PTC.2029'!$B16-2023,1)/INDEX('2025 IRP Assumptions'!$E$371:$E$394,'Table 3 WD_.PX.BDG._.PTC.2029'!$B16-2023-1,1)</f>
        <v>91.93664032276638</v>
      </c>
      <c r="E16" s="69" cm="1">
        <f t="array" ref="E16">$E$9*INDEX('2025 IRP Assumptions'!$E$371:$E$394,'Table 3 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WD_.PX.BDG._.PTC.2029'!$B17-2023,1)/INDEX('2025 IRP Assumptions'!$E$371:$E$394,'Table 3 WD_.PX.BDG._.PTC.2029'!$B17-2023-1,1)</f>
        <v>93.940859056299658</v>
      </c>
      <c r="E17" s="69" cm="1">
        <f t="array" ref="E17">$E$9*INDEX('2025 IRP Assumptions'!$E$371:$E$394,'Table 3 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WD_.PX.BDG._.PTC.2029'!$B18-2023,1)/INDEX('2025 IRP Assumptions'!$E$371:$E$394,'Table 3 WD_.PX.BDG._.PTC.2029'!$B18-2023-1,1)</f>
        <v>95.988769784849552</v>
      </c>
      <c r="E18" s="69" cm="1">
        <f t="array" ref="E18">$E$9*INDEX('2025 IRP Assumptions'!$E$371:$E$394,'Table 3 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WD_.PX.BDG._.PTC.2029'!$B19-2023,1)/INDEX('2025 IRP Assumptions'!$E$371:$E$394,'Table 3 WD_.PX.BDG._.PTC.2029'!$B19-2023-1,1)</f>
        <v>98.081325037719537</v>
      </c>
      <c r="E19" s="69" cm="1">
        <f t="array" ref="E19">$E$9*INDEX('2025 IRP Assumptions'!$E$371:$E$394,'Table 3 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WD_.PX.BDG._.PTC.2029'!$B20-2023,1)/INDEX('2025 IRP Assumptions'!$E$371:$E$394,'Table 3 WD_.PX.BDG._.PTC.2029'!$B20-2023-1,1)</f>
        <v>100.21949789841825</v>
      </c>
      <c r="E20" s="69" cm="1">
        <f t="array" ref="E20">$E$9*INDEX('2025 IRP Assumptions'!$E$371:$E$394,'Table 3 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WD_.PX.BDG._.PTC.2029'!$B21-2023,1)/INDEX('2025 IRP Assumptions'!$E$371:$E$394,'Table 3 WD_.PX.BDG._.PTC.2029'!$B21-2023-1,1)</f>
        <v>102.40428295331526</v>
      </c>
      <c r="E21" s="69" cm="1">
        <f t="array" ref="E21">$E$9*INDEX('2025 IRP Assumptions'!$E$371:$E$394,'Table 3 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WD_.PX.BDG._.PTC.2029'!$B22-2023,1)/INDEX('2025 IRP Assumptions'!$E$371:$E$394,'Table 3 WD_.PX.BDG._.PTC.2029'!$B22-2023-1,1)</f>
        <v>104.63669629164096</v>
      </c>
      <c r="E22" s="69" cm="1">
        <f t="array" ref="E22">$E$9*INDEX('2025 IRP Assumptions'!$E$371:$E$394,'Table 3 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WD_.PX.BDG._.PTC.2029'!$B23-2023,1)/INDEX('2025 IRP Assumptions'!$E$371:$E$394,'Table 3 WD_.PX.BDG._.PTC.2029'!$B23-2023-1,1)</f>
        <v>106.91777629603298</v>
      </c>
      <c r="E23" s="69" cm="1">
        <f t="array" ref="E23">$E$9*INDEX('2025 IRP Assumptions'!$E$371:$E$394,'Table 3 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WD_.PX.BDG._.PTC.2029'!$B24-2023,1)/INDEX('2025 IRP Assumptions'!$E$371:$E$394,'Table 3 WD_.PX.BDG._.PTC.2029'!$B24-2023-1,1)</f>
        <v>109.24858380064542</v>
      </c>
      <c r="E24" s="69" cm="1">
        <f t="array" ref="E24">$E$9*INDEX('2025 IRP Assumptions'!$E$371:$E$394,'Table 3 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WD_.PX.BDG._.PTC.2029'!$B25-2023,1)/INDEX('2025 IRP Assumptions'!$E$371:$E$394,'Table 3 WD_.PX.BDG._.PTC.2029'!$B25-2023-1,1)</f>
        <v>111.63020296074988</v>
      </c>
      <c r="E25" s="69" cm="1">
        <f t="array" ref="E25">$E$9*INDEX('2025 IRP Assumptions'!$E$371:$E$394,'Table 3 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WD_.PX.BDG._.PTC.2029'!$B26-2023,1)/INDEX('2025 IRP Assumptions'!$E$371:$E$394,'Table 3 WD_.PX.BDG._.PTC.2029'!$B26-2023-1,1)</f>
        <v>114.06374133179006</v>
      </c>
      <c r="E26" s="69" cm="1">
        <f t="array" ref="E26">$E$9*INDEX('2025 IRP Assumptions'!$E$371:$E$394,'Table 3 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Assumptions'!$E$371:$E$394,'Table 3 WD_.PX.BDG._.PTC.2029'!$B27-2023,1)/INDEX('2025 IRP Assumptions'!$E$371:$E$394,'Table 3 WD_.PX.BDG._.PTC.2029'!$B27-2023-1,1)</f>
        <v>116.55033089709202</v>
      </c>
      <c r="E27" s="69" cm="1">
        <f t="array" ref="E27">$E$9*INDEX('2025 IRP Assumptions'!$E$371:$E$394,'Table 3 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Assumptions'!$E$371:$E$394,'Table 3 WD_.PX.BDG._.PTC.2029'!$B28-2023,1)/INDEX('2025 IRP Assumptions'!$E$371:$E$394,'Table 3 WD_.PX.BDG._.PTC.2029'!$B28-2023-1,1)</f>
        <v>119.0911281469189</v>
      </c>
      <c r="E28" s="69" cm="1">
        <f t="array" ref="E28">$E$9*INDEX('2025 IRP Assumptions'!$E$371:$E$394,'Table 3 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Assumptions'!$E$371:$E$394,'Table 3 WD_.PX.BDG._.PTC.2029'!$B29-2023,1)/INDEX('2025 IRP Assumptions'!$E$371:$E$394,'Table 3 WD_.PX.BDG._.PTC.2029'!$B29-2023-1,1)</f>
        <v>121.68731471090787</v>
      </c>
      <c r="E29" s="69" cm="1">
        <f t="array" ref="E29">$E$9*INDEX('2025 IRP Assumptions'!$E$371:$E$394,'Table 3 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Assumptions'!$E$371:$E$394,'Table 3 WD_.PX.BDG._.PTC.2029'!$B30-2023,1)/INDEX('2025 IRP Assumptions'!$E$371:$E$394,'Table 3 WD_.PX.BDG._.PTC.2029'!$B30-2023-1,1)</f>
        <v>124.34009822767121</v>
      </c>
      <c r="E30" s="69" cm="1">
        <f t="array" ref="E30">$E$9*INDEX('2025 IRP Assumptions'!$E$371:$E$394,'Table 3 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Assumptions'!$E$371:$E$394,'Table 3 WD_.PX.BDG._.PTC.2029'!$B31-2023,1)/INDEX('2025 IRP Assumptions'!$E$371:$E$394,'Table 3 WD_.PX.BDG._.PTC.2029'!$B31-2023-1,1)</f>
        <v>127.05071234479628</v>
      </c>
      <c r="E31" s="69" cm="1">
        <f t="array" ref="E31">$E$9*INDEX('2025 IRP Assumptions'!$E$371:$E$394,'Table 3 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Assumptions'!$E$371:$E$394,'Table 3 WD_.PX.BDG._.PTC.2029'!$B32-2023,1)/INDEX('2025 IRP Assumptions'!$E$371:$E$394,'Table 3 WD_.PX.BDG._.PTC.2029'!$B32-2023-1,1)</f>
        <v>129.82041782561046</v>
      </c>
      <c r="E32" s="69" cm="1">
        <f t="array" ref="E32">$E$9*INDEX('2025 IRP Assumptions'!$E$371:$E$394,'Table 3 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" si="10">(G35+H35+I35)</f>
        <v>52.527890525476337</v>
      </c>
      <c r="K35" s="70">
        <f t="shared" si="4"/>
        <v>183.19</v>
      </c>
      <c r="L35" s="69">
        <f t="shared" ref="L35" si="11">(D35+E35+F35)</f>
        <v>183.18893035202484</v>
      </c>
      <c r="P35" s="79"/>
      <c r="Q35" s="70"/>
    </row>
    <row r="36" spans="2:17" ht="15" hidden="1">
      <c r="B36" s="68"/>
      <c r="C36" s="71"/>
      <c r="D36" s="232"/>
      <c r="E36" s="232"/>
      <c r="F36" s="237"/>
      <c r="G36" s="70"/>
      <c r="H36" s="69"/>
      <c r="I36" s="69"/>
      <c r="J36" s="70"/>
      <c r="K36" s="70"/>
      <c r="L36" s="69"/>
      <c r="P36" s="79"/>
      <c r="Q36" s="70"/>
    </row>
    <row r="37" spans="2:17" ht="15" hidden="1">
      <c r="B37" s="68"/>
      <c r="C37" s="71"/>
      <c r="D37" s="232"/>
      <c r="E37" s="232"/>
      <c r="F37" s="237"/>
      <c r="G37" s="70"/>
      <c r="H37" s="69"/>
      <c r="I37" s="69"/>
      <c r="J37" s="70"/>
      <c r="K37" s="70"/>
      <c r="L37" s="69"/>
      <c r="P37" s="79"/>
      <c r="Q37" s="70"/>
    </row>
    <row r="38" spans="2:17" ht="15" hidden="1">
      <c r="B38" s="68"/>
      <c r="C38" s="71"/>
      <c r="D38" s="232"/>
      <c r="E38" s="232"/>
      <c r="F38" s="237"/>
      <c r="G38" s="70"/>
      <c r="H38" s="69"/>
      <c r="I38" s="69"/>
      <c r="J38" s="70"/>
      <c r="K38" s="70"/>
      <c r="L38" s="69"/>
      <c r="P38" s="79"/>
      <c r="Q38" s="70"/>
    </row>
    <row r="39" spans="2:17" ht="15" hidden="1">
      <c r="B39" s="68"/>
      <c r="C39" s="71"/>
      <c r="D39" s="232"/>
      <c r="E39" s="232"/>
      <c r="F39" s="237"/>
      <c r="G39" s="70"/>
      <c r="H39" s="69"/>
      <c r="I39" s="69"/>
      <c r="J39" s="70"/>
      <c r="K39" s="70"/>
      <c r="L39" s="69"/>
      <c r="P39" s="79"/>
      <c r="Q39" s="70"/>
    </row>
    <row r="40" spans="2:17" ht="15" hidden="1">
      <c r="B40" s="68"/>
      <c r="C40" s="71"/>
      <c r="D40" s="232"/>
      <c r="E40" s="232"/>
      <c r="F40" s="237"/>
      <c r="G40" s="70"/>
      <c r="H40" s="69"/>
      <c r="I40" s="69"/>
      <c r="J40" s="70"/>
      <c r="K40" s="70"/>
      <c r="L40" s="69"/>
      <c r="P40" s="79"/>
      <c r="Q40" s="70"/>
    </row>
    <row r="41" spans="2:17" ht="15" hidden="1">
      <c r="B41" s="68"/>
      <c r="C41" s="71"/>
      <c r="D41" s="232"/>
      <c r="E41" s="232"/>
      <c r="F41" s="237"/>
      <c r="G41" s="70"/>
      <c r="H41" s="69"/>
      <c r="I41" s="69"/>
      <c r="J41" s="70"/>
      <c r="K41" s="70"/>
      <c r="L41" s="69"/>
      <c r="P41" s="79"/>
      <c r="Q41" s="70"/>
    </row>
    <row r="42" spans="2:17" ht="15" hidden="1">
      <c r="B42" s="68"/>
      <c r="C42" s="71"/>
      <c r="D42" s="232"/>
      <c r="E42" s="232"/>
      <c r="F42" s="237"/>
      <c r="G42" s="70"/>
      <c r="H42" s="69"/>
      <c r="I42" s="69"/>
      <c r="J42" s="70"/>
      <c r="K42" s="70"/>
      <c r="L42" s="69"/>
      <c r="P42" s="79"/>
      <c r="Q42" s="70"/>
    </row>
    <row r="43" spans="2:17" ht="15" hidden="1">
      <c r="B43" s="68"/>
      <c r="C43" s="71"/>
      <c r="D43" s="232"/>
      <c r="E43" s="232"/>
      <c r="F43" s="237"/>
      <c r="G43" s="70"/>
      <c r="H43" s="69"/>
      <c r="I43" s="69"/>
      <c r="J43" s="70"/>
      <c r="K43" s="70"/>
      <c r="L43" s="69"/>
      <c r="P43" s="79"/>
      <c r="Q43" s="70"/>
    </row>
    <row r="44" spans="2:17" ht="15" hidden="1">
      <c r="B44" s="68"/>
      <c r="C44" s="71"/>
      <c r="D44" s="232"/>
      <c r="E44" s="232"/>
      <c r="F44" s="237"/>
      <c r="G44" s="70"/>
      <c r="H44" s="69"/>
      <c r="I44" s="69"/>
      <c r="J44" s="70"/>
      <c r="K44" s="70"/>
      <c r="L44" s="69"/>
      <c r="P44" s="79"/>
      <c r="Q44" s="70"/>
    </row>
    <row r="45" spans="2:17" ht="15" hidden="1">
      <c r="B45" s="68"/>
      <c r="C45" s="71"/>
      <c r="D45" s="232"/>
      <c r="E45" s="232"/>
      <c r="F45" s="237"/>
      <c r="G45" s="70"/>
      <c r="H45" s="69"/>
      <c r="I45" s="69"/>
      <c r="J45" s="70"/>
      <c r="K45" s="70"/>
      <c r="L45" s="69"/>
      <c r="P45" s="79"/>
      <c r="Q45" s="70"/>
    </row>
    <row r="46" spans="2:17" ht="15" hidden="1">
      <c r="B46" s="68"/>
      <c r="C46" s="71"/>
      <c r="D46" s="232"/>
      <c r="E46" s="232"/>
      <c r="F46" s="237"/>
      <c r="G46" s="70"/>
      <c r="H46" s="69"/>
      <c r="I46" s="69"/>
      <c r="J46" s="70"/>
      <c r="K46" s="70"/>
      <c r="L46" s="69"/>
      <c r="P46" s="79"/>
      <c r="Q46" s="70"/>
    </row>
    <row r="47" spans="2:17" ht="15" hidden="1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/>
      <c r="F48" s="69"/>
      <c r="J48" s="70">
        <f>-PMT(Discount_Rate,COUNT(J$14:J$43),NPV(Discount_Rate,J$14:J$43))</f>
        <v>10.703326436760277</v>
      </c>
      <c r="K48" s="70">
        <f>-PMT(Discount_Rate,COUNT(K$14:K$43),NPV(Discount_Rate,K$14:K$43))</f>
        <v>37.328746745412481</v>
      </c>
      <c r="L48" s="70">
        <f>-PMT(Discount_Rate,COUNT(L$14:L$43),NPV(Discount_Rate,L$14:L$43))</f>
        <v>147.84358395730922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1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1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1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1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1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1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1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1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1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1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1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1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1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1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1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1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1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75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13</vt:i4>
      </vt:variant>
    </vt:vector>
  </HeadingPairs>
  <TitlesOfParts>
    <vt:vector size="31" baseType="lpstr">
      <vt:lpstr>Appendix D.3</vt:lpstr>
      <vt:lpstr>Table 1</vt:lpstr>
      <vt:lpstr>Table 2</vt:lpstr>
      <vt:lpstr>Table 4</vt:lpstr>
      <vt:lpstr>Table 5</vt:lpstr>
      <vt:lpstr>Table3Compare</vt:lpstr>
      <vt:lpstr>2025 IRP Assumptions</vt:lpstr>
      <vt:lpstr>Table 3 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PV_.PX.NTN._.PTC.2031</vt:lpstr>
      <vt:lpstr>PV_.PX.BDG._.PTC.2031</vt:lpstr>
      <vt:lpstr>PV_.PX.HTG._.PTC.2031</vt:lpstr>
      <vt:lpstr>PV_.PX.UTS._.PTC.2031</vt:lpstr>
      <vt:lpstr>GSC.PX.BDG._.___.Frame 2030</vt:lpstr>
      <vt:lpstr>Discount_Rate</vt:lpstr>
      <vt:lpstr>Inflation</vt:lpstr>
      <vt:lpstr>'Appendix D.3'!Print_Area</vt:lpstr>
      <vt:lpstr>PV_.PX.BDG._.PTC.2031!Print_Area</vt:lpstr>
      <vt:lpstr>PV_.PX.HTG._.PTC.2031!Print_Area</vt:lpstr>
      <vt:lpstr>PV_.PX.NTN._.PTC.2031!Print_Area</vt:lpstr>
      <vt:lpstr>PV_.PX.UTS._.PTC.2031!Print_Area</vt:lpstr>
      <vt:lpstr>'Table 1'!Print_Area</vt:lpstr>
      <vt:lpstr>'Table 3 WD_.PX.BDG._.PTC.2029'!Print_Area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2025-12-30T17:07:43Z</cp:lastPrinted>
  <dcterms:created xsi:type="dcterms:W3CDTF">2001-03-19T15:45:46Z</dcterms:created>
  <dcterms:modified xsi:type="dcterms:W3CDTF">2025-12-30T20:00:56Z</dcterms:modified>
</cp:coreProperties>
</file>