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Websites\Pscweb\utilities\electric\25docs\2503530\"/>
    </mc:Choice>
  </mc:AlternateContent>
  <xr:revisionPtr revIDLastSave="0" documentId="8_{FD7E9412-14E4-4374-A858-A02D3558D2C3}" xr6:coauthVersionLast="47" xr6:coauthVersionMax="47" xr10:uidLastSave="{00000000-0000-0000-0000-000000000000}"/>
  <bookViews>
    <workbookView xWindow="3615" yWindow="660" windowWidth="22065" windowHeight="19845" xr2:uid="{11162701-9D55-420E-BB41-83989B1E3105}"/>
  </bookViews>
  <sheets>
    <sheet name="Appendix E.2" sheetId="205" r:id="rId1"/>
    <sheet name="Table 1" sheetId="25" r:id="rId2"/>
    <sheet name="Table 2" sheetId="66" r:id="rId3"/>
    <sheet name="Table 4" sheetId="28" r:id="rId4"/>
    <sheet name="Table 5" sheetId="31" r:id="rId5"/>
    <sheet name="Table3Compare" sheetId="131" state="hidden" r:id="rId6"/>
    <sheet name="2025 IRP Assumptions" sheetId="167" state="hidden" r:id="rId7"/>
    <sheet name="WD_.PX.BDG._.PTC.2029" sheetId="139" state="hidden" r:id="rId8"/>
    <sheet name="WD_.PX.BDG._.PTC.2030" sheetId="195" state="hidden" r:id="rId9"/>
    <sheet name="WD_.PX.BDG._.PTC.2031" sheetId="196" state="hidden" r:id="rId10"/>
    <sheet name="WD_.PX.DJW._.PTC.2029" sheetId="176" state="hidden" r:id="rId11"/>
    <sheet name="WD_.PX.DJW._.PTC.2030" sheetId="197" state="hidden" r:id="rId12"/>
    <sheet name="WD_.PX.DJW._.PTC.2031" sheetId="198" state="hidden" r:id="rId13"/>
    <sheet name="Table 3 PV_.PX.NTN._.PTC.2031" sheetId="201" r:id="rId14"/>
    <sheet name="PV_.PX.BDG._.PTC.2031" sheetId="199" state="hidden" r:id="rId15"/>
    <sheet name="PV_.PX.HTG._.PTC.2031" sheetId="200" state="hidden" r:id="rId16"/>
    <sheet name="PV_.PX.UTS._.PTC.2031" sheetId="202" state="hidden" r:id="rId17"/>
    <sheet name="GSC.PX.BDG._.___.Frame 2030" sheetId="194" state="hidden" r:id="rId18"/>
  </sheets>
  <externalReferences>
    <externalReference r:id="rId19"/>
    <externalReference r:id="rId20"/>
    <externalReference r:id="rId21"/>
    <externalReference r:id="rId22"/>
    <externalReference r:id="rId23"/>
  </externalReferences>
  <definedNames>
    <definedName name="_xlnm._FilterDatabase" localSheetId="5" hidden="1">Table3Compare!$A$70:$Y$74</definedName>
    <definedName name="_j1" localSheetId="0" hidden="1">{"PRINT",#N/A,TRUE,"APPA";"PRINT",#N/A,TRUE,"APS";"PRINT",#N/A,TRUE,"BHPL";"PRINT",#N/A,TRUE,"BHPL2";"PRINT",#N/A,TRUE,"CDWR";"PRINT",#N/A,TRUE,"EWEB";"PRINT",#N/A,TRUE,"LADWP";"PRINT",#N/A,TRUE,"NEVBASE"}</definedName>
    <definedName name="_j1" localSheetId="17" hidden="1">{"PRINT",#N/A,TRUE,"APPA";"PRINT",#N/A,TRUE,"APS";"PRINT",#N/A,TRUE,"BHPL";"PRINT",#N/A,TRUE,"BHPL2";"PRINT",#N/A,TRUE,"CDWR";"PRINT",#N/A,TRUE,"EWEB";"PRINT",#N/A,TRUE,"LADWP";"PRINT",#N/A,TRUE,"NEVBASE"}</definedName>
    <definedName name="_j1" localSheetId="14" hidden="1">{"PRINT",#N/A,TRUE,"APPA";"PRINT",#N/A,TRUE,"APS";"PRINT",#N/A,TRUE,"BHPL";"PRINT",#N/A,TRUE,"BHPL2";"PRINT",#N/A,TRUE,"CDWR";"PRINT",#N/A,TRUE,"EWEB";"PRINT",#N/A,TRUE,"LADWP";"PRINT",#N/A,TRUE,"NEVBASE"}</definedName>
    <definedName name="_j1" localSheetId="15" hidden="1">{"PRINT",#N/A,TRUE,"APPA";"PRINT",#N/A,TRUE,"APS";"PRINT",#N/A,TRUE,"BHPL";"PRINT",#N/A,TRUE,"BHPL2";"PRINT",#N/A,TRUE,"CDWR";"PRINT",#N/A,TRUE,"EWEB";"PRINT",#N/A,TRUE,"LADWP";"PRINT",#N/A,TRUE,"NEVBASE"}</definedName>
    <definedName name="_j1" localSheetId="16" hidden="1">{"PRINT",#N/A,TRUE,"APPA";"PRINT",#N/A,TRUE,"APS";"PRINT",#N/A,TRUE,"BHPL";"PRINT",#N/A,TRUE,"BHPL2";"PRINT",#N/A,TRUE,"CDWR";"PRINT",#N/A,TRUE,"EWEB";"PRINT",#N/A,TRUE,"LADWP";"PRINT",#N/A,TRUE,"NEVBASE"}</definedName>
    <definedName name="_j1" localSheetId="2" hidden="1">{"PRINT",#N/A,TRUE,"APPA";"PRINT",#N/A,TRUE,"APS";"PRINT",#N/A,TRUE,"BHPL";"PRINT",#N/A,TRUE,"BHPL2";"PRINT",#N/A,TRUE,"CDWR";"PRINT",#N/A,TRUE,"EWEB";"PRINT",#N/A,TRUE,"LADWP";"PRINT",#N/A,TRUE,"NEVBASE"}</definedName>
    <definedName name="_j1" localSheetId="13" hidden="1">{"PRINT",#N/A,TRUE,"APPA";"PRINT",#N/A,TRUE,"APS";"PRINT",#N/A,TRUE,"BHPL";"PRINT",#N/A,TRUE,"BHPL2";"PRINT",#N/A,TRUE,"CDWR";"PRINT",#N/A,TRUE,"EWEB";"PRINT",#N/A,TRUE,"LADWP";"PRINT",#N/A,TRUE,"NEVBASE"}</definedName>
    <definedName name="_j1" localSheetId="7" hidden="1">{"PRINT",#N/A,TRUE,"APPA";"PRINT",#N/A,TRUE,"APS";"PRINT",#N/A,TRUE,"BHPL";"PRINT",#N/A,TRUE,"BHPL2";"PRINT",#N/A,TRUE,"CDWR";"PRINT",#N/A,TRUE,"EWEB";"PRINT",#N/A,TRUE,"LADWP";"PRINT",#N/A,TRUE,"NEVBASE"}</definedName>
    <definedName name="_j1" localSheetId="8" hidden="1">{"PRINT",#N/A,TRUE,"APPA";"PRINT",#N/A,TRUE,"APS";"PRINT",#N/A,TRUE,"BHPL";"PRINT",#N/A,TRUE,"BHPL2";"PRINT",#N/A,TRUE,"CDWR";"PRINT",#N/A,TRUE,"EWEB";"PRINT",#N/A,TRUE,"LADWP";"PRINT",#N/A,TRUE,"NEVBASE"}</definedName>
    <definedName name="_j1" localSheetId="9" hidden="1">{"PRINT",#N/A,TRUE,"APPA";"PRINT",#N/A,TRUE,"APS";"PRINT",#N/A,TRUE,"BHPL";"PRINT",#N/A,TRUE,"BHPL2";"PRINT",#N/A,TRUE,"CDWR";"PRINT",#N/A,TRUE,"EWEB";"PRINT",#N/A,TRUE,"LADWP";"PRINT",#N/A,TRUE,"NEVBASE"}</definedName>
    <definedName name="_j1" localSheetId="10" hidden="1">{"PRINT",#N/A,TRUE,"APPA";"PRINT",#N/A,TRUE,"APS";"PRINT",#N/A,TRUE,"BHPL";"PRINT",#N/A,TRUE,"BHPL2";"PRINT",#N/A,TRUE,"CDWR";"PRINT",#N/A,TRUE,"EWEB";"PRINT",#N/A,TRUE,"LADWP";"PRINT",#N/A,TRUE,"NEVBASE"}</definedName>
    <definedName name="_j1" localSheetId="11" hidden="1">{"PRINT",#N/A,TRUE,"APPA";"PRINT",#N/A,TRUE,"APS";"PRINT",#N/A,TRUE,"BHPL";"PRINT",#N/A,TRUE,"BHPL2";"PRINT",#N/A,TRUE,"CDWR";"PRINT",#N/A,TRUE,"EWEB";"PRINT",#N/A,TRUE,"LADWP";"PRINT",#N/A,TRUE,"NEVBASE"}</definedName>
    <definedName name="_j1" localSheetId="12" hidden="1">{"PRINT",#N/A,TRUE,"APPA";"PRINT",#N/A,TRUE,"APS";"PRINT",#N/A,TRUE,"BHPL";"PRINT",#N/A,TRUE,"BHPL2";"PRINT",#N/A,TRUE,"CDWR";"PRINT",#N/A,TRUE,"EWEB";"PRINT",#N/A,TRUE,"LADWP";"PRINT",#N/A,TRUE,"NEVBASE"}</definedName>
    <definedName name="_j2" localSheetId="0" hidden="1">{"PRINT",#N/A,TRUE,"APPA";"PRINT",#N/A,TRUE,"APS";"PRINT",#N/A,TRUE,"BHPL";"PRINT",#N/A,TRUE,"BHPL2";"PRINT",#N/A,TRUE,"CDWR";"PRINT",#N/A,TRUE,"EWEB";"PRINT",#N/A,TRUE,"LADWP";"PRINT",#N/A,TRUE,"NEVBASE"}</definedName>
    <definedName name="_j2" localSheetId="17" hidden="1">{"PRINT",#N/A,TRUE,"APPA";"PRINT",#N/A,TRUE,"APS";"PRINT",#N/A,TRUE,"BHPL";"PRINT",#N/A,TRUE,"BHPL2";"PRINT",#N/A,TRUE,"CDWR";"PRINT",#N/A,TRUE,"EWEB";"PRINT",#N/A,TRUE,"LADWP";"PRINT",#N/A,TRUE,"NEVBASE"}</definedName>
    <definedName name="_j2" localSheetId="14" hidden="1">{"PRINT",#N/A,TRUE,"APPA";"PRINT",#N/A,TRUE,"APS";"PRINT",#N/A,TRUE,"BHPL";"PRINT",#N/A,TRUE,"BHPL2";"PRINT",#N/A,TRUE,"CDWR";"PRINT",#N/A,TRUE,"EWEB";"PRINT",#N/A,TRUE,"LADWP";"PRINT",#N/A,TRUE,"NEVBASE"}</definedName>
    <definedName name="_j2" localSheetId="15" hidden="1">{"PRINT",#N/A,TRUE,"APPA";"PRINT",#N/A,TRUE,"APS";"PRINT",#N/A,TRUE,"BHPL";"PRINT",#N/A,TRUE,"BHPL2";"PRINT",#N/A,TRUE,"CDWR";"PRINT",#N/A,TRUE,"EWEB";"PRINT",#N/A,TRUE,"LADWP";"PRINT",#N/A,TRUE,"NEVBASE"}</definedName>
    <definedName name="_j2" localSheetId="16" hidden="1">{"PRINT",#N/A,TRUE,"APPA";"PRINT",#N/A,TRUE,"APS";"PRINT",#N/A,TRUE,"BHPL";"PRINT",#N/A,TRUE,"BHPL2";"PRINT",#N/A,TRUE,"CDWR";"PRINT",#N/A,TRUE,"EWEB";"PRINT",#N/A,TRUE,"LADWP";"PRINT",#N/A,TRUE,"NEVBASE"}</definedName>
    <definedName name="_j2" localSheetId="2" hidden="1">{"PRINT",#N/A,TRUE,"APPA";"PRINT",#N/A,TRUE,"APS";"PRINT",#N/A,TRUE,"BHPL";"PRINT",#N/A,TRUE,"BHPL2";"PRINT",#N/A,TRUE,"CDWR";"PRINT",#N/A,TRUE,"EWEB";"PRINT",#N/A,TRUE,"LADWP";"PRINT",#N/A,TRUE,"NEVBASE"}</definedName>
    <definedName name="_j2" localSheetId="13" hidden="1">{"PRINT",#N/A,TRUE,"APPA";"PRINT",#N/A,TRUE,"APS";"PRINT",#N/A,TRUE,"BHPL";"PRINT",#N/A,TRUE,"BHPL2";"PRINT",#N/A,TRUE,"CDWR";"PRINT",#N/A,TRUE,"EWEB";"PRINT",#N/A,TRUE,"LADWP";"PRINT",#N/A,TRUE,"NEVBASE"}</definedName>
    <definedName name="_j2" localSheetId="7" hidden="1">{"PRINT",#N/A,TRUE,"APPA";"PRINT",#N/A,TRUE,"APS";"PRINT",#N/A,TRUE,"BHPL";"PRINT",#N/A,TRUE,"BHPL2";"PRINT",#N/A,TRUE,"CDWR";"PRINT",#N/A,TRUE,"EWEB";"PRINT",#N/A,TRUE,"LADWP";"PRINT",#N/A,TRUE,"NEVBASE"}</definedName>
    <definedName name="_j2" localSheetId="8" hidden="1">{"PRINT",#N/A,TRUE,"APPA";"PRINT",#N/A,TRUE,"APS";"PRINT",#N/A,TRUE,"BHPL";"PRINT",#N/A,TRUE,"BHPL2";"PRINT",#N/A,TRUE,"CDWR";"PRINT",#N/A,TRUE,"EWEB";"PRINT",#N/A,TRUE,"LADWP";"PRINT",#N/A,TRUE,"NEVBASE"}</definedName>
    <definedName name="_j2" localSheetId="9" hidden="1">{"PRINT",#N/A,TRUE,"APPA";"PRINT",#N/A,TRUE,"APS";"PRINT",#N/A,TRUE,"BHPL";"PRINT",#N/A,TRUE,"BHPL2";"PRINT",#N/A,TRUE,"CDWR";"PRINT",#N/A,TRUE,"EWEB";"PRINT",#N/A,TRUE,"LADWP";"PRINT",#N/A,TRUE,"NEVBASE"}</definedName>
    <definedName name="_j2" localSheetId="10" hidden="1">{"PRINT",#N/A,TRUE,"APPA";"PRINT",#N/A,TRUE,"APS";"PRINT",#N/A,TRUE,"BHPL";"PRINT",#N/A,TRUE,"BHPL2";"PRINT",#N/A,TRUE,"CDWR";"PRINT",#N/A,TRUE,"EWEB";"PRINT",#N/A,TRUE,"LADWP";"PRINT",#N/A,TRUE,"NEVBASE"}</definedName>
    <definedName name="_j2" localSheetId="11" hidden="1">{"PRINT",#N/A,TRUE,"APPA";"PRINT",#N/A,TRUE,"APS";"PRINT",#N/A,TRUE,"BHPL";"PRINT",#N/A,TRUE,"BHPL2";"PRINT",#N/A,TRUE,"CDWR";"PRINT",#N/A,TRUE,"EWEB";"PRINT",#N/A,TRUE,"LADWP";"PRINT",#N/A,TRUE,"NEVBASE"}</definedName>
    <definedName name="_j2" localSheetId="12" hidden="1">{"PRINT",#N/A,TRUE,"APPA";"PRINT",#N/A,TRUE,"APS";"PRINT",#N/A,TRUE,"BHPL";"PRINT",#N/A,TRUE,"BHPL2";"PRINT",#N/A,TRUE,"CDWR";"PRINT",#N/A,TRUE,"EWEB";"PRINT",#N/A,TRUE,"LADWP";"PRINT",#N/A,TRUE,"NEVBASE"}</definedName>
    <definedName name="_j3" localSheetId="0" hidden="1">{"PRINT",#N/A,TRUE,"APPA";"PRINT",#N/A,TRUE,"APS";"PRINT",#N/A,TRUE,"BHPL";"PRINT",#N/A,TRUE,"BHPL2";"PRINT",#N/A,TRUE,"CDWR";"PRINT",#N/A,TRUE,"EWEB";"PRINT",#N/A,TRUE,"LADWP";"PRINT",#N/A,TRUE,"NEVBASE"}</definedName>
    <definedName name="_j3" localSheetId="17" hidden="1">{"PRINT",#N/A,TRUE,"APPA";"PRINT",#N/A,TRUE,"APS";"PRINT",#N/A,TRUE,"BHPL";"PRINT",#N/A,TRUE,"BHPL2";"PRINT",#N/A,TRUE,"CDWR";"PRINT",#N/A,TRUE,"EWEB";"PRINT",#N/A,TRUE,"LADWP";"PRINT",#N/A,TRUE,"NEVBASE"}</definedName>
    <definedName name="_j3" localSheetId="14" hidden="1">{"PRINT",#N/A,TRUE,"APPA";"PRINT",#N/A,TRUE,"APS";"PRINT",#N/A,TRUE,"BHPL";"PRINT",#N/A,TRUE,"BHPL2";"PRINT",#N/A,TRUE,"CDWR";"PRINT",#N/A,TRUE,"EWEB";"PRINT",#N/A,TRUE,"LADWP";"PRINT",#N/A,TRUE,"NEVBASE"}</definedName>
    <definedName name="_j3" localSheetId="15" hidden="1">{"PRINT",#N/A,TRUE,"APPA";"PRINT",#N/A,TRUE,"APS";"PRINT",#N/A,TRUE,"BHPL";"PRINT",#N/A,TRUE,"BHPL2";"PRINT",#N/A,TRUE,"CDWR";"PRINT",#N/A,TRUE,"EWEB";"PRINT",#N/A,TRUE,"LADWP";"PRINT",#N/A,TRUE,"NEVBASE"}</definedName>
    <definedName name="_j3" localSheetId="16" hidden="1">{"PRINT",#N/A,TRUE,"APPA";"PRINT",#N/A,TRUE,"APS";"PRINT",#N/A,TRUE,"BHPL";"PRINT",#N/A,TRUE,"BHPL2";"PRINT",#N/A,TRUE,"CDWR";"PRINT",#N/A,TRUE,"EWEB";"PRINT",#N/A,TRUE,"LADWP";"PRINT",#N/A,TRUE,"NEVBASE"}</definedName>
    <definedName name="_j3" localSheetId="2" hidden="1">{"PRINT",#N/A,TRUE,"APPA";"PRINT",#N/A,TRUE,"APS";"PRINT",#N/A,TRUE,"BHPL";"PRINT",#N/A,TRUE,"BHPL2";"PRINT",#N/A,TRUE,"CDWR";"PRINT",#N/A,TRUE,"EWEB";"PRINT",#N/A,TRUE,"LADWP";"PRINT",#N/A,TRUE,"NEVBASE"}</definedName>
    <definedName name="_j3" localSheetId="13" hidden="1">{"PRINT",#N/A,TRUE,"APPA";"PRINT",#N/A,TRUE,"APS";"PRINT",#N/A,TRUE,"BHPL";"PRINT",#N/A,TRUE,"BHPL2";"PRINT",#N/A,TRUE,"CDWR";"PRINT",#N/A,TRUE,"EWEB";"PRINT",#N/A,TRUE,"LADWP";"PRINT",#N/A,TRUE,"NEVBASE"}</definedName>
    <definedName name="_j3" localSheetId="7" hidden="1">{"PRINT",#N/A,TRUE,"APPA";"PRINT",#N/A,TRUE,"APS";"PRINT",#N/A,TRUE,"BHPL";"PRINT",#N/A,TRUE,"BHPL2";"PRINT",#N/A,TRUE,"CDWR";"PRINT",#N/A,TRUE,"EWEB";"PRINT",#N/A,TRUE,"LADWP";"PRINT",#N/A,TRUE,"NEVBASE"}</definedName>
    <definedName name="_j3" localSheetId="8" hidden="1">{"PRINT",#N/A,TRUE,"APPA";"PRINT",#N/A,TRUE,"APS";"PRINT",#N/A,TRUE,"BHPL";"PRINT",#N/A,TRUE,"BHPL2";"PRINT",#N/A,TRUE,"CDWR";"PRINT",#N/A,TRUE,"EWEB";"PRINT",#N/A,TRUE,"LADWP";"PRINT",#N/A,TRUE,"NEVBASE"}</definedName>
    <definedName name="_j3" localSheetId="9" hidden="1">{"PRINT",#N/A,TRUE,"APPA";"PRINT",#N/A,TRUE,"APS";"PRINT",#N/A,TRUE,"BHPL";"PRINT",#N/A,TRUE,"BHPL2";"PRINT",#N/A,TRUE,"CDWR";"PRINT",#N/A,TRUE,"EWEB";"PRINT",#N/A,TRUE,"LADWP";"PRINT",#N/A,TRUE,"NEVBASE"}</definedName>
    <definedName name="_j3" localSheetId="10" hidden="1">{"PRINT",#N/A,TRUE,"APPA";"PRINT",#N/A,TRUE,"APS";"PRINT",#N/A,TRUE,"BHPL";"PRINT",#N/A,TRUE,"BHPL2";"PRINT",#N/A,TRUE,"CDWR";"PRINT",#N/A,TRUE,"EWEB";"PRINT",#N/A,TRUE,"LADWP";"PRINT",#N/A,TRUE,"NEVBASE"}</definedName>
    <definedName name="_j3" localSheetId="11" hidden="1">{"PRINT",#N/A,TRUE,"APPA";"PRINT",#N/A,TRUE,"APS";"PRINT",#N/A,TRUE,"BHPL";"PRINT",#N/A,TRUE,"BHPL2";"PRINT",#N/A,TRUE,"CDWR";"PRINT",#N/A,TRUE,"EWEB";"PRINT",#N/A,TRUE,"LADWP";"PRINT",#N/A,TRUE,"NEVBASE"}</definedName>
    <definedName name="_j3" localSheetId="12" hidden="1">{"PRINT",#N/A,TRUE,"APPA";"PRINT",#N/A,TRUE,"APS";"PRINT",#N/A,TRUE,"BHPL";"PRINT",#N/A,TRUE,"BHPL2";"PRINT",#N/A,TRUE,"CDWR";"PRINT",#N/A,TRUE,"EWEB";"PRINT",#N/A,TRUE,"LADWP";"PRINT",#N/A,TRUE,"NEVBASE"}</definedName>
    <definedName name="_j4" localSheetId="0" hidden="1">{"PRINT",#N/A,TRUE,"APPA";"PRINT",#N/A,TRUE,"APS";"PRINT",#N/A,TRUE,"BHPL";"PRINT",#N/A,TRUE,"BHPL2";"PRINT",#N/A,TRUE,"CDWR";"PRINT",#N/A,TRUE,"EWEB";"PRINT",#N/A,TRUE,"LADWP";"PRINT",#N/A,TRUE,"NEVBASE"}</definedName>
    <definedName name="_j4" localSheetId="17" hidden="1">{"PRINT",#N/A,TRUE,"APPA";"PRINT",#N/A,TRUE,"APS";"PRINT",#N/A,TRUE,"BHPL";"PRINT",#N/A,TRUE,"BHPL2";"PRINT",#N/A,TRUE,"CDWR";"PRINT",#N/A,TRUE,"EWEB";"PRINT",#N/A,TRUE,"LADWP";"PRINT",#N/A,TRUE,"NEVBASE"}</definedName>
    <definedName name="_j4" localSheetId="14" hidden="1">{"PRINT",#N/A,TRUE,"APPA";"PRINT",#N/A,TRUE,"APS";"PRINT",#N/A,TRUE,"BHPL";"PRINT",#N/A,TRUE,"BHPL2";"PRINT",#N/A,TRUE,"CDWR";"PRINT",#N/A,TRUE,"EWEB";"PRINT",#N/A,TRUE,"LADWP";"PRINT",#N/A,TRUE,"NEVBASE"}</definedName>
    <definedName name="_j4" localSheetId="15" hidden="1">{"PRINT",#N/A,TRUE,"APPA";"PRINT",#N/A,TRUE,"APS";"PRINT",#N/A,TRUE,"BHPL";"PRINT",#N/A,TRUE,"BHPL2";"PRINT",#N/A,TRUE,"CDWR";"PRINT",#N/A,TRUE,"EWEB";"PRINT",#N/A,TRUE,"LADWP";"PRINT",#N/A,TRUE,"NEVBASE"}</definedName>
    <definedName name="_j4" localSheetId="16" hidden="1">{"PRINT",#N/A,TRUE,"APPA";"PRINT",#N/A,TRUE,"APS";"PRINT",#N/A,TRUE,"BHPL";"PRINT",#N/A,TRUE,"BHPL2";"PRINT",#N/A,TRUE,"CDWR";"PRINT",#N/A,TRUE,"EWEB";"PRINT",#N/A,TRUE,"LADWP";"PRINT",#N/A,TRUE,"NEVBASE"}</definedName>
    <definedName name="_j4" localSheetId="2" hidden="1">{"PRINT",#N/A,TRUE,"APPA";"PRINT",#N/A,TRUE,"APS";"PRINT",#N/A,TRUE,"BHPL";"PRINT",#N/A,TRUE,"BHPL2";"PRINT",#N/A,TRUE,"CDWR";"PRINT",#N/A,TRUE,"EWEB";"PRINT",#N/A,TRUE,"LADWP";"PRINT",#N/A,TRUE,"NEVBASE"}</definedName>
    <definedName name="_j4" localSheetId="13" hidden="1">{"PRINT",#N/A,TRUE,"APPA";"PRINT",#N/A,TRUE,"APS";"PRINT",#N/A,TRUE,"BHPL";"PRINT",#N/A,TRUE,"BHPL2";"PRINT",#N/A,TRUE,"CDWR";"PRINT",#N/A,TRUE,"EWEB";"PRINT",#N/A,TRUE,"LADWP";"PRINT",#N/A,TRUE,"NEVBASE"}</definedName>
    <definedName name="_j4" localSheetId="7" hidden="1">{"PRINT",#N/A,TRUE,"APPA";"PRINT",#N/A,TRUE,"APS";"PRINT",#N/A,TRUE,"BHPL";"PRINT",#N/A,TRUE,"BHPL2";"PRINT",#N/A,TRUE,"CDWR";"PRINT",#N/A,TRUE,"EWEB";"PRINT",#N/A,TRUE,"LADWP";"PRINT",#N/A,TRUE,"NEVBASE"}</definedName>
    <definedName name="_j4" localSheetId="8" hidden="1">{"PRINT",#N/A,TRUE,"APPA";"PRINT",#N/A,TRUE,"APS";"PRINT",#N/A,TRUE,"BHPL";"PRINT",#N/A,TRUE,"BHPL2";"PRINT",#N/A,TRUE,"CDWR";"PRINT",#N/A,TRUE,"EWEB";"PRINT",#N/A,TRUE,"LADWP";"PRINT",#N/A,TRUE,"NEVBASE"}</definedName>
    <definedName name="_j4" localSheetId="9" hidden="1">{"PRINT",#N/A,TRUE,"APPA";"PRINT",#N/A,TRUE,"APS";"PRINT",#N/A,TRUE,"BHPL";"PRINT",#N/A,TRUE,"BHPL2";"PRINT",#N/A,TRUE,"CDWR";"PRINT",#N/A,TRUE,"EWEB";"PRINT",#N/A,TRUE,"LADWP";"PRINT",#N/A,TRUE,"NEVBASE"}</definedName>
    <definedName name="_j4" localSheetId="10" hidden="1">{"PRINT",#N/A,TRUE,"APPA";"PRINT",#N/A,TRUE,"APS";"PRINT",#N/A,TRUE,"BHPL";"PRINT",#N/A,TRUE,"BHPL2";"PRINT",#N/A,TRUE,"CDWR";"PRINT",#N/A,TRUE,"EWEB";"PRINT",#N/A,TRUE,"LADWP";"PRINT",#N/A,TRUE,"NEVBASE"}</definedName>
    <definedName name="_j4" localSheetId="11" hidden="1">{"PRINT",#N/A,TRUE,"APPA";"PRINT",#N/A,TRUE,"APS";"PRINT",#N/A,TRUE,"BHPL";"PRINT",#N/A,TRUE,"BHPL2";"PRINT",#N/A,TRUE,"CDWR";"PRINT",#N/A,TRUE,"EWEB";"PRINT",#N/A,TRUE,"LADWP";"PRINT",#N/A,TRUE,"NEVBASE"}</definedName>
    <definedName name="_j4" localSheetId="12" hidden="1">{"PRINT",#N/A,TRUE,"APPA";"PRINT",#N/A,TRUE,"APS";"PRINT",#N/A,TRUE,"BHPL";"PRINT",#N/A,TRUE,"BHPL2";"PRINT",#N/A,TRUE,"CDWR";"PRINT",#N/A,TRUE,"EWEB";"PRINT",#N/A,TRUE,"LADWP";"PRINT",#N/A,TRUE,"NEVBASE"}</definedName>
    <definedName name="_j5" localSheetId="0" hidden="1">{"PRINT",#N/A,TRUE,"APPA";"PRINT",#N/A,TRUE,"APS";"PRINT",#N/A,TRUE,"BHPL";"PRINT",#N/A,TRUE,"BHPL2";"PRINT",#N/A,TRUE,"CDWR";"PRINT",#N/A,TRUE,"EWEB";"PRINT",#N/A,TRUE,"LADWP";"PRINT",#N/A,TRUE,"NEVBASE"}</definedName>
    <definedName name="_j5" localSheetId="17" hidden="1">{"PRINT",#N/A,TRUE,"APPA";"PRINT",#N/A,TRUE,"APS";"PRINT",#N/A,TRUE,"BHPL";"PRINT",#N/A,TRUE,"BHPL2";"PRINT",#N/A,TRUE,"CDWR";"PRINT",#N/A,TRUE,"EWEB";"PRINT",#N/A,TRUE,"LADWP";"PRINT",#N/A,TRUE,"NEVBASE"}</definedName>
    <definedName name="_j5" localSheetId="14" hidden="1">{"PRINT",#N/A,TRUE,"APPA";"PRINT",#N/A,TRUE,"APS";"PRINT",#N/A,TRUE,"BHPL";"PRINT",#N/A,TRUE,"BHPL2";"PRINT",#N/A,TRUE,"CDWR";"PRINT",#N/A,TRUE,"EWEB";"PRINT",#N/A,TRUE,"LADWP";"PRINT",#N/A,TRUE,"NEVBASE"}</definedName>
    <definedName name="_j5" localSheetId="15" hidden="1">{"PRINT",#N/A,TRUE,"APPA";"PRINT",#N/A,TRUE,"APS";"PRINT",#N/A,TRUE,"BHPL";"PRINT",#N/A,TRUE,"BHPL2";"PRINT",#N/A,TRUE,"CDWR";"PRINT",#N/A,TRUE,"EWEB";"PRINT",#N/A,TRUE,"LADWP";"PRINT",#N/A,TRUE,"NEVBASE"}</definedName>
    <definedName name="_j5" localSheetId="16" hidden="1">{"PRINT",#N/A,TRUE,"APPA";"PRINT",#N/A,TRUE,"APS";"PRINT",#N/A,TRUE,"BHPL";"PRINT",#N/A,TRUE,"BHPL2";"PRINT",#N/A,TRUE,"CDWR";"PRINT",#N/A,TRUE,"EWEB";"PRINT",#N/A,TRUE,"LADWP";"PRINT",#N/A,TRUE,"NEVBASE"}</definedName>
    <definedName name="_j5" localSheetId="2" hidden="1">{"PRINT",#N/A,TRUE,"APPA";"PRINT",#N/A,TRUE,"APS";"PRINT",#N/A,TRUE,"BHPL";"PRINT",#N/A,TRUE,"BHPL2";"PRINT",#N/A,TRUE,"CDWR";"PRINT",#N/A,TRUE,"EWEB";"PRINT",#N/A,TRUE,"LADWP";"PRINT",#N/A,TRUE,"NEVBASE"}</definedName>
    <definedName name="_j5" localSheetId="13" hidden="1">{"PRINT",#N/A,TRUE,"APPA";"PRINT",#N/A,TRUE,"APS";"PRINT",#N/A,TRUE,"BHPL";"PRINT",#N/A,TRUE,"BHPL2";"PRINT",#N/A,TRUE,"CDWR";"PRINT",#N/A,TRUE,"EWEB";"PRINT",#N/A,TRUE,"LADWP";"PRINT",#N/A,TRUE,"NEVBASE"}</definedName>
    <definedName name="_j5" localSheetId="7" hidden="1">{"PRINT",#N/A,TRUE,"APPA";"PRINT",#N/A,TRUE,"APS";"PRINT",#N/A,TRUE,"BHPL";"PRINT",#N/A,TRUE,"BHPL2";"PRINT",#N/A,TRUE,"CDWR";"PRINT",#N/A,TRUE,"EWEB";"PRINT",#N/A,TRUE,"LADWP";"PRINT",#N/A,TRUE,"NEVBASE"}</definedName>
    <definedName name="_j5" localSheetId="8" hidden="1">{"PRINT",#N/A,TRUE,"APPA";"PRINT",#N/A,TRUE,"APS";"PRINT",#N/A,TRUE,"BHPL";"PRINT",#N/A,TRUE,"BHPL2";"PRINT",#N/A,TRUE,"CDWR";"PRINT",#N/A,TRUE,"EWEB";"PRINT",#N/A,TRUE,"LADWP";"PRINT",#N/A,TRUE,"NEVBASE"}</definedName>
    <definedName name="_j5" localSheetId="9" hidden="1">{"PRINT",#N/A,TRUE,"APPA";"PRINT",#N/A,TRUE,"APS";"PRINT",#N/A,TRUE,"BHPL";"PRINT",#N/A,TRUE,"BHPL2";"PRINT",#N/A,TRUE,"CDWR";"PRINT",#N/A,TRUE,"EWEB";"PRINT",#N/A,TRUE,"LADWP";"PRINT",#N/A,TRUE,"NEVBASE"}</definedName>
    <definedName name="_j5" localSheetId="10" hidden="1">{"PRINT",#N/A,TRUE,"APPA";"PRINT",#N/A,TRUE,"APS";"PRINT",#N/A,TRUE,"BHPL";"PRINT",#N/A,TRUE,"BHPL2";"PRINT",#N/A,TRUE,"CDWR";"PRINT",#N/A,TRUE,"EWEB";"PRINT",#N/A,TRUE,"LADWP";"PRINT",#N/A,TRUE,"NEVBASE"}</definedName>
    <definedName name="_j5" localSheetId="11" hidden="1">{"PRINT",#N/A,TRUE,"APPA";"PRINT",#N/A,TRUE,"APS";"PRINT",#N/A,TRUE,"BHPL";"PRINT",#N/A,TRUE,"BHPL2";"PRINT",#N/A,TRUE,"CDWR";"PRINT",#N/A,TRUE,"EWEB";"PRINT",#N/A,TRUE,"LADWP";"PRINT",#N/A,TRUE,"NEVBASE"}</definedName>
    <definedName name="_j5" localSheetId="12" hidden="1">{"PRINT",#N/A,TRUE,"APPA";"PRINT",#N/A,TRUE,"APS";"PRINT",#N/A,TRUE,"BHPL";"PRINT",#N/A,TRUE,"BHPL2";"PRINT",#N/A,TRUE,"CDWR";"PRINT",#N/A,TRUE,"EWEB";"PRINT",#N/A,TRUE,"LADWP";"PRINT",#N/A,TRUE,"NEVBASE"}</definedName>
    <definedName name="_Order1" hidden="1">255</definedName>
    <definedName name="_Order2" hidden="1">0</definedName>
    <definedName name="Discount_Rate" localSheetId="0">'[1]Table 1'!$I$43</definedName>
    <definedName name="Discount_Rate">'Table 1'!$I$50</definedName>
    <definedName name="Inflation" localSheetId="0">'[1]Table 1'!$J$45</definedName>
    <definedName name="Inflation">'Table 1'!$J$52</definedName>
    <definedName name="IRP23_Infl_Rate" localSheetId="0">'[1]Table 1'!$K$47</definedName>
    <definedName name="OATT" localSheetId="0">#REF!</definedName>
    <definedName name="_xlnm.Print_Area" localSheetId="0">'Appendix E.2'!$A$1:$K$40</definedName>
    <definedName name="_xlnm.Print_Area" localSheetId="14">'PV_.PX.BDG._.PTC.2031'!$A$1:$P$78</definedName>
    <definedName name="_xlnm.Print_Area" localSheetId="15">'PV_.PX.HTG._.PTC.2031'!$A$1:$O$61</definedName>
    <definedName name="_xlnm.Print_Area" localSheetId="16">'PV_.PX.UTS._.PTC.2031'!$A$1:$P$61</definedName>
    <definedName name="_xlnm.Print_Area" localSheetId="1">'Table 1'!$A$1:$H$67</definedName>
    <definedName name="_xlnm.Print_Area" localSheetId="13">'Table 3 PV_.PX.NTN._.PTC.2031'!$A$1:$O$61</definedName>
    <definedName name="_xlnm.Print_Area" localSheetId="4">'Table 5'!$A$1:$H$312</definedName>
    <definedName name="Real_Discount_Rate" localSheetId="0">'[1]Table 1'!$J$47</definedName>
    <definedName name="Real_Discount_Rate">'Table 1'!$J$54</definedName>
    <definedName name="RenewableMarketShape" localSheetId="0">#REF!</definedName>
    <definedName name="RevenueSum">"GRID Thermal Revenue!R2C1:R4C2"</definedName>
    <definedName name="Study_CF" localSheetId="0">'[1]Table 5'!$M$8</definedName>
    <definedName name="Study_CF">'Table 5'!$M$8</definedName>
    <definedName name="Study_MW" localSheetId="0">'[1]Table 5'!$M$6</definedName>
    <definedName name="Study_MW">'Table 5'!$M$6</definedName>
    <definedName name="TransCapRecovFct" localSheetId="0">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1" i="205" l="1"/>
  <c r="F29" i="205"/>
  <c r="F26" i="205"/>
  <c r="F25" i="205"/>
  <c r="F24" i="205"/>
  <c r="F23" i="205"/>
  <c r="F22" i="205"/>
  <c r="F21" i="205"/>
  <c r="F20" i="205"/>
  <c r="F19" i="205"/>
  <c r="F18" i="205"/>
  <c r="F17" i="205"/>
  <c r="F16" i="205"/>
  <c r="F15" i="205"/>
  <c r="F14" i="205"/>
  <c r="F13" i="205"/>
  <c r="F12" i="205"/>
  <c r="F11" i="205"/>
  <c r="F10" i="205"/>
  <c r="G31" i="205"/>
  <c r="G29" i="205"/>
  <c r="G26" i="205"/>
  <c r="G25" i="205"/>
  <c r="G24" i="205"/>
  <c r="G23" i="205"/>
  <c r="G22" i="205"/>
  <c r="G21" i="205"/>
  <c r="G20" i="205"/>
  <c r="G19" i="205"/>
  <c r="G18" i="205"/>
  <c r="G17" i="205"/>
  <c r="G16" i="205"/>
  <c r="G15" i="205"/>
  <c r="G14" i="205"/>
  <c r="G13" i="205"/>
  <c r="G12" i="205"/>
  <c r="G11" i="205"/>
  <c r="G10" i="205"/>
  <c r="H31" i="205"/>
  <c r="H29" i="205"/>
  <c r="H26" i="205"/>
  <c r="H25" i="205"/>
  <c r="H24" i="205"/>
  <c r="H23" i="205"/>
  <c r="H22" i="205"/>
  <c r="H21" i="205"/>
  <c r="H20" i="205"/>
  <c r="H19" i="205"/>
  <c r="H18" i="205"/>
  <c r="H17" i="205"/>
  <c r="H16" i="205"/>
  <c r="H15" i="205"/>
  <c r="H14" i="205"/>
  <c r="H13" i="205"/>
  <c r="H12" i="205"/>
  <c r="H11" i="205"/>
  <c r="H10" i="205"/>
  <c r="E31" i="205"/>
  <c r="E29" i="205"/>
  <c r="E26" i="205"/>
  <c r="E25" i="205"/>
  <c r="E24" i="205"/>
  <c r="E23" i="205"/>
  <c r="E22" i="205"/>
  <c r="E21" i="205"/>
  <c r="E20" i="205"/>
  <c r="E19" i="205"/>
  <c r="E18" i="205"/>
  <c r="E17" i="205"/>
  <c r="E16" i="205"/>
  <c r="E15" i="205"/>
  <c r="E14" i="205"/>
  <c r="E13" i="205"/>
  <c r="E12" i="205"/>
  <c r="E11" i="205"/>
  <c r="E10" i="205"/>
  <c r="C31" i="205"/>
  <c r="C29" i="205"/>
  <c r="C26" i="205"/>
  <c r="C25" i="205"/>
  <c r="C24" i="205"/>
  <c r="C23" i="205"/>
  <c r="C22" i="205"/>
  <c r="C21" i="205"/>
  <c r="C20" i="205"/>
  <c r="C19" i="205"/>
  <c r="C18" i="205"/>
  <c r="C17" i="205"/>
  <c r="C16" i="205"/>
  <c r="C15" i="205"/>
  <c r="C14" i="205"/>
  <c r="C13" i="205"/>
  <c r="C12" i="205"/>
  <c r="C11" i="205"/>
  <c r="C10" i="205"/>
  <c r="B39" i="205" l="1"/>
  <c r="B11" i="205"/>
  <c r="H7" i="205"/>
  <c r="G7" i="205"/>
  <c r="B12" i="205" l="1"/>
  <c r="B13" i="205" l="1"/>
  <c r="B14" i="205" l="1"/>
  <c r="B15" i="205" l="1"/>
  <c r="B16" i="205" l="1"/>
  <c r="B17" i="205" l="1"/>
  <c r="B18" i="205" l="1"/>
  <c r="B19" i="205" l="1"/>
  <c r="B20" i="205" l="1"/>
  <c r="B21" i="205" l="1"/>
  <c r="B22" i="205" l="1"/>
  <c r="B23" i="205" l="1"/>
  <c r="B24" i="205" l="1"/>
  <c r="B40" i="205" l="1"/>
  <c r="B25" i="205"/>
  <c r="B26" i="205" l="1"/>
  <c r="I19" i="205" l="1"/>
  <c r="I15" i="205"/>
  <c r="I10" i="205"/>
  <c r="I16" i="205"/>
  <c r="I13" i="205"/>
  <c r="I23" i="205"/>
  <c r="I22" i="205"/>
  <c r="I20" i="205"/>
  <c r="I14" i="205"/>
  <c r="I17" i="205"/>
  <c r="I21" i="205"/>
  <c r="I24" i="205"/>
  <c r="I18" i="205"/>
  <c r="I31" i="205" l="1"/>
  <c r="I32" i="205" s="1"/>
  <c r="I11" i="205"/>
  <c r="I12" i="205"/>
  <c r="I25" i="205" l="1"/>
  <c r="I26" i="205" l="1"/>
  <c r="I29" i="205" l="1"/>
  <c r="I30" i="205" s="1"/>
  <c r="H64" i="201" l="1"/>
  <c r="I64" i="201"/>
  <c r="J64" i="201"/>
  <c r="H65" i="201"/>
  <c r="I65" i="201"/>
  <c r="J65" i="201"/>
  <c r="H66" i="201"/>
  <c r="I66" i="201"/>
  <c r="J66" i="201" s="1"/>
  <c r="H67" i="201"/>
  <c r="I67" i="201" s="1"/>
  <c r="J67" i="201" s="1"/>
  <c r="H68" i="201"/>
  <c r="I68" i="201"/>
  <c r="J68" i="201" s="1"/>
  <c r="H69" i="201"/>
  <c r="I69" i="201" s="1"/>
  <c r="J69" i="201" s="1"/>
  <c r="H70" i="201"/>
  <c r="I70" i="201"/>
  <c r="J70" i="201"/>
  <c r="H71" i="201"/>
  <c r="I71" i="201"/>
  <c r="J71" i="201"/>
  <c r="H72" i="201"/>
  <c r="I72" i="201"/>
  <c r="J72" i="201" s="1"/>
  <c r="H73" i="201"/>
  <c r="I73" i="201" s="1"/>
  <c r="J73" i="201" s="1"/>
  <c r="J76" i="201"/>
  <c r="AB14" i="31"/>
  <c r="AB15" i="31"/>
  <c r="AB16" i="31"/>
  <c r="AB17" i="31"/>
  <c r="AB18" i="31"/>
  <c r="AB19" i="31"/>
  <c r="AB20" i="31"/>
  <c r="AB21" i="31"/>
  <c r="AB22" i="31"/>
  <c r="AB23" i="31"/>
  <c r="AB24" i="31"/>
  <c r="AB25" i="31"/>
  <c r="AB26" i="31"/>
  <c r="AB27" i="31"/>
  <c r="AB28" i="31"/>
  <c r="AB29" i="31"/>
  <c r="AB30" i="31"/>
  <c r="AB31" i="31"/>
  <c r="AB32" i="31"/>
  <c r="AB33" i="31"/>
  <c r="AB34" i="31"/>
  <c r="AB35" i="31"/>
  <c r="AB36" i="31"/>
  <c r="AB37" i="31"/>
  <c r="AB38" i="31"/>
  <c r="AB39" i="31"/>
  <c r="AB40" i="31"/>
  <c r="AB41" i="31"/>
  <c r="AB42" i="31"/>
  <c r="AB43" i="31"/>
  <c r="AB44" i="31"/>
  <c r="AB45" i="31"/>
  <c r="AB46" i="31"/>
  <c r="AB47" i="31"/>
  <c r="AB48" i="31"/>
  <c r="AB49" i="31"/>
  <c r="AB50" i="31"/>
  <c r="AB51" i="31"/>
  <c r="AB52" i="31"/>
  <c r="AB53" i="31"/>
  <c r="AB54" i="31"/>
  <c r="AB55" i="31"/>
  <c r="AB56" i="31"/>
  <c r="AB57" i="31"/>
  <c r="AB58" i="31"/>
  <c r="AB59" i="31"/>
  <c r="AB60" i="31"/>
  <c r="AB61" i="31"/>
  <c r="AB62" i="31"/>
  <c r="AB63" i="31"/>
  <c r="AB64" i="31"/>
  <c r="AB65" i="31"/>
  <c r="AB66" i="31"/>
  <c r="AB67" i="31"/>
  <c r="AB68" i="31"/>
  <c r="AB69" i="31"/>
  <c r="AB70" i="31"/>
  <c r="AB71" i="31"/>
  <c r="AB72" i="31"/>
  <c r="AB73" i="31"/>
  <c r="AB74" i="31"/>
  <c r="AB75" i="31"/>
  <c r="AB76" i="31"/>
  <c r="AB77" i="31"/>
  <c r="AB78" i="31"/>
  <c r="AB79" i="31"/>
  <c r="AB80" i="31"/>
  <c r="AB81" i="31"/>
  <c r="AB82" i="31"/>
  <c r="AB83" i="31"/>
  <c r="AB84" i="31"/>
  <c r="AB85" i="31"/>
  <c r="AB86" i="31"/>
  <c r="AB87" i="31"/>
  <c r="AB88" i="31"/>
  <c r="AB89" i="31"/>
  <c r="AB90" i="31"/>
  <c r="AB91" i="31"/>
  <c r="AB92" i="31"/>
  <c r="AB93" i="31"/>
  <c r="AB94" i="31"/>
  <c r="AB95" i="31"/>
  <c r="AB96" i="31"/>
  <c r="AB97" i="31"/>
  <c r="AB98" i="31"/>
  <c r="AB99" i="31"/>
  <c r="AB100" i="31"/>
  <c r="AB101" i="31"/>
  <c r="AB102" i="31"/>
  <c r="AB103" i="31"/>
  <c r="AB104" i="31"/>
  <c r="AB105" i="31"/>
  <c r="AB106" i="31"/>
  <c r="AB107" i="31"/>
  <c r="AB108" i="31"/>
  <c r="AB109" i="31"/>
  <c r="AB110" i="31"/>
  <c r="AB111" i="31"/>
  <c r="AB112" i="31"/>
  <c r="AB113" i="31"/>
  <c r="AB114" i="31"/>
  <c r="AB115" i="31"/>
  <c r="AB116" i="31"/>
  <c r="AB117" i="31"/>
  <c r="AB118" i="31"/>
  <c r="AB119" i="31"/>
  <c r="AB120" i="31"/>
  <c r="AB121" i="31"/>
  <c r="AB122" i="31"/>
  <c r="AB123" i="31"/>
  <c r="AB124" i="31"/>
  <c r="AB125" i="31"/>
  <c r="AB126" i="31"/>
  <c r="AB127" i="31"/>
  <c r="AB128" i="31"/>
  <c r="AB129" i="31"/>
  <c r="AB130" i="31"/>
  <c r="AB131" i="31"/>
  <c r="AB132" i="31"/>
  <c r="AB133" i="31"/>
  <c r="AB134" i="31"/>
  <c r="AB135" i="31"/>
  <c r="AB136" i="31"/>
  <c r="AB137" i="31"/>
  <c r="AB138" i="31"/>
  <c r="AB139" i="31"/>
  <c r="AB140" i="31"/>
  <c r="AB141" i="31"/>
  <c r="AB142" i="31"/>
  <c r="AB143" i="31"/>
  <c r="AB144" i="31"/>
  <c r="AB145" i="31"/>
  <c r="AB146" i="31"/>
  <c r="AB147" i="31"/>
  <c r="AB148" i="31"/>
  <c r="AB149" i="31"/>
  <c r="AB150" i="31"/>
  <c r="AB151" i="31"/>
  <c r="AB152" i="31"/>
  <c r="AB153" i="31"/>
  <c r="AB154" i="31"/>
  <c r="AB155" i="31"/>
  <c r="AB156" i="31"/>
  <c r="AB157" i="31"/>
  <c r="AB158" i="31"/>
  <c r="AB159" i="31"/>
  <c r="AB160" i="31"/>
  <c r="AB161" i="31"/>
  <c r="AB162" i="31"/>
  <c r="AB163" i="31"/>
  <c r="AB164" i="31"/>
  <c r="AB165" i="31"/>
  <c r="AB166" i="31"/>
  <c r="AB167" i="31"/>
  <c r="AB168" i="31"/>
  <c r="AB169" i="31"/>
  <c r="AB170" i="31"/>
  <c r="AB171" i="31"/>
  <c r="AB172" i="31"/>
  <c r="AB173" i="31"/>
  <c r="AB174" i="31"/>
  <c r="AB175" i="31"/>
  <c r="AB176" i="31"/>
  <c r="AB177" i="31"/>
  <c r="AB178" i="31"/>
  <c r="AB179" i="31"/>
  <c r="AB180" i="31"/>
  <c r="AB181" i="31"/>
  <c r="AB182" i="31"/>
  <c r="AB183" i="31"/>
  <c r="AB184" i="31"/>
  <c r="AB185" i="31"/>
  <c r="AB186" i="31"/>
  <c r="AB187" i="31"/>
  <c r="AB188" i="31"/>
  <c r="AB189" i="31"/>
  <c r="AB190" i="31"/>
  <c r="AB191" i="31"/>
  <c r="AB192" i="31"/>
  <c r="AB193" i="31"/>
  <c r="AB194" i="31"/>
  <c r="AB195" i="31"/>
  <c r="AB196" i="31"/>
  <c r="AB197" i="31"/>
  <c r="AB198" i="31"/>
  <c r="AB199" i="31"/>
  <c r="AB200" i="31"/>
  <c r="AB201" i="31"/>
  <c r="AB202" i="31"/>
  <c r="AB203" i="31"/>
  <c r="AB204" i="31"/>
  <c r="AB205" i="31"/>
  <c r="AB206" i="31"/>
  <c r="AB207" i="31"/>
  <c r="AB208" i="31"/>
  <c r="AB209" i="31"/>
  <c r="AB210" i="31"/>
  <c r="AB211" i="31"/>
  <c r="AB212" i="31"/>
  <c r="AB213" i="31"/>
  <c r="AB214" i="31"/>
  <c r="AB215" i="31"/>
  <c r="AB216" i="31"/>
  <c r="AB217" i="31"/>
  <c r="AB218" i="31"/>
  <c r="AB219" i="31"/>
  <c r="AB220" i="31"/>
  <c r="AB221" i="31"/>
  <c r="AB222" i="31"/>
  <c r="AB223" i="31"/>
  <c r="AB224" i="31"/>
  <c r="AB225" i="31"/>
  <c r="AB226" i="31"/>
  <c r="AB227" i="31"/>
  <c r="AB228" i="31"/>
  <c r="AB229" i="31"/>
  <c r="AB230" i="31"/>
  <c r="AB231" i="31"/>
  <c r="AB232" i="31"/>
  <c r="AB233" i="31"/>
  <c r="AB234" i="31"/>
  <c r="AB235" i="31"/>
  <c r="AB236" i="31"/>
  <c r="AB237" i="31"/>
  <c r="AB238" i="31"/>
  <c r="AB239" i="31"/>
  <c r="AB240" i="31"/>
  <c r="AB241" i="31"/>
  <c r="AB242" i="31"/>
  <c r="AB243" i="31"/>
  <c r="AB244" i="31"/>
  <c r="AB245" i="31"/>
  <c r="AB246" i="31"/>
  <c r="AB247" i="31"/>
  <c r="AB248" i="31"/>
  <c r="AB249" i="31"/>
  <c r="AB250" i="31"/>
  <c r="AB251" i="31"/>
  <c r="AB252" i="31"/>
  <c r="AB253" i="31"/>
  <c r="AB254" i="31"/>
  <c r="AB255" i="31"/>
  <c r="AB256" i="31"/>
  <c r="AB257" i="31"/>
  <c r="AB258" i="31"/>
  <c r="AB259" i="31"/>
  <c r="AB260" i="31"/>
  <c r="AB261" i="31"/>
  <c r="AB262" i="31"/>
  <c r="AB263" i="31"/>
  <c r="AB264" i="31"/>
  <c r="AB265" i="31"/>
  <c r="AB266" i="31"/>
  <c r="AB267" i="31"/>
  <c r="AB268" i="31"/>
  <c r="AB269" i="31"/>
  <c r="AB270" i="31"/>
  <c r="AB271" i="31"/>
  <c r="AB272" i="31"/>
  <c r="AB273" i="31"/>
  <c r="AB274" i="31"/>
  <c r="AB275" i="31"/>
  <c r="AB276" i="31"/>
  <c r="AB313" i="31"/>
  <c r="AB314" i="31"/>
  <c r="AB315" i="31"/>
  <c r="AB316" i="31"/>
  <c r="AB317" i="31"/>
  <c r="AB318" i="31"/>
  <c r="AB319" i="31"/>
  <c r="AB320" i="31"/>
  <c r="AB321" i="31"/>
  <c r="AB322" i="31"/>
  <c r="AB323" i="31"/>
  <c r="AB324" i="31"/>
  <c r="AB325" i="31"/>
  <c r="AB326" i="31"/>
  <c r="AB327" i="31"/>
  <c r="AB328" i="31"/>
  <c r="AB329" i="31"/>
  <c r="AB330" i="31"/>
  <c r="AB331" i="31"/>
  <c r="AB332" i="31"/>
  <c r="AB333" i="31"/>
  <c r="AB13" i="31"/>
  <c r="A10" i="31"/>
  <c r="A8" i="31"/>
  <c r="A7" i="31"/>
  <c r="R5" i="31"/>
  <c r="R6" i="31" s="1"/>
  <c r="Q5" i="31"/>
  <c r="Q6" i="31" s="1"/>
  <c r="S6" i="31"/>
  <c r="X42" i="31" l="1"/>
  <c r="X43" i="31"/>
  <c r="X44" i="31"/>
  <c r="X45" i="31"/>
  <c r="X46" i="31"/>
  <c r="X47" i="31"/>
  <c r="X48" i="31"/>
  <c r="X49" i="31"/>
  <c r="X50" i="31"/>
  <c r="ET41" i="25" l="1"/>
  <c r="ES41" i="25"/>
  <c r="ER41" i="25"/>
  <c r="EQ41" i="25"/>
  <c r="EP41" i="25"/>
  <c r="EO41" i="25"/>
  <c r="EN41" i="25"/>
  <c r="EM41" i="25"/>
  <c r="EL41" i="25"/>
  <c r="EK41" i="25"/>
  <c r="EJ41" i="25"/>
  <c r="EI41" i="25"/>
  <c r="EH41" i="25"/>
  <c r="EG41" i="25"/>
  <c r="EF41" i="25"/>
  <c r="EE41" i="25"/>
  <c r="ED41" i="25"/>
  <c r="EC41" i="25"/>
  <c r="EB41" i="25"/>
  <c r="ET40" i="25"/>
  <c r="ES40" i="25"/>
  <c r="ER40" i="25"/>
  <c r="EQ40" i="25"/>
  <c r="EP40" i="25"/>
  <c r="EO40" i="25"/>
  <c r="EN40" i="25"/>
  <c r="EM40" i="25"/>
  <c r="EL40" i="25"/>
  <c r="EK40" i="25"/>
  <c r="EJ40" i="25"/>
  <c r="EI40" i="25"/>
  <c r="EH40" i="25"/>
  <c r="EG40" i="25"/>
  <c r="EF40" i="25"/>
  <c r="EE40" i="25"/>
  <c r="ED40" i="25"/>
  <c r="EC40" i="25"/>
  <c r="EB40" i="25"/>
  <c r="ET39" i="25"/>
  <c r="ES39" i="25"/>
  <c r="ER39" i="25"/>
  <c r="EQ39" i="25"/>
  <c r="EP39" i="25"/>
  <c r="EO39" i="25"/>
  <c r="EN39" i="25"/>
  <c r="EM39" i="25"/>
  <c r="EL39" i="25"/>
  <c r="EK39" i="25"/>
  <c r="EJ39" i="25"/>
  <c r="EI39" i="25"/>
  <c r="EH39" i="25"/>
  <c r="EG39" i="25"/>
  <c r="EF39" i="25"/>
  <c r="EE39" i="25"/>
  <c r="ED39" i="25"/>
  <c r="EC39" i="25"/>
  <c r="EB39" i="25"/>
  <c r="ET38" i="25"/>
  <c r="ES38" i="25"/>
  <c r="ER38" i="25"/>
  <c r="EQ38" i="25"/>
  <c r="EP38" i="25"/>
  <c r="EO38" i="25"/>
  <c r="EN38" i="25"/>
  <c r="EM38" i="25"/>
  <c r="EL38" i="25"/>
  <c r="EK38" i="25"/>
  <c r="EJ38" i="25"/>
  <c r="EI38" i="25"/>
  <c r="EH38" i="25"/>
  <c r="EG38" i="25"/>
  <c r="EF38" i="25"/>
  <c r="EE38" i="25"/>
  <c r="ED38" i="25"/>
  <c r="EC38" i="25"/>
  <c r="EB38" i="25"/>
  <c r="ET37" i="25"/>
  <c r="ES37" i="25"/>
  <c r="ER37" i="25"/>
  <c r="EQ37" i="25"/>
  <c r="EP37" i="25"/>
  <c r="EO37" i="25"/>
  <c r="EN37" i="25"/>
  <c r="EM37" i="25"/>
  <c r="EL37" i="25"/>
  <c r="EK37" i="25"/>
  <c r="EJ37" i="25"/>
  <c r="EI37" i="25"/>
  <c r="EH37" i="25"/>
  <c r="EG37" i="25"/>
  <c r="EF37" i="25"/>
  <c r="EE37" i="25"/>
  <c r="ED37" i="25"/>
  <c r="EC37" i="25"/>
  <c r="EB37" i="25"/>
  <c r="ET36" i="25"/>
  <c r="ES36" i="25"/>
  <c r="ER36" i="25"/>
  <c r="EQ36" i="25"/>
  <c r="EP36" i="25"/>
  <c r="EO36" i="25"/>
  <c r="EN36" i="25"/>
  <c r="EM36" i="25"/>
  <c r="EL36" i="25"/>
  <c r="EK36" i="25"/>
  <c r="EJ36" i="25"/>
  <c r="EI36" i="25"/>
  <c r="EH36" i="25"/>
  <c r="EG36" i="25"/>
  <c r="EF36" i="25"/>
  <c r="EE36" i="25"/>
  <c r="ED36" i="25"/>
  <c r="EC36" i="25"/>
  <c r="EB36" i="25"/>
  <c r="ET35" i="25"/>
  <c r="ES35" i="25"/>
  <c r="ER35" i="25"/>
  <c r="EQ35" i="25"/>
  <c r="EP35" i="25"/>
  <c r="EO35" i="25"/>
  <c r="EN35" i="25"/>
  <c r="EM35" i="25"/>
  <c r="EL35" i="25"/>
  <c r="EK35" i="25"/>
  <c r="EJ35" i="25"/>
  <c r="EI35" i="25"/>
  <c r="EH35" i="25"/>
  <c r="EG35" i="25"/>
  <c r="EF35" i="25"/>
  <c r="EE35" i="25"/>
  <c r="ED35" i="25"/>
  <c r="EC35" i="25"/>
  <c r="EB35" i="25"/>
  <c r="I13" i="31" l="1"/>
  <c r="B58" i="202" l="1"/>
  <c r="B58" i="199" l="1"/>
  <c r="I471" i="167"/>
  <c r="I478" i="167"/>
  <c r="I473" i="167"/>
  <c r="I470" i="167"/>
  <c r="D58" i="202" s="1"/>
  <c r="I467" i="167"/>
  <c r="I464" i="167"/>
  <c r="I472" i="167"/>
  <c r="I465" i="167"/>
  <c r="I476" i="167"/>
  <c r="I466" i="167"/>
  <c r="I468" i="167"/>
  <c r="I477" i="167"/>
  <c r="I469" i="167"/>
  <c r="I474" i="167"/>
  <c r="I475" i="167"/>
  <c r="FE33" i="25" l="1"/>
  <c r="ET33" i="25"/>
  <c r="ES33" i="25"/>
  <c r="ER33" i="25"/>
  <c r="EQ33" i="25"/>
  <c r="EP33" i="25"/>
  <c r="EO33" i="25"/>
  <c r="EN33" i="25"/>
  <c r="EM33" i="25"/>
  <c r="EL33" i="25"/>
  <c r="EK33" i="25"/>
  <c r="EJ33" i="25"/>
  <c r="EI33" i="25"/>
  <c r="EH33" i="25"/>
  <c r="EG33" i="25"/>
  <c r="EF33" i="25"/>
  <c r="EE33" i="25"/>
  <c r="ED33" i="25"/>
  <c r="EC33" i="25"/>
  <c r="EB33" i="25"/>
  <c r="I73" i="202" l="1"/>
  <c r="I72" i="202"/>
  <c r="I71" i="202"/>
  <c r="I70" i="202"/>
  <c r="I69" i="202"/>
  <c r="I68" i="202"/>
  <c r="I67" i="202"/>
  <c r="I66" i="202"/>
  <c r="I65" i="202"/>
  <c r="I64" i="202"/>
  <c r="B15" i="201"/>
  <c r="B16" i="201"/>
  <c r="B17" i="201" s="1"/>
  <c r="B18" i="201" s="1"/>
  <c r="B19" i="201" s="1"/>
  <c r="B20" i="201" s="1"/>
  <c r="B21" i="201" s="1"/>
  <c r="B22" i="201" s="1"/>
  <c r="B23" i="201" s="1"/>
  <c r="B24" i="201" s="1"/>
  <c r="B25" i="201" s="1"/>
  <c r="B26" i="201" s="1"/>
  <c r="B27" i="201" s="1"/>
  <c r="B28" i="201" s="1"/>
  <c r="B29" i="201" s="1"/>
  <c r="B30" i="201" s="1"/>
  <c r="B31" i="201" s="1"/>
  <c r="B32" i="201" s="1"/>
  <c r="B33" i="201" s="1"/>
  <c r="B34" i="201" s="1"/>
  <c r="B35" i="201" s="1"/>
  <c r="H73" i="200" l="1"/>
  <c r="H72" i="200"/>
  <c r="H71" i="200"/>
  <c r="H70" i="200"/>
  <c r="H69" i="200"/>
  <c r="H68" i="200"/>
  <c r="H67" i="200"/>
  <c r="H66" i="200"/>
  <c r="H65" i="200"/>
  <c r="H64" i="200"/>
  <c r="H73" i="199"/>
  <c r="H72" i="199"/>
  <c r="H71" i="199"/>
  <c r="H70" i="199"/>
  <c r="H69" i="199"/>
  <c r="H68" i="199"/>
  <c r="H67" i="199"/>
  <c r="H66" i="199"/>
  <c r="H65" i="199"/>
  <c r="H64" i="199"/>
  <c r="H73" i="198"/>
  <c r="H72" i="198"/>
  <c r="H71" i="198"/>
  <c r="H70" i="198"/>
  <c r="H69" i="198"/>
  <c r="H68" i="198"/>
  <c r="H67" i="198"/>
  <c r="H66" i="198"/>
  <c r="H65" i="198"/>
  <c r="H64" i="198"/>
  <c r="H73" i="197"/>
  <c r="H72" i="197"/>
  <c r="H71" i="197"/>
  <c r="H70" i="197"/>
  <c r="H69" i="197"/>
  <c r="H68" i="197"/>
  <c r="H67" i="197"/>
  <c r="H66" i="197"/>
  <c r="H65" i="197"/>
  <c r="H64" i="197"/>
  <c r="H73" i="176" l="1"/>
  <c r="H72" i="176"/>
  <c r="H71" i="176"/>
  <c r="H70" i="176"/>
  <c r="H69" i="176"/>
  <c r="H68" i="176"/>
  <c r="H67" i="176"/>
  <c r="H66" i="176"/>
  <c r="H65" i="176"/>
  <c r="H64" i="176"/>
  <c r="H73" i="196"/>
  <c r="H72" i="196"/>
  <c r="H71" i="196"/>
  <c r="H70" i="196"/>
  <c r="H69" i="196"/>
  <c r="H68" i="196"/>
  <c r="H67" i="196"/>
  <c r="H66" i="196"/>
  <c r="H65" i="196"/>
  <c r="H64" i="196"/>
  <c r="H73" i="195"/>
  <c r="H72" i="195"/>
  <c r="H71" i="195"/>
  <c r="H70" i="195"/>
  <c r="H69" i="195"/>
  <c r="H68" i="195"/>
  <c r="H67" i="195"/>
  <c r="H66" i="195"/>
  <c r="H65" i="195"/>
  <c r="H64" i="195"/>
  <c r="S359" i="167" l="1"/>
  <c r="S358" i="167"/>
  <c r="S357" i="167"/>
  <c r="S356" i="167"/>
  <c r="S355" i="167"/>
  <c r="S354" i="167"/>
  <c r="S353" i="167"/>
  <c r="S352" i="167"/>
  <c r="S351" i="167"/>
  <c r="S350" i="167"/>
  <c r="S349" i="167"/>
  <c r="S348" i="167"/>
  <c r="S347" i="167"/>
  <c r="S346" i="167"/>
  <c r="S345" i="167"/>
  <c r="S344" i="167"/>
  <c r="S343" i="167"/>
  <c r="S342" i="167"/>
  <c r="S341" i="167"/>
  <c r="S340" i="167"/>
  <c r="S339" i="167"/>
  <c r="J69" i="202" l="1"/>
  <c r="J65" i="202"/>
  <c r="J73" i="202"/>
  <c r="I71" i="200"/>
  <c r="I23" i="200" s="1"/>
  <c r="I66" i="176"/>
  <c r="I69" i="200"/>
  <c r="I21" i="200" s="1"/>
  <c r="I67" i="176"/>
  <c r="I70" i="176"/>
  <c r="I71" i="197"/>
  <c r="I64" i="176"/>
  <c r="I69" i="199"/>
  <c r="I65" i="176"/>
  <c r="I71" i="176"/>
  <c r="J64" i="202"/>
  <c r="I68" i="176"/>
  <c r="I69" i="176"/>
  <c r="I70" i="197"/>
  <c r="I71" i="198"/>
  <c r="I64" i="199"/>
  <c r="I73" i="200"/>
  <c r="I25" i="200" s="1"/>
  <c r="I73" i="176"/>
  <c r="I72" i="176"/>
  <c r="J66" i="202"/>
  <c r="J67" i="202"/>
  <c r="J68" i="202"/>
  <c r="J70" i="202"/>
  <c r="J72" i="202"/>
  <c r="I72" i="200"/>
  <c r="I24" i="200" s="1"/>
  <c r="I71" i="199"/>
  <c r="J71" i="202"/>
  <c r="I69" i="198"/>
  <c r="I72" i="198"/>
  <c r="I66" i="198"/>
  <c r="I70" i="200"/>
  <c r="I22" i="200" s="1"/>
  <c r="I69" i="197"/>
  <c r="I73" i="198"/>
  <c r="I67" i="197"/>
  <c r="I72" i="199"/>
  <c r="I67" i="199"/>
  <c r="I68" i="199"/>
  <c r="I70" i="198"/>
  <c r="I65" i="200"/>
  <c r="I17" i="200" s="1"/>
  <c r="I68" i="197"/>
  <c r="I67" i="198"/>
  <c r="I64" i="197"/>
  <c r="I68" i="198"/>
  <c r="I72" i="197"/>
  <c r="I65" i="198"/>
  <c r="I67" i="200"/>
  <c r="I19" i="200" s="1"/>
  <c r="I65" i="197"/>
  <c r="I66" i="199"/>
  <c r="I64" i="198"/>
  <c r="I65" i="199"/>
  <c r="I73" i="199"/>
  <c r="I66" i="197"/>
  <c r="I73" i="197"/>
  <c r="I68" i="200"/>
  <c r="I20" i="200" s="1"/>
  <c r="I66" i="200"/>
  <c r="I18" i="200" s="1"/>
  <c r="I70" i="199"/>
  <c r="I64" i="200"/>
  <c r="I16" i="200" s="1"/>
  <c r="I64" i="195"/>
  <c r="I72" i="195"/>
  <c r="I73" i="196"/>
  <c r="I68" i="196"/>
  <c r="I67" i="195"/>
  <c r="I71" i="196"/>
  <c r="I69" i="195"/>
  <c r="I72" i="196"/>
  <c r="I68" i="195"/>
  <c r="I69" i="196"/>
  <c r="I64" i="196"/>
  <c r="I65" i="196"/>
  <c r="I71" i="195"/>
  <c r="I70" i="196"/>
  <c r="I73" i="195"/>
  <c r="I66" i="196"/>
  <c r="I66" i="195"/>
  <c r="I65" i="195"/>
  <c r="I67" i="196"/>
  <c r="I70" i="195"/>
  <c r="H66" i="139"/>
  <c r="I66" i="139" s="1"/>
  <c r="J66" i="139" s="1"/>
  <c r="H67" i="139"/>
  <c r="I67" i="139" s="1"/>
  <c r="J67" i="139" s="1"/>
  <c r="H68" i="139"/>
  <c r="I68" i="139" s="1"/>
  <c r="J68" i="139" s="1"/>
  <c r="H69" i="139"/>
  <c r="I69" i="139" s="1"/>
  <c r="J69" i="139" s="1"/>
  <c r="H70" i="139"/>
  <c r="I70" i="139" s="1"/>
  <c r="J70" i="139" s="1"/>
  <c r="H71" i="139"/>
  <c r="I71" i="139" s="1"/>
  <c r="J71" i="139" s="1"/>
  <c r="H72" i="139"/>
  <c r="I72" i="139" s="1"/>
  <c r="J72" i="139" s="1"/>
  <c r="H73" i="139"/>
  <c r="I73" i="139" s="1"/>
  <c r="J73" i="139" s="1"/>
  <c r="H65" i="139"/>
  <c r="I65" i="139" s="1"/>
  <c r="J65" i="139" s="1"/>
  <c r="H64" i="139"/>
  <c r="I64" i="139" s="1"/>
  <c r="K67" i="202" l="1"/>
  <c r="J19" i="202"/>
  <c r="I15" i="176"/>
  <c r="J65" i="176"/>
  <c r="J69" i="196"/>
  <c r="I21" i="196"/>
  <c r="J67" i="197"/>
  <c r="I18" i="197"/>
  <c r="J69" i="199"/>
  <c r="I21" i="199"/>
  <c r="J73" i="199"/>
  <c r="I25" i="199"/>
  <c r="J68" i="195"/>
  <c r="I19" i="195"/>
  <c r="I18" i="201"/>
  <c r="I24" i="196"/>
  <c r="J72" i="196"/>
  <c r="J64" i="198"/>
  <c r="I16" i="198"/>
  <c r="J73" i="198"/>
  <c r="I25" i="198"/>
  <c r="K66" i="202"/>
  <c r="J18" i="202"/>
  <c r="I21" i="201"/>
  <c r="I14" i="176"/>
  <c r="J64" i="176"/>
  <c r="I22" i="176"/>
  <c r="J72" i="176"/>
  <c r="J71" i="196"/>
  <c r="I23" i="196"/>
  <c r="J65" i="197"/>
  <c r="I16" i="197"/>
  <c r="I22" i="201"/>
  <c r="J71" i="197"/>
  <c r="I22" i="197"/>
  <c r="J66" i="199"/>
  <c r="I18" i="199"/>
  <c r="J69" i="197"/>
  <c r="I20" i="197"/>
  <c r="J66" i="198"/>
  <c r="I18" i="198"/>
  <c r="I23" i="176"/>
  <c r="J73" i="176"/>
  <c r="I20" i="176"/>
  <c r="J70" i="176"/>
  <c r="J65" i="199"/>
  <c r="I17" i="199"/>
  <c r="J69" i="195"/>
  <c r="I20" i="195"/>
  <c r="J67" i="195"/>
  <c r="I18" i="195"/>
  <c r="J70" i="195"/>
  <c r="I21" i="195"/>
  <c r="J68" i="196"/>
  <c r="I20" i="196"/>
  <c r="J65" i="198"/>
  <c r="I17" i="198"/>
  <c r="J72" i="198"/>
  <c r="I24" i="198"/>
  <c r="I24" i="201"/>
  <c r="I17" i="176"/>
  <c r="J67" i="176"/>
  <c r="J67" i="196"/>
  <c r="I19" i="196"/>
  <c r="J69" i="198"/>
  <c r="I21" i="198"/>
  <c r="I19" i="201"/>
  <c r="K71" i="202"/>
  <c r="J23" i="202"/>
  <c r="J64" i="199"/>
  <c r="I16" i="199"/>
  <c r="J66" i="195"/>
  <c r="I17" i="195"/>
  <c r="J64" i="197"/>
  <c r="I15" i="197"/>
  <c r="J71" i="199"/>
  <c r="I23" i="199"/>
  <c r="I23" i="201"/>
  <c r="I16" i="176"/>
  <c r="J66" i="176"/>
  <c r="J72" i="199"/>
  <c r="I24" i="199"/>
  <c r="J67" i="198"/>
  <c r="I19" i="198"/>
  <c r="J71" i="198"/>
  <c r="I23" i="198"/>
  <c r="J66" i="196"/>
  <c r="I18" i="196"/>
  <c r="I24" i="195"/>
  <c r="J73" i="195"/>
  <c r="J70" i="199"/>
  <c r="I22" i="199"/>
  <c r="I19" i="197"/>
  <c r="J68" i="197"/>
  <c r="I16" i="201"/>
  <c r="J70" i="197"/>
  <c r="I21" i="197"/>
  <c r="K73" i="202"/>
  <c r="J25" i="202"/>
  <c r="J64" i="196"/>
  <c r="I16" i="196"/>
  <c r="J68" i="198"/>
  <c r="I20" i="198"/>
  <c r="J70" i="196"/>
  <c r="I22" i="196"/>
  <c r="K72" i="202"/>
  <c r="J24" i="202"/>
  <c r="I19" i="176"/>
  <c r="J69" i="176"/>
  <c r="I20" i="201"/>
  <c r="J66" i="197"/>
  <c r="I17" i="197"/>
  <c r="J72" i="197"/>
  <c r="I23" i="197"/>
  <c r="J72" i="195"/>
  <c r="I23" i="195"/>
  <c r="J64" i="195"/>
  <c r="I15" i="195"/>
  <c r="J71" i="195"/>
  <c r="I22" i="195"/>
  <c r="K70" i="202"/>
  <c r="J22" i="202"/>
  <c r="I18" i="176"/>
  <c r="J68" i="176"/>
  <c r="K65" i="202"/>
  <c r="J17" i="202"/>
  <c r="J73" i="196"/>
  <c r="I25" i="196"/>
  <c r="J65" i="195"/>
  <c r="I16" i="195"/>
  <c r="J70" i="198"/>
  <c r="I22" i="198"/>
  <c r="J65" i="196"/>
  <c r="I17" i="196"/>
  <c r="I24" i="197"/>
  <c r="J73" i="197"/>
  <c r="J68" i="199"/>
  <c r="I20" i="199"/>
  <c r="K68" i="202"/>
  <c r="J20" i="202"/>
  <c r="K64" i="202"/>
  <c r="J16" i="202"/>
  <c r="I17" i="201"/>
  <c r="J67" i="199"/>
  <c r="I19" i="199"/>
  <c r="I25" i="201"/>
  <c r="I21" i="176"/>
  <c r="J71" i="176"/>
  <c r="K69" i="202"/>
  <c r="J21" i="202"/>
  <c r="I14" i="139"/>
  <c r="J64" i="139"/>
  <c r="FE20" i="25" l="1"/>
  <c r="FE21" i="25"/>
  <c r="FE22" i="25"/>
  <c r="FE23" i="25"/>
  <c r="FE24" i="25"/>
  <c r="FE25" i="25"/>
  <c r="FE26" i="25"/>
  <c r="FE27" i="25"/>
  <c r="FE28" i="25"/>
  <c r="FE29" i="25"/>
  <c r="FE30" i="25"/>
  <c r="FE31" i="25"/>
  <c r="FE32" i="25"/>
  <c r="AU9" i="25"/>
  <c r="AT9" i="25"/>
  <c r="AS9" i="25"/>
  <c r="AR9" i="25"/>
  <c r="AQ9" i="25"/>
  <c r="AP9" i="25"/>
  <c r="AO9" i="25"/>
  <c r="AN9" i="25"/>
  <c r="AM9" i="25"/>
  <c r="AL9" i="25"/>
  <c r="AK9" i="25"/>
  <c r="AJ9" i="25"/>
  <c r="AI9" i="25"/>
  <c r="AH9" i="25"/>
  <c r="AG9" i="25"/>
  <c r="AF9" i="25"/>
  <c r="AE9" i="25"/>
  <c r="AD9" i="25"/>
  <c r="AC9" i="25"/>
  <c r="AB9" i="25"/>
  <c r="AA9" i="25"/>
  <c r="Z9" i="25"/>
  <c r="V9" i="25"/>
  <c r="T9" i="25"/>
  <c r="R9" i="25"/>
  <c r="Q9" i="25"/>
  <c r="AU8" i="25"/>
  <c r="AT8" i="25"/>
  <c r="AS8" i="25"/>
  <c r="AR8" i="25"/>
  <c r="AQ8" i="25"/>
  <c r="AP8" i="25"/>
  <c r="AO8" i="25"/>
  <c r="AN8" i="25"/>
  <c r="AM8" i="25"/>
  <c r="AL8" i="25"/>
  <c r="AK8" i="25"/>
  <c r="AJ8" i="25"/>
  <c r="AI8" i="25"/>
  <c r="AH8" i="25"/>
  <c r="AG8" i="25"/>
  <c r="AF8" i="25"/>
  <c r="AE8" i="25"/>
  <c r="AD8" i="25"/>
  <c r="AC8" i="25"/>
  <c r="AB8" i="25"/>
  <c r="AA8" i="25"/>
  <c r="Z8" i="25"/>
  <c r="AU7" i="25"/>
  <c r="AT7" i="25"/>
  <c r="AS7" i="25"/>
  <c r="AR7" i="25"/>
  <c r="AQ7" i="25"/>
  <c r="AP7" i="25"/>
  <c r="AO7" i="25"/>
  <c r="AN7" i="25"/>
  <c r="AM7" i="25"/>
  <c r="AL7" i="25"/>
  <c r="AK7" i="25"/>
  <c r="AJ7" i="25"/>
  <c r="AI7" i="25"/>
  <c r="AH7" i="25"/>
  <c r="AG7" i="25"/>
  <c r="AF7" i="25"/>
  <c r="AE7" i="25"/>
  <c r="AD7" i="25"/>
  <c r="AC7" i="25"/>
  <c r="AB7" i="25"/>
  <c r="AA7" i="25"/>
  <c r="Z7" i="25"/>
  <c r="Y7" i="25"/>
  <c r="W7" i="25"/>
  <c r="V7" i="25"/>
  <c r="R7" i="25"/>
  <c r="Q7" i="25"/>
  <c r="BG9" i="25"/>
  <c r="Y9" i="25" s="1"/>
  <c r="BF9" i="25"/>
  <c r="X9" i="25" s="1"/>
  <c r="BE9" i="25"/>
  <c r="W9" i="25" s="1"/>
  <c r="BD9" i="25"/>
  <c r="BC9" i="25"/>
  <c r="U9" i="25" s="1"/>
  <c r="BB9" i="25"/>
  <c r="BA9" i="25"/>
  <c r="S9" i="25" s="1"/>
  <c r="AZ9" i="25"/>
  <c r="AY9" i="25"/>
  <c r="BG8" i="25"/>
  <c r="Y8" i="25" s="1"/>
  <c r="BF8" i="25"/>
  <c r="X8" i="25" s="1"/>
  <c r="BE8" i="25"/>
  <c r="W8" i="25" s="1"/>
  <c r="BD8" i="25"/>
  <c r="V8" i="25" s="1"/>
  <c r="BC8" i="25"/>
  <c r="U8" i="25" s="1"/>
  <c r="BB8" i="25"/>
  <c r="T8" i="25" s="1"/>
  <c r="BA8" i="25"/>
  <c r="S8" i="25" s="1"/>
  <c r="AZ8" i="25"/>
  <c r="R8" i="25" s="1"/>
  <c r="AY8" i="25"/>
  <c r="Q8" i="25" s="1"/>
  <c r="BG7" i="25"/>
  <c r="BF7" i="25"/>
  <c r="BE7" i="25"/>
  <c r="BD7" i="25"/>
  <c r="BC7" i="25"/>
  <c r="BB7" i="25"/>
  <c r="BA7" i="25"/>
  <c r="AZ7" i="25"/>
  <c r="AY7" i="25"/>
  <c r="K41" i="131" l="1"/>
  <c r="J41" i="131"/>
  <c r="I41" i="131"/>
  <c r="H41" i="131"/>
  <c r="G41" i="131"/>
  <c r="F41" i="131"/>
  <c r="E41" i="131"/>
  <c r="D41" i="131"/>
  <c r="C41" i="131"/>
  <c r="B41" i="131"/>
  <c r="K6" i="131"/>
  <c r="K3" i="131"/>
  <c r="J6" i="131"/>
  <c r="J3" i="131"/>
  <c r="I6" i="131"/>
  <c r="H3" i="131"/>
  <c r="I3" i="131"/>
  <c r="H6" i="131"/>
  <c r="G6" i="131"/>
  <c r="G3" i="131"/>
  <c r="F6" i="131"/>
  <c r="F3" i="131"/>
  <c r="B3" i="131"/>
  <c r="C3" i="131"/>
  <c r="D3" i="131"/>
  <c r="E3" i="131"/>
  <c r="D6" i="131"/>
  <c r="C6" i="131"/>
  <c r="B3" i="202" l="1"/>
  <c r="D53" i="202"/>
  <c r="D56" i="202"/>
  <c r="C56" i="202"/>
  <c r="D55" i="202"/>
  <c r="C55" i="202"/>
  <c r="D54" i="202"/>
  <c r="C54" i="202"/>
  <c r="C53" i="202"/>
  <c r="C52" i="202"/>
  <c r="B10" i="202"/>
  <c r="B11" i="202" s="1"/>
  <c r="B12" i="202" s="1"/>
  <c r="B13" i="202" s="1"/>
  <c r="B14" i="202" s="1"/>
  <c r="B15" i="202" s="1"/>
  <c r="E9" i="202"/>
  <c r="C9" i="202"/>
  <c r="B2" i="202"/>
  <c r="K2" i="131" s="1"/>
  <c r="K5" i="131" s="1"/>
  <c r="D54" i="201"/>
  <c r="D53" i="201"/>
  <c r="D56" i="201"/>
  <c r="C56" i="201"/>
  <c r="D55" i="201"/>
  <c r="C55" i="201"/>
  <c r="C54" i="201"/>
  <c r="C53" i="201"/>
  <c r="C52" i="201"/>
  <c r="B10" i="201"/>
  <c r="B11" i="201" s="1"/>
  <c r="B12" i="201" s="1"/>
  <c r="B13" i="201" s="1"/>
  <c r="B14" i="201" s="1"/>
  <c r="E9" i="201"/>
  <c r="C9" i="201"/>
  <c r="B2" i="201"/>
  <c r="J2" i="131" s="1"/>
  <c r="J5" i="131" s="1"/>
  <c r="E11" i="202" l="1" a="1"/>
  <c r="E11" i="202" s="1"/>
  <c r="J64" i="200"/>
  <c r="J65" i="200"/>
  <c r="J71" i="200"/>
  <c r="J67" i="200"/>
  <c r="J66" i="200"/>
  <c r="J68" i="200"/>
  <c r="J73" i="200"/>
  <c r="J72" i="200"/>
  <c r="J70" i="200"/>
  <c r="J69" i="200"/>
  <c r="B3" i="201"/>
  <c r="E15" i="202" a="1"/>
  <c r="E15" i="202" s="1"/>
  <c r="B16" i="202"/>
  <c r="E13" i="202" a="1"/>
  <c r="E13" i="202" s="1"/>
  <c r="E12" i="202" a="1"/>
  <c r="E12" i="202" s="1"/>
  <c r="E10" i="202" a="1"/>
  <c r="E10" i="202" s="1"/>
  <c r="E14" i="202" a="1"/>
  <c r="E14" i="202" s="1"/>
  <c r="E15" i="201" a="1"/>
  <c r="E15" i="201" s="1"/>
  <c r="E17" i="201" a="1"/>
  <c r="E17" i="201" s="1"/>
  <c r="E11" i="201" a="1"/>
  <c r="E11" i="201" s="1"/>
  <c r="E14" i="201" a="1"/>
  <c r="E14" i="201" s="1"/>
  <c r="E12" i="201" a="1"/>
  <c r="E12" i="201" s="1"/>
  <c r="E10" i="201" a="1"/>
  <c r="E10" i="201" s="1"/>
  <c r="E13" i="201" a="1"/>
  <c r="E13" i="201" s="1"/>
  <c r="E16" i="201" a="1"/>
  <c r="E16" i="201" s="1"/>
  <c r="B17" i="202" l="1"/>
  <c r="E16" i="202" a="1"/>
  <c r="E16" i="202" s="1"/>
  <c r="B18" i="202" l="1"/>
  <c r="E17" i="202" a="1"/>
  <c r="E17" i="202" s="1"/>
  <c r="E18" i="201" a="1"/>
  <c r="E18" i="201" s="1"/>
  <c r="B19" i="202" l="1"/>
  <c r="E18" i="202" a="1"/>
  <c r="E18" i="202" s="1"/>
  <c r="E19" i="201" a="1"/>
  <c r="E19" i="201" s="1"/>
  <c r="B20" i="202" l="1"/>
  <c r="E19" i="202" a="1"/>
  <c r="E19" i="202" s="1"/>
  <c r="E20" i="201" a="1"/>
  <c r="E20" i="201" s="1"/>
  <c r="B21" i="202" l="1"/>
  <c r="E20" i="202" a="1"/>
  <c r="E20" i="202" s="1"/>
  <c r="E21" i="201" a="1"/>
  <c r="E21" i="201" s="1"/>
  <c r="B22" i="202" l="1"/>
  <c r="E21" i="202" a="1"/>
  <c r="E21" i="202" s="1"/>
  <c r="E22" i="201" a="1"/>
  <c r="E22" i="201" s="1"/>
  <c r="B23" i="202" l="1"/>
  <c r="E22" i="202" a="1"/>
  <c r="E22" i="202" s="1"/>
  <c r="E23" i="201" a="1"/>
  <c r="E23" i="201" s="1"/>
  <c r="B24" i="202" l="1"/>
  <c r="E23" i="202" a="1"/>
  <c r="E23" i="202" s="1"/>
  <c r="E24" i="201" a="1"/>
  <c r="E24" i="201" s="1"/>
  <c r="B25" i="202" l="1"/>
  <c r="E24" i="202" a="1"/>
  <c r="E24" i="202" s="1"/>
  <c r="E25" i="201" a="1"/>
  <c r="E25" i="201" s="1"/>
  <c r="B26" i="202" l="1"/>
  <c r="E25" i="202" a="1"/>
  <c r="E25" i="202" s="1"/>
  <c r="E26" i="201" a="1"/>
  <c r="E26" i="201" s="1"/>
  <c r="B27" i="202" l="1"/>
  <c r="E26" i="202" a="1"/>
  <c r="E26" i="202" s="1"/>
  <c r="E27" i="201" a="1"/>
  <c r="E27" i="201" s="1"/>
  <c r="B28" i="202" l="1"/>
  <c r="E27" i="202" a="1"/>
  <c r="E27" i="202" s="1"/>
  <c r="E28" i="201" a="1"/>
  <c r="E28" i="201" s="1"/>
  <c r="B29" i="202" l="1"/>
  <c r="E28" i="202" a="1"/>
  <c r="E28" i="202" s="1"/>
  <c r="E29" i="201" a="1"/>
  <c r="E29" i="201" s="1"/>
  <c r="B30" i="202" l="1"/>
  <c r="E29" i="202" a="1"/>
  <c r="E29" i="202" s="1"/>
  <c r="E30" i="201" a="1"/>
  <c r="E30" i="201" s="1"/>
  <c r="B31" i="202" l="1"/>
  <c r="E30" i="202" a="1"/>
  <c r="E30" i="202" s="1"/>
  <c r="E31" i="201" a="1"/>
  <c r="E31" i="201" s="1"/>
  <c r="B32" i="202" l="1"/>
  <c r="E31" i="202" a="1"/>
  <c r="E31" i="202" s="1"/>
  <c r="E32" i="201" a="1"/>
  <c r="E32" i="201" s="1"/>
  <c r="E33" i="201" s="1"/>
  <c r="E34" i="201" s="1"/>
  <c r="E35" i="201" s="1"/>
  <c r="B33" i="202" l="1"/>
  <c r="B34" i="202" s="1"/>
  <c r="B35" i="202" s="1"/>
  <c r="B36" i="202" s="1"/>
  <c r="B37" i="202" s="1"/>
  <c r="B38" i="202" s="1"/>
  <c r="B39" i="202" s="1"/>
  <c r="B40" i="202" s="1"/>
  <c r="B41" i="202" s="1"/>
  <c r="B42" i="202" s="1"/>
  <c r="B43" i="202" s="1"/>
  <c r="B44" i="202" s="1"/>
  <c r="B45" i="202" s="1"/>
  <c r="B46" i="202" s="1"/>
  <c r="E32" i="202" a="1"/>
  <c r="E32" i="202" s="1"/>
  <c r="E33" i="202" s="1"/>
  <c r="E34" i="202" s="1"/>
  <c r="E35" i="202" s="1"/>
  <c r="E36" i="202" s="1"/>
  <c r="E37" i="202" s="1"/>
  <c r="E38" i="202" s="1"/>
  <c r="E39" i="202" s="1"/>
  <c r="E40" i="202" s="1"/>
  <c r="E41" i="202" s="1"/>
  <c r="E42" i="202" s="1"/>
  <c r="E43" i="202" s="1"/>
  <c r="E44" i="202" s="1"/>
  <c r="E45" i="202" s="1"/>
  <c r="E46" i="202" s="1"/>
  <c r="B3" i="200" l="1"/>
  <c r="D56" i="200"/>
  <c r="C56" i="200"/>
  <c r="D55" i="200"/>
  <c r="C55" i="200"/>
  <c r="C54" i="200"/>
  <c r="C53" i="200"/>
  <c r="C52" i="200"/>
  <c r="B10" i="200"/>
  <c r="B11" i="200" s="1"/>
  <c r="B12" i="200" s="1"/>
  <c r="B13" i="200" s="1"/>
  <c r="B14" i="200" s="1"/>
  <c r="B15" i="200" s="1"/>
  <c r="B16" i="200" s="1"/>
  <c r="B17" i="200" s="1"/>
  <c r="E9" i="200"/>
  <c r="C9" i="200"/>
  <c r="B2" i="200"/>
  <c r="I2" i="131" s="1"/>
  <c r="I5" i="131" s="1"/>
  <c r="D53" i="200" l="1"/>
  <c r="D54" i="200"/>
  <c r="B18" i="200"/>
  <c r="E12" i="200" a="1"/>
  <c r="E12" i="200" s="1"/>
  <c r="E16" i="200" a="1"/>
  <c r="E16" i="200" s="1"/>
  <c r="E13" i="200" a="1"/>
  <c r="E13" i="200" s="1"/>
  <c r="E17" i="200" a="1"/>
  <c r="E17" i="200" s="1"/>
  <c r="E10" i="200" a="1"/>
  <c r="E10" i="200" s="1"/>
  <c r="E15" i="200" a="1"/>
  <c r="E15" i="200" s="1"/>
  <c r="E11" i="200" a="1"/>
  <c r="E11" i="200" s="1"/>
  <c r="E18" i="200" a="1"/>
  <c r="E18" i="200" s="1"/>
  <c r="E14" i="200" a="1"/>
  <c r="E14" i="200" s="1"/>
  <c r="B19" i="200" l="1"/>
  <c r="B20" i="200" l="1"/>
  <c r="E19" i="200" a="1"/>
  <c r="E19" i="200" s="1"/>
  <c r="B21" i="200" l="1"/>
  <c r="E20" i="200" a="1"/>
  <c r="E20" i="200" s="1"/>
  <c r="B22" i="200" l="1"/>
  <c r="E21" i="200" a="1"/>
  <c r="E21" i="200" s="1"/>
  <c r="B23" i="200" l="1"/>
  <c r="E22" i="200" a="1"/>
  <c r="E22" i="200" s="1"/>
  <c r="B24" i="200" l="1"/>
  <c r="E23" i="200" a="1"/>
  <c r="E23" i="200" s="1"/>
  <c r="B25" i="200" l="1"/>
  <c r="E24" i="200" a="1"/>
  <c r="E24" i="200" s="1"/>
  <c r="B26" i="200" l="1"/>
  <c r="E25" i="200" a="1"/>
  <c r="E25" i="200" s="1"/>
  <c r="B27" i="200" l="1"/>
  <c r="E26" i="200" a="1"/>
  <c r="E26" i="200" s="1"/>
  <c r="B28" i="200" l="1"/>
  <c r="E27" i="200" a="1"/>
  <c r="E27" i="200" s="1"/>
  <c r="B29" i="200" l="1"/>
  <c r="E28" i="200" a="1"/>
  <c r="E28" i="200" s="1"/>
  <c r="B30" i="200" l="1"/>
  <c r="E29" i="200" a="1"/>
  <c r="E29" i="200" s="1"/>
  <c r="B31" i="200" l="1"/>
  <c r="E30" i="200" a="1"/>
  <c r="E30" i="200" s="1"/>
  <c r="B32" i="200" l="1"/>
  <c r="E31" i="200" a="1"/>
  <c r="E31" i="200" s="1"/>
  <c r="B33" i="200" l="1"/>
  <c r="B34" i="200" s="1"/>
  <c r="B35" i="200" s="1"/>
  <c r="B36" i="200" s="1"/>
  <c r="B37" i="200" s="1"/>
  <c r="B38" i="200" s="1"/>
  <c r="B39" i="200" s="1"/>
  <c r="B40" i="200" s="1"/>
  <c r="B41" i="200" s="1"/>
  <c r="B42" i="200" s="1"/>
  <c r="B43" i="200" s="1"/>
  <c r="B44" i="200" s="1"/>
  <c r="B45" i="200" s="1"/>
  <c r="B46" i="200" s="1"/>
  <c r="E32" i="200" a="1"/>
  <c r="E32" i="200" s="1"/>
  <c r="E33" i="200" s="1"/>
  <c r="E34" i="200" s="1"/>
  <c r="E35" i="200" s="1"/>
  <c r="E36" i="200" s="1"/>
  <c r="E37" i="200" s="1"/>
  <c r="E38" i="200" s="1"/>
  <c r="E39" i="200" s="1"/>
  <c r="E40" i="200" s="1"/>
  <c r="E41" i="200" s="1"/>
  <c r="E42" i="200" s="1"/>
  <c r="E43" i="200" s="1"/>
  <c r="E44" i="200" s="1"/>
  <c r="E45" i="200" s="1"/>
  <c r="E46" i="200" s="1"/>
  <c r="E9" i="199" l="1"/>
  <c r="E9" i="198"/>
  <c r="E9" i="197"/>
  <c r="E9" i="176"/>
  <c r="E9" i="196"/>
  <c r="E9" i="195"/>
  <c r="E9" i="139"/>
  <c r="E135" i="167"/>
  <c r="E134" i="167"/>
  <c r="J76" i="200" s="1"/>
  <c r="E133" i="167"/>
  <c r="J76" i="199" s="1"/>
  <c r="C9" i="199"/>
  <c r="C9" i="198"/>
  <c r="C9" i="197"/>
  <c r="C9" i="176"/>
  <c r="C9" i="196"/>
  <c r="C9" i="195"/>
  <c r="C9" i="139"/>
  <c r="D56" i="199"/>
  <c r="C56" i="199"/>
  <c r="D55" i="199"/>
  <c r="C55" i="199"/>
  <c r="D54" i="199"/>
  <c r="C54" i="199"/>
  <c r="C53" i="199"/>
  <c r="C52" i="199"/>
  <c r="B10" i="199"/>
  <c r="B11" i="199" s="1"/>
  <c r="B3" i="199"/>
  <c r="B2" i="199"/>
  <c r="H2" i="131" s="1"/>
  <c r="H5" i="131" s="1"/>
  <c r="D54" i="198"/>
  <c r="D53" i="198"/>
  <c r="D56" i="198"/>
  <c r="C56" i="198"/>
  <c r="D55" i="198"/>
  <c r="C55" i="198"/>
  <c r="C54" i="198"/>
  <c r="C53" i="198"/>
  <c r="C52" i="198"/>
  <c r="B10" i="198"/>
  <c r="B11" i="198" s="1"/>
  <c r="B12" i="198" s="1"/>
  <c r="B2" i="198"/>
  <c r="G2" i="131" s="1"/>
  <c r="G5" i="131" s="1"/>
  <c r="B3" i="197"/>
  <c r="D53" i="197"/>
  <c r="D56" i="197"/>
  <c r="C56" i="197"/>
  <c r="D55" i="197"/>
  <c r="C55" i="197"/>
  <c r="C54" i="197"/>
  <c r="C53" i="197"/>
  <c r="C52" i="197"/>
  <c r="B10" i="197"/>
  <c r="B11" i="197" s="1"/>
  <c r="B12" i="197" s="1"/>
  <c r="B13" i="197" s="1"/>
  <c r="B14" i="197" s="1"/>
  <c r="B2" i="197"/>
  <c r="F2" i="131" s="1"/>
  <c r="F5" i="131" s="1"/>
  <c r="B3" i="196"/>
  <c r="D53" i="196"/>
  <c r="D56" i="196"/>
  <c r="C56" i="196"/>
  <c r="D55" i="196"/>
  <c r="C55" i="196"/>
  <c r="C54" i="196"/>
  <c r="C53" i="196"/>
  <c r="C52" i="196"/>
  <c r="B10" i="196"/>
  <c r="B11" i="196" s="1"/>
  <c r="B2" i="196"/>
  <c r="D2" i="131" s="1"/>
  <c r="D5" i="131" s="1"/>
  <c r="D54" i="195"/>
  <c r="D53" i="195"/>
  <c r="D56" i="195"/>
  <c r="C56" i="195"/>
  <c r="D55" i="195"/>
  <c r="C55" i="195"/>
  <c r="C54" i="195"/>
  <c r="C53" i="195"/>
  <c r="C52" i="195"/>
  <c r="B10" i="195"/>
  <c r="B11" i="195" s="1"/>
  <c r="B12" i="195" s="1"/>
  <c r="B13" i="195" s="1"/>
  <c r="B14" i="195" s="1"/>
  <c r="B2" i="195"/>
  <c r="C2" i="131" s="1"/>
  <c r="C5" i="131" s="1"/>
  <c r="E10" i="198" l="1" a="1"/>
  <c r="E10" i="198" s="1"/>
  <c r="E10" i="199" a="1"/>
  <c r="E10" i="199" s="1"/>
  <c r="B3" i="198"/>
  <c r="D53" i="199"/>
  <c r="D54" i="197"/>
  <c r="D54" i="196"/>
  <c r="B3" i="195"/>
  <c r="B12" i="199"/>
  <c r="B13" i="199" s="1"/>
  <c r="B14" i="199" s="1"/>
  <c r="E11" i="199" a="1"/>
  <c r="E11" i="199" s="1"/>
  <c r="B13" i="198"/>
  <c r="E12" i="198" a="1"/>
  <c r="E12" i="198" s="1"/>
  <c r="E11" i="198" a="1"/>
  <c r="E11" i="198" s="1"/>
  <c r="B15" i="197"/>
  <c r="E15" i="197" s="1" a="1"/>
  <c r="E15" i="197" s="1"/>
  <c r="E11" i="197" a="1"/>
  <c r="E11" i="197" s="1"/>
  <c r="E12" i="197" a="1"/>
  <c r="E12" i="197" s="1"/>
  <c r="E10" i="197" a="1"/>
  <c r="E10" i="197" s="1"/>
  <c r="E13" i="197" a="1"/>
  <c r="E13" i="197" s="1"/>
  <c r="E14" i="197" a="1"/>
  <c r="E14" i="197" s="1"/>
  <c r="B12" i="196"/>
  <c r="E11" i="196" a="1"/>
  <c r="E11" i="196" s="1"/>
  <c r="E10" i="196" a="1"/>
  <c r="E10" i="196" s="1"/>
  <c r="B15" i="195"/>
  <c r="E11" i="195" a="1"/>
  <c r="E11" i="195" s="1"/>
  <c r="E15" i="195" a="1"/>
  <c r="E15" i="195" s="1"/>
  <c r="E13" i="195" a="1"/>
  <c r="E13" i="195" s="1"/>
  <c r="E10" i="195" a="1"/>
  <c r="E10" i="195" s="1"/>
  <c r="E12" i="195" a="1"/>
  <c r="E12" i="195" s="1"/>
  <c r="E14" i="195" a="1"/>
  <c r="E14" i="195" s="1"/>
  <c r="E13" i="199" l="1" a="1"/>
  <c r="E13" i="199" s="1"/>
  <c r="B15" i="199"/>
  <c r="E14" i="199" a="1"/>
  <c r="E14" i="199" s="1"/>
  <c r="E12" i="199" a="1"/>
  <c r="E12" i="199" s="1"/>
  <c r="E13" i="198" a="1"/>
  <c r="E13" i="198" s="1"/>
  <c r="B14" i="198"/>
  <c r="B16" i="197"/>
  <c r="E12" i="196" a="1"/>
  <c r="E12" i="196" s="1"/>
  <c r="B13" i="196"/>
  <c r="B16" i="195"/>
  <c r="B16" i="199" l="1"/>
  <c r="E15" i="199" a="1"/>
  <c r="E15" i="199" s="1"/>
  <c r="B15" i="198"/>
  <c r="E14" i="198" a="1"/>
  <c r="E14" i="198" s="1"/>
  <c r="B17" i="197"/>
  <c r="E16" i="197" a="1"/>
  <c r="E16" i="197" s="1"/>
  <c r="B14" i="196"/>
  <c r="E13" i="196" a="1"/>
  <c r="E13" i="196" s="1"/>
  <c r="B17" i="195"/>
  <c r="E16" i="195" a="1"/>
  <c r="E16" i="195" s="1"/>
  <c r="B17" i="199" l="1"/>
  <c r="E16" i="199" a="1"/>
  <c r="E16" i="199" s="1"/>
  <c r="B16" i="198"/>
  <c r="E15" i="198" a="1"/>
  <c r="E15" i="198" s="1"/>
  <c r="B18" i="197"/>
  <c r="E17" i="197" a="1"/>
  <c r="E17" i="197" s="1"/>
  <c r="B15" i="196"/>
  <c r="E14" i="196" a="1"/>
  <c r="E14" i="196" s="1"/>
  <c r="B18" i="195"/>
  <c r="E17" i="195" a="1"/>
  <c r="E17" i="195" s="1"/>
  <c r="B18" i="199" l="1"/>
  <c r="E17" i="199" a="1"/>
  <c r="E17" i="199" s="1"/>
  <c r="B17" i="198"/>
  <c r="E16" i="198" a="1"/>
  <c r="E16" i="198" s="1"/>
  <c r="B19" i="197"/>
  <c r="E18" i="197" a="1"/>
  <c r="E18" i="197" s="1"/>
  <c r="B16" i="196"/>
  <c r="E15" i="196" a="1"/>
  <c r="E15" i="196" s="1"/>
  <c r="B19" i="195"/>
  <c r="E18" i="195" a="1"/>
  <c r="E18" i="195" s="1"/>
  <c r="B19" i="199" l="1"/>
  <c r="E18" i="199" a="1"/>
  <c r="E18" i="199" s="1"/>
  <c r="E17" i="198" a="1"/>
  <c r="E17" i="198" s="1"/>
  <c r="B18" i="198"/>
  <c r="B20" i="197"/>
  <c r="E19" i="197" a="1"/>
  <c r="E19" i="197" s="1"/>
  <c r="B17" i="196"/>
  <c r="E16" i="196" a="1"/>
  <c r="E16" i="196" s="1"/>
  <c r="B20" i="195"/>
  <c r="E19" i="195" a="1"/>
  <c r="E19" i="195" s="1"/>
  <c r="B20" i="199" l="1"/>
  <c r="E19" i="199" a="1"/>
  <c r="E19" i="199" s="1"/>
  <c r="B19" i="198"/>
  <c r="E18" i="198" a="1"/>
  <c r="E18" i="198" s="1"/>
  <c r="B21" i="197"/>
  <c r="E20" i="197" a="1"/>
  <c r="E20" i="197" s="1"/>
  <c r="B18" i="196"/>
  <c r="E17" i="196" a="1"/>
  <c r="E17" i="196" s="1"/>
  <c r="B21" i="195"/>
  <c r="E20" i="195" a="1"/>
  <c r="E20" i="195" s="1"/>
  <c r="B21" i="199" l="1"/>
  <c r="E20" i="199" a="1"/>
  <c r="E20" i="199" s="1"/>
  <c r="E19" i="198" a="1"/>
  <c r="E19" i="198" s="1"/>
  <c r="B20" i="198"/>
  <c r="B22" i="197"/>
  <c r="E21" i="197" a="1"/>
  <c r="E21" i="197" s="1"/>
  <c r="B19" i="196"/>
  <c r="E18" i="196" a="1"/>
  <c r="E18" i="196" s="1"/>
  <c r="B22" i="195"/>
  <c r="E21" i="195" a="1"/>
  <c r="E21" i="195" s="1"/>
  <c r="B22" i="199" l="1"/>
  <c r="E21" i="199" a="1"/>
  <c r="E21" i="199" s="1"/>
  <c r="E20" i="198" a="1"/>
  <c r="E20" i="198" s="1"/>
  <c r="B21" i="198"/>
  <c r="B23" i="197"/>
  <c r="E22" i="197" a="1"/>
  <c r="E22" i="197" s="1"/>
  <c r="B20" i="196"/>
  <c r="E19" i="196" a="1"/>
  <c r="E19" i="196" s="1"/>
  <c r="B23" i="195"/>
  <c r="E22" i="195" a="1"/>
  <c r="E22" i="195" s="1"/>
  <c r="B23" i="199" l="1"/>
  <c r="E22" i="199" a="1"/>
  <c r="E22" i="199" s="1"/>
  <c r="B22" i="198"/>
  <c r="E21" i="198" a="1"/>
  <c r="E21" i="198" s="1"/>
  <c r="B24" i="197"/>
  <c r="E23" i="197" a="1"/>
  <c r="E23" i="197" s="1"/>
  <c r="E20" i="196" a="1"/>
  <c r="E20" i="196" s="1"/>
  <c r="B21" i="196"/>
  <c r="B24" i="195"/>
  <c r="E23" i="195" a="1"/>
  <c r="E23" i="195" s="1"/>
  <c r="B24" i="199" l="1"/>
  <c r="E23" i="199" a="1"/>
  <c r="E23" i="199" s="1"/>
  <c r="E22" i="198" a="1"/>
  <c r="E22" i="198" s="1"/>
  <c r="B23" i="198"/>
  <c r="B25" i="197"/>
  <c r="E24" i="197" a="1"/>
  <c r="E24" i="197" s="1"/>
  <c r="B22" i="196"/>
  <c r="E21" i="196" a="1"/>
  <c r="E21" i="196" s="1"/>
  <c r="B25" i="195"/>
  <c r="E24" i="195" a="1"/>
  <c r="E24" i="195" s="1"/>
  <c r="B25" i="199" l="1"/>
  <c r="E24" i="199" a="1"/>
  <c r="E24" i="199" s="1"/>
  <c r="E23" i="198" a="1"/>
  <c r="E23" i="198" s="1"/>
  <c r="B24" i="198"/>
  <c r="B26" i="197"/>
  <c r="E25" i="197" a="1"/>
  <c r="E25" i="197" s="1"/>
  <c r="B23" i="196"/>
  <c r="E22" i="196" a="1"/>
  <c r="E22" i="196" s="1"/>
  <c r="B26" i="195"/>
  <c r="E25" i="195" a="1"/>
  <c r="E25" i="195" s="1"/>
  <c r="B26" i="199" l="1"/>
  <c r="E25" i="199" a="1"/>
  <c r="E25" i="199" s="1"/>
  <c r="B25" i="198"/>
  <c r="E24" i="198" a="1"/>
  <c r="E24" i="198" s="1"/>
  <c r="B27" i="197"/>
  <c r="E26" i="197" a="1"/>
  <c r="E26" i="197" s="1"/>
  <c r="E23" i="196" a="1"/>
  <c r="E23" i="196" s="1"/>
  <c r="B24" i="196"/>
  <c r="B27" i="195"/>
  <c r="E26" i="195" a="1"/>
  <c r="E26" i="195" s="1"/>
  <c r="B27" i="199" l="1"/>
  <c r="E26" i="199" a="1"/>
  <c r="E26" i="199" s="1"/>
  <c r="E25" i="198" a="1"/>
  <c r="E25" i="198" s="1"/>
  <c r="B26" i="198"/>
  <c r="B28" i="197"/>
  <c r="E27" i="197" a="1"/>
  <c r="E27" i="197" s="1"/>
  <c r="B25" i="196"/>
  <c r="E24" i="196" a="1"/>
  <c r="E24" i="196" s="1"/>
  <c r="B28" i="195"/>
  <c r="E27" i="195" a="1"/>
  <c r="E27" i="195" s="1"/>
  <c r="B28" i="199" l="1"/>
  <c r="E27" i="199" a="1"/>
  <c r="E27" i="199" s="1"/>
  <c r="B27" i="198"/>
  <c r="E26" i="198" a="1"/>
  <c r="E26" i="198" s="1"/>
  <c r="B29" i="197"/>
  <c r="E28" i="197" a="1"/>
  <c r="E28" i="197" s="1"/>
  <c r="B26" i="196"/>
  <c r="E25" i="196" a="1"/>
  <c r="E25" i="196" s="1"/>
  <c r="B29" i="195"/>
  <c r="E28" i="195" a="1"/>
  <c r="E28" i="195" s="1"/>
  <c r="B29" i="199" l="1"/>
  <c r="E28" i="199" a="1"/>
  <c r="E28" i="199" s="1"/>
  <c r="E27" i="198" a="1"/>
  <c r="E27" i="198" s="1"/>
  <c r="B28" i="198"/>
  <c r="B30" i="197"/>
  <c r="E29" i="197" a="1"/>
  <c r="E29" i="197" s="1"/>
  <c r="B27" i="196"/>
  <c r="E26" i="196" a="1"/>
  <c r="E26" i="196" s="1"/>
  <c r="B30" i="195"/>
  <c r="E29" i="195" a="1"/>
  <c r="E29" i="195" s="1"/>
  <c r="B30" i="199" l="1"/>
  <c r="E29" i="199" a="1"/>
  <c r="E29" i="199" s="1"/>
  <c r="B29" i="198"/>
  <c r="E28" i="198" a="1"/>
  <c r="E28" i="198" s="1"/>
  <c r="B31" i="197"/>
  <c r="E30" i="197" a="1"/>
  <c r="E30" i="197" s="1"/>
  <c r="B28" i="196"/>
  <c r="E27" i="196" a="1"/>
  <c r="E27" i="196" s="1"/>
  <c r="B31" i="195"/>
  <c r="E30" i="195" a="1"/>
  <c r="E30" i="195" s="1"/>
  <c r="B31" i="199" l="1"/>
  <c r="E30" i="199" a="1"/>
  <c r="E30" i="199" s="1"/>
  <c r="E29" i="198" a="1"/>
  <c r="E29" i="198" s="1"/>
  <c r="B30" i="198"/>
  <c r="B32" i="197"/>
  <c r="E31" i="197" a="1"/>
  <c r="E31" i="197" s="1"/>
  <c r="B29" i="196"/>
  <c r="E28" i="196" a="1"/>
  <c r="E28" i="196" s="1"/>
  <c r="B32" i="195"/>
  <c r="E31" i="195" a="1"/>
  <c r="E31" i="195" s="1"/>
  <c r="B32" i="199" l="1"/>
  <c r="E31" i="199" a="1"/>
  <c r="E31" i="199" s="1"/>
  <c r="B31" i="198"/>
  <c r="E30" i="198" a="1"/>
  <c r="E30" i="198" s="1"/>
  <c r="B33" i="197"/>
  <c r="B34" i="197" s="1"/>
  <c r="B35" i="197" s="1"/>
  <c r="B36" i="197" s="1"/>
  <c r="B37" i="197" s="1"/>
  <c r="B38" i="197" s="1"/>
  <c r="B39" i="197" s="1"/>
  <c r="B40" i="197" s="1"/>
  <c r="B41" i="197" s="1"/>
  <c r="B42" i="197" s="1"/>
  <c r="B43" i="197" s="1"/>
  <c r="B44" i="197" s="1"/>
  <c r="B45" i="197" s="1"/>
  <c r="B46" i="197" s="1"/>
  <c r="E32" i="197" a="1"/>
  <c r="E32" i="197" s="1"/>
  <c r="E33" i="197" s="1"/>
  <c r="E34" i="197" s="1"/>
  <c r="E35" i="197" s="1"/>
  <c r="E36" i="197" s="1"/>
  <c r="E37" i="197" s="1"/>
  <c r="E38" i="197" s="1"/>
  <c r="E39" i="197" s="1"/>
  <c r="E40" i="197" s="1"/>
  <c r="E41" i="197" s="1"/>
  <c r="E42" i="197" s="1"/>
  <c r="E43" i="197" s="1"/>
  <c r="E44" i="197" s="1"/>
  <c r="E45" i="197" s="1"/>
  <c r="E46" i="197" s="1"/>
  <c r="B30" i="196"/>
  <c r="E29" i="196" a="1"/>
  <c r="E29" i="196" s="1"/>
  <c r="B33" i="195"/>
  <c r="E32" i="195" a="1"/>
  <c r="E32" i="195" s="1"/>
  <c r="E33" i="195" s="1"/>
  <c r="E34" i="195" s="1"/>
  <c r="E35" i="195" s="1"/>
  <c r="E36" i="195" s="1"/>
  <c r="E37" i="195" s="1"/>
  <c r="E38" i="195" s="1"/>
  <c r="E39" i="195" s="1"/>
  <c r="E40" i="195" s="1"/>
  <c r="E41" i="195" s="1"/>
  <c r="E42" i="195" s="1"/>
  <c r="E43" i="195" s="1"/>
  <c r="E44" i="195" s="1"/>
  <c r="E45" i="195" s="1"/>
  <c r="E46" i="195" s="1"/>
  <c r="B34" i="195" l="1"/>
  <c r="B33" i="199"/>
  <c r="B34" i="199" s="1"/>
  <c r="B35" i="199" s="1"/>
  <c r="B36" i="199" s="1"/>
  <c r="B37" i="199" s="1"/>
  <c r="B38" i="199" s="1"/>
  <c r="B39" i="199" s="1"/>
  <c r="B40" i="199" s="1"/>
  <c r="B41" i="199" s="1"/>
  <c r="B42" i="199" s="1"/>
  <c r="B43" i="199" s="1"/>
  <c r="B44" i="199" s="1"/>
  <c r="B45" i="199" s="1"/>
  <c r="B46" i="199" s="1"/>
  <c r="E32" i="199" a="1"/>
  <c r="E32" i="199" s="1"/>
  <c r="E33" i="199" s="1"/>
  <c r="E34" i="199" s="1"/>
  <c r="E35" i="199" s="1"/>
  <c r="E36" i="199" s="1"/>
  <c r="E37" i="199" s="1"/>
  <c r="E38" i="199" s="1"/>
  <c r="E39" i="199" s="1"/>
  <c r="E40" i="199" s="1"/>
  <c r="E41" i="199" s="1"/>
  <c r="E42" i="199" s="1"/>
  <c r="E43" i="199" s="1"/>
  <c r="E44" i="199" s="1"/>
  <c r="E45" i="199" s="1"/>
  <c r="E46" i="199" s="1"/>
  <c r="B32" i="198"/>
  <c r="E31" i="198" a="1"/>
  <c r="E31" i="198" s="1"/>
  <c r="B31" i="196"/>
  <c r="E30" i="196" a="1"/>
  <c r="E30" i="196" s="1"/>
  <c r="B35" i="195" l="1"/>
  <c r="E32" i="198" a="1"/>
  <c r="E32" i="198" s="1"/>
  <c r="E33" i="198" s="1"/>
  <c r="E34" i="198" s="1"/>
  <c r="E35" i="198" s="1"/>
  <c r="E36" i="198" s="1"/>
  <c r="E37" i="198" s="1"/>
  <c r="E38" i="198" s="1"/>
  <c r="E39" i="198" s="1"/>
  <c r="E40" i="198" s="1"/>
  <c r="E41" i="198" s="1"/>
  <c r="E42" i="198" s="1"/>
  <c r="E43" i="198" s="1"/>
  <c r="E44" i="198" s="1"/>
  <c r="E45" i="198" s="1"/>
  <c r="E46" i="198" s="1"/>
  <c r="B33" i="198"/>
  <c r="B32" i="196"/>
  <c r="E31" i="196" a="1"/>
  <c r="E31" i="196" s="1"/>
  <c r="B34" i="198" l="1"/>
  <c r="B36" i="195"/>
  <c r="B33" i="196"/>
  <c r="E32" i="196" a="1"/>
  <c r="E32" i="196" s="1"/>
  <c r="E33" i="196" s="1"/>
  <c r="E34" i="196" s="1"/>
  <c r="E35" i="196" s="1"/>
  <c r="E36" i="196" s="1"/>
  <c r="E37" i="196" s="1"/>
  <c r="E38" i="196" s="1"/>
  <c r="E39" i="196" s="1"/>
  <c r="E40" i="196" s="1"/>
  <c r="E41" i="196" s="1"/>
  <c r="E42" i="196" s="1"/>
  <c r="E43" i="196" s="1"/>
  <c r="E44" i="196" s="1"/>
  <c r="E45" i="196" s="1"/>
  <c r="E46" i="196" s="1"/>
  <c r="B35" i="198" l="1"/>
  <c r="B34" i="196"/>
  <c r="B37" i="195"/>
  <c r="FE9" i="25"/>
  <c r="B36" i="198" l="1"/>
  <c r="B35" i="196"/>
  <c r="B38" i="195"/>
  <c r="B37" i="198" l="1"/>
  <c r="B36" i="196"/>
  <c r="B39" i="195"/>
  <c r="B6" i="131"/>
  <c r="B38" i="198" l="1"/>
  <c r="B37" i="196"/>
  <c r="B40" i="195"/>
  <c r="B39" i="198" l="1"/>
  <c r="B38" i="196"/>
  <c r="B41" i="195"/>
  <c r="P7" i="25"/>
  <c r="AX7" i="25"/>
  <c r="B40" i="198" l="1"/>
  <c r="B39" i="196"/>
  <c r="B42" i="195"/>
  <c r="B41" i="198" l="1"/>
  <c r="B40" i="196"/>
  <c r="B43" i="195"/>
  <c r="M17" i="28"/>
  <c r="M19" i="28"/>
  <c r="M21" i="28"/>
  <c r="M23" i="28"/>
  <c r="M25" i="28"/>
  <c r="M27" i="28"/>
  <c r="M76" i="28"/>
  <c r="M78" i="28"/>
  <c r="M84" i="28"/>
  <c r="M86" i="28"/>
  <c r="M88" i="28"/>
  <c r="M90" i="28"/>
  <c r="M96" i="28"/>
  <c r="M98" i="28"/>
  <c r="M102" i="28"/>
  <c r="M103" i="28"/>
  <c r="M104" i="28"/>
  <c r="M105" i="28"/>
  <c r="M106" i="28"/>
  <c r="M107" i="28"/>
  <c r="M108" i="28"/>
  <c r="M109" i="28"/>
  <c r="M110" i="28"/>
  <c r="M111" i="28"/>
  <c r="M112" i="28"/>
  <c r="M113" i="28"/>
  <c r="M114" i="28"/>
  <c r="M115" i="28"/>
  <c r="M116" i="28"/>
  <c r="M117" i="28"/>
  <c r="M118" i="28"/>
  <c r="M119" i="28"/>
  <c r="M120" i="28"/>
  <c r="M121" i="28"/>
  <c r="M122" i="28"/>
  <c r="M123" i="28"/>
  <c r="M124" i="28"/>
  <c r="M125" i="28"/>
  <c r="M126" i="28"/>
  <c r="M127" i="28"/>
  <c r="M128" i="28"/>
  <c r="M129" i="28"/>
  <c r="M130" i="28"/>
  <c r="M131" i="28"/>
  <c r="M132" i="28"/>
  <c r="M133" i="28"/>
  <c r="M134" i="28"/>
  <c r="M135" i="28"/>
  <c r="M137" i="28"/>
  <c r="M138" i="28"/>
  <c r="M140" i="28"/>
  <c r="M143" i="28"/>
  <c r="M144" i="28"/>
  <c r="M146" i="28"/>
  <c r="M149" i="28"/>
  <c r="M150" i="28"/>
  <c r="M152" i="28"/>
  <c r="M155" i="28"/>
  <c r="M156" i="28"/>
  <c r="M158" i="28"/>
  <c r="M162" i="28"/>
  <c r="M164" i="28"/>
  <c r="M165" i="28"/>
  <c r="M166" i="28"/>
  <c r="M167" i="28"/>
  <c r="M168" i="28"/>
  <c r="M169" i="28"/>
  <c r="M170" i="28"/>
  <c r="M171" i="28"/>
  <c r="M172" i="28"/>
  <c r="M173" i="28"/>
  <c r="M175" i="28"/>
  <c r="M176" i="28"/>
  <c r="M177" i="28"/>
  <c r="M178" i="28"/>
  <c r="M179" i="28"/>
  <c r="M181" i="28"/>
  <c r="M182" i="28"/>
  <c r="M183" i="28"/>
  <c r="M184" i="28"/>
  <c r="M187" i="28"/>
  <c r="M188" i="28"/>
  <c r="M190" i="28"/>
  <c r="M193" i="28"/>
  <c r="M194" i="28"/>
  <c r="M196" i="28"/>
  <c r="M199" i="28"/>
  <c r="M200" i="28"/>
  <c r="M202" i="28"/>
  <c r="M205" i="28"/>
  <c r="M206" i="28"/>
  <c r="M208" i="28"/>
  <c r="M211" i="28"/>
  <c r="M212" i="28"/>
  <c r="M214" i="28"/>
  <c r="M216" i="28"/>
  <c r="M217" i="28"/>
  <c r="M218" i="28"/>
  <c r="M219" i="28"/>
  <c r="M220" i="28"/>
  <c r="M221" i="28"/>
  <c r="M222" i="28"/>
  <c r="M223" i="28"/>
  <c r="M224" i="28"/>
  <c r="M225" i="28"/>
  <c r="M226" i="28"/>
  <c r="M227" i="28"/>
  <c r="M228" i="28"/>
  <c r="M229" i="28"/>
  <c r="M230" i="28"/>
  <c r="M231" i="28"/>
  <c r="M232" i="28"/>
  <c r="M233" i="28"/>
  <c r="M234" i="28"/>
  <c r="M235" i="28"/>
  <c r="M236" i="28"/>
  <c r="M237" i="28"/>
  <c r="M238" i="28"/>
  <c r="M239" i="28"/>
  <c r="M240" i="28"/>
  <c r="M241" i="28"/>
  <c r="M242" i="28"/>
  <c r="M243" i="28"/>
  <c r="M244" i="28"/>
  <c r="M245" i="28"/>
  <c r="M246" i="28"/>
  <c r="M247" i="28"/>
  <c r="M248" i="28"/>
  <c r="M249" i="28"/>
  <c r="M250" i="28"/>
  <c r="M251" i="28"/>
  <c r="M252" i="28"/>
  <c r="M253" i="28"/>
  <c r="M254" i="28"/>
  <c r="M255" i="28"/>
  <c r="M256" i="28"/>
  <c r="M257" i="28"/>
  <c r="M258" i="28"/>
  <c r="M259" i="28"/>
  <c r="M260" i="28"/>
  <c r="M261" i="28"/>
  <c r="M262" i="28"/>
  <c r="M263" i="28"/>
  <c r="M264" i="28"/>
  <c r="M265" i="28"/>
  <c r="M266" i="28"/>
  <c r="M267" i="28"/>
  <c r="M268" i="28"/>
  <c r="M269" i="28"/>
  <c r="M270" i="28"/>
  <c r="M271" i="28"/>
  <c r="M272" i="28"/>
  <c r="M273" i="28"/>
  <c r="M274" i="28"/>
  <c r="M275" i="28"/>
  <c r="M276" i="28"/>
  <c r="M277" i="28"/>
  <c r="M278" i="28"/>
  <c r="M279" i="28"/>
  <c r="M280" i="28"/>
  <c r="M281" i="28"/>
  <c r="M282" i="28"/>
  <c r="M283" i="28"/>
  <c r="M285" i="28"/>
  <c r="M286" i="28"/>
  <c r="M288" i="28"/>
  <c r="M289" i="28"/>
  <c r="M291" i="28"/>
  <c r="M292" i="28"/>
  <c r="M294" i="28"/>
  <c r="M295" i="28"/>
  <c r="M297" i="28"/>
  <c r="M299" i="28"/>
  <c r="B42" i="198" l="1"/>
  <c r="B41" i="196"/>
  <c r="B44" i="195"/>
  <c r="M364" i="28"/>
  <c r="M358" i="28"/>
  <c r="M363" i="28"/>
  <c r="M357" i="28"/>
  <c r="M362" i="28"/>
  <c r="M356" i="28"/>
  <c r="M361" i="28"/>
  <c r="M355" i="28"/>
  <c r="M360" i="28"/>
  <c r="M354" i="28"/>
  <c r="M365" i="28"/>
  <c r="M359" i="28"/>
  <c r="M353" i="28"/>
  <c r="M352" i="28"/>
  <c r="M351" i="28"/>
  <c r="M350" i="28"/>
  <c r="M349" i="28"/>
  <c r="M348" i="28"/>
  <c r="M347" i="28"/>
  <c r="M346" i="28"/>
  <c r="M345" i="28"/>
  <c r="M344" i="28"/>
  <c r="M343" i="28"/>
  <c r="M342" i="28"/>
  <c r="M341" i="28"/>
  <c r="M340" i="28"/>
  <c r="M339" i="28"/>
  <c r="M338" i="28"/>
  <c r="M337" i="28"/>
  <c r="M336" i="28"/>
  <c r="M335" i="28"/>
  <c r="M334" i="28"/>
  <c r="M333" i="28"/>
  <c r="M332" i="28"/>
  <c r="M331" i="28"/>
  <c r="M330" i="28"/>
  <c r="M329" i="28"/>
  <c r="M328" i="28"/>
  <c r="M327" i="28"/>
  <c r="M326" i="28"/>
  <c r="M325" i="28"/>
  <c r="M324" i="28"/>
  <c r="M323" i="28"/>
  <c r="M322" i="28"/>
  <c r="M321" i="28"/>
  <c r="M320" i="28"/>
  <c r="M319" i="28"/>
  <c r="M318" i="28"/>
  <c r="M317" i="28"/>
  <c r="M316" i="28"/>
  <c r="M315" i="28"/>
  <c r="M314" i="28"/>
  <c r="M313" i="28"/>
  <c r="M312" i="28"/>
  <c r="M311" i="28"/>
  <c r="M310" i="28"/>
  <c r="M309" i="28"/>
  <c r="M308" i="28"/>
  <c r="M307" i="28"/>
  <c r="M306" i="28"/>
  <c r="M305" i="28"/>
  <c r="M304" i="28"/>
  <c r="M303" i="28"/>
  <c r="M302" i="28"/>
  <c r="M301" i="28"/>
  <c r="M300" i="28"/>
  <c r="M298" i="28"/>
  <c r="M296" i="28"/>
  <c r="M293" i="28"/>
  <c r="M290" i="28"/>
  <c r="M287" i="28"/>
  <c r="M284" i="28"/>
  <c r="M204" i="28"/>
  <c r="M192" i="28"/>
  <c r="M163" i="28"/>
  <c r="M161" i="28"/>
  <c r="M136" i="28"/>
  <c r="M213" i="28"/>
  <c r="M201" i="28"/>
  <c r="M189" i="28"/>
  <c r="M174" i="28"/>
  <c r="M160" i="28"/>
  <c r="M151" i="28"/>
  <c r="M148" i="28"/>
  <c r="M139" i="28"/>
  <c r="M215" i="28"/>
  <c r="M203" i="28"/>
  <c r="M191" i="28"/>
  <c r="M159" i="28"/>
  <c r="M147" i="28"/>
  <c r="M210" i="28"/>
  <c r="M198" i="28"/>
  <c r="M186" i="28"/>
  <c r="M207" i="28"/>
  <c r="M195" i="28"/>
  <c r="M157" i="28"/>
  <c r="M154" i="28"/>
  <c r="M145" i="28"/>
  <c r="M142" i="28"/>
  <c r="M209" i="28"/>
  <c r="M197" i="28"/>
  <c r="M185" i="28"/>
  <c r="M180" i="28"/>
  <c r="M153" i="28"/>
  <c r="M141" i="28"/>
  <c r="M100" i="28"/>
  <c r="M73" i="28"/>
  <c r="M71" i="28"/>
  <c r="M69" i="28"/>
  <c r="M67" i="28"/>
  <c r="M65" i="28"/>
  <c r="M63" i="28"/>
  <c r="M61" i="28"/>
  <c r="M59" i="28"/>
  <c r="M57" i="28"/>
  <c r="M55" i="28"/>
  <c r="M53" i="28"/>
  <c r="M51" i="28"/>
  <c r="M49" i="28"/>
  <c r="M47" i="28"/>
  <c r="M45" i="28"/>
  <c r="M43" i="28"/>
  <c r="M41" i="28"/>
  <c r="M39" i="28"/>
  <c r="M37" i="28"/>
  <c r="M35" i="28"/>
  <c r="M33" i="28"/>
  <c r="M31" i="28"/>
  <c r="M29" i="28"/>
  <c r="M74" i="28"/>
  <c r="M72" i="28"/>
  <c r="M70" i="28"/>
  <c r="M68" i="28"/>
  <c r="M66" i="28"/>
  <c r="M64" i="28"/>
  <c r="M62" i="28"/>
  <c r="M60" i="28"/>
  <c r="M58" i="28"/>
  <c r="M56" i="28"/>
  <c r="M54" i="28"/>
  <c r="M52" i="28"/>
  <c r="M50" i="28"/>
  <c r="M48" i="28"/>
  <c r="M46" i="28"/>
  <c r="M44" i="28"/>
  <c r="M42" i="28"/>
  <c r="M40" i="28"/>
  <c r="M38" i="28"/>
  <c r="M36" i="28"/>
  <c r="M34" i="28"/>
  <c r="M32" i="28"/>
  <c r="M30" i="28"/>
  <c r="M28" i="28"/>
  <c r="M26" i="28"/>
  <c r="M24" i="28"/>
  <c r="M22" i="28"/>
  <c r="M20" i="28"/>
  <c r="M18" i="28"/>
  <c r="M91" i="28"/>
  <c r="M79" i="28"/>
  <c r="M93" i="28"/>
  <c r="M81" i="28"/>
  <c r="M101" i="28"/>
  <c r="M95" i="28"/>
  <c r="M92" i="28"/>
  <c r="M83" i="28"/>
  <c r="M80" i="28"/>
  <c r="M89" i="28"/>
  <c r="M77" i="28"/>
  <c r="M97" i="28"/>
  <c r="M94" i="28"/>
  <c r="M85" i="28"/>
  <c r="M82" i="28"/>
  <c r="M99" i="28"/>
  <c r="M87" i="28"/>
  <c r="M75" i="28"/>
  <c r="B43" i="198" l="1"/>
  <c r="B42" i="196"/>
  <c r="B45" i="195"/>
  <c r="B44" i="198" l="1"/>
  <c r="B43" i="196"/>
  <c r="B46" i="195"/>
  <c r="B45" i="198" l="1"/>
  <c r="B44" i="196"/>
  <c r="D67" i="194"/>
  <c r="C66" i="194"/>
  <c r="C67" i="194"/>
  <c r="C64" i="194"/>
  <c r="E83" i="194"/>
  <c r="E92" i="194"/>
  <c r="H10" i="194"/>
  <c r="I10" i="194"/>
  <c r="C10" i="194"/>
  <c r="B46" i="198" l="1"/>
  <c r="B45" i="196"/>
  <c r="H73" i="194"/>
  <c r="D97" i="194"/>
  <c r="B46" i="196" l="1"/>
  <c r="K78" i="194"/>
  <c r="I11" i="194"/>
  <c r="I12" i="194" s="1"/>
  <c r="I13" i="194" s="1"/>
  <c r="I14" i="194" s="1"/>
  <c r="I15" i="194" s="1"/>
  <c r="I16" i="194" s="1"/>
  <c r="I17" i="194" s="1"/>
  <c r="I18" i="194" s="1"/>
  <c r="I19" i="194" s="1"/>
  <c r="I20" i="194" s="1"/>
  <c r="I21" i="194" s="1"/>
  <c r="I22" i="194" s="1"/>
  <c r="I23" i="194" s="1"/>
  <c r="I24" i="194" s="1"/>
  <c r="I25" i="194" s="1"/>
  <c r="I26" i="194" s="1"/>
  <c r="I27" i="194" s="1"/>
  <c r="I28" i="194" s="1"/>
  <c r="I29" i="194" s="1"/>
  <c r="I30" i="194" s="1"/>
  <c r="I31" i="194" s="1"/>
  <c r="I32" i="194" s="1"/>
  <c r="I33" i="194" s="1"/>
  <c r="I34" i="194" s="1"/>
  <c r="I35" i="194" s="1"/>
  <c r="I36" i="194" s="1"/>
  <c r="I37" i="194" s="1"/>
  <c r="I38" i="194" s="1"/>
  <c r="I39" i="194" s="1"/>
  <c r="I40" i="194" s="1"/>
  <c r="I41" i="194" s="1"/>
  <c r="I42" i="194" s="1"/>
  <c r="I43" i="194" s="1"/>
  <c r="I44" i="194" s="1"/>
  <c r="I45" i="194" s="1"/>
  <c r="I46" i="194" s="1"/>
  <c r="I47" i="194" s="1"/>
  <c r="I48" i="194" s="1"/>
  <c r="I49" i="194" s="1"/>
  <c r="I50" i="194" s="1"/>
  <c r="I51" i="194" s="1"/>
  <c r="I52" i="194" s="1"/>
  <c r="I53" i="194" s="1"/>
  <c r="I54" i="194" s="1"/>
  <c r="I55" i="194" s="1"/>
  <c r="I56" i="194" s="1"/>
  <c r="C88" i="194"/>
  <c r="F78" i="194"/>
  <c r="K79" i="194"/>
  <c r="J79" i="194"/>
  <c r="G79" i="194"/>
  <c r="F79" i="194"/>
  <c r="C79" i="194"/>
  <c r="G78" i="194"/>
  <c r="C78" i="194"/>
  <c r="F73" i="194"/>
  <c r="C65" i="194"/>
  <c r="B11" i="194"/>
  <c r="B12" i="194" s="1"/>
  <c r="B13" i="194" s="1"/>
  <c r="B14" i="194" s="1"/>
  <c r="B15" i="194" s="1"/>
  <c r="B8" i="194"/>
  <c r="F75" i="194" l="1"/>
  <c r="H75" i="194" s="1"/>
  <c r="H79" i="194"/>
  <c r="F80" i="194"/>
  <c r="I73" i="194"/>
  <c r="I75" i="194" s="1"/>
  <c r="F10" i="194"/>
  <c r="B16" i="194"/>
  <c r="H78" i="194"/>
  <c r="J78" i="194"/>
  <c r="G73" i="194" l="1"/>
  <c r="G75" i="194" s="1"/>
  <c r="H80" i="194"/>
  <c r="I78" i="194" s="1"/>
  <c r="B17" i="194"/>
  <c r="B18" i="194" l="1"/>
  <c r="I79" i="194"/>
  <c r="K80" i="194" s="1"/>
  <c r="D94" i="194"/>
  <c r="G80" i="194"/>
  <c r="I80" i="194" l="1"/>
  <c r="J80" i="194"/>
  <c r="B19" i="194"/>
  <c r="B20" i="194" l="1"/>
  <c r="B21" i="194" l="1"/>
  <c r="B22" i="194" l="1"/>
  <c r="B23" i="194" l="1"/>
  <c r="B24" i="194" l="1"/>
  <c r="B25" i="194" l="1"/>
  <c r="B26" i="194" l="1"/>
  <c r="B27" i="194" l="1"/>
  <c r="B28" i="194" l="1"/>
  <c r="B29" i="194" l="1"/>
  <c r="B30" i="194" l="1"/>
  <c r="B31" i="194" l="1"/>
  <c r="B32" i="194" s="1"/>
  <c r="B33" i="194" s="1"/>
  <c r="B34" i="194" s="1"/>
  <c r="B35" i="194" s="1"/>
  <c r="B36" i="194" s="1"/>
  <c r="B37" i="194" s="1"/>
  <c r="B38" i="194" s="1"/>
  <c r="B39" i="194" s="1"/>
  <c r="B40" i="194" s="1"/>
  <c r="B41" i="194" s="1"/>
  <c r="B42" i="194" s="1"/>
  <c r="B43" i="194" s="1"/>
  <c r="B44" i="194" s="1"/>
  <c r="B45" i="194" s="1"/>
  <c r="B46" i="194" s="1"/>
  <c r="B47" i="194" s="1"/>
  <c r="B48" i="194" s="1"/>
  <c r="B49" i="194" s="1"/>
  <c r="B50" i="194" s="1"/>
  <c r="B51" i="194" s="1"/>
  <c r="B52" i="194" s="1"/>
  <c r="B53" i="194" s="1"/>
  <c r="B54" i="194" s="1"/>
  <c r="B55" i="194" s="1"/>
  <c r="B56" i="194" s="1"/>
  <c r="G10" i="194" l="1"/>
  <c r="D65" i="194"/>
  <c r="V372" i="167" l="1"/>
  <c r="V374" i="167"/>
  <c r="V375" i="167"/>
  <c r="V376" i="167"/>
  <c r="V377" i="167"/>
  <c r="V378" i="167"/>
  <c r="V379" i="167"/>
  <c r="V380" i="167"/>
  <c r="V381" i="167"/>
  <c r="V382" i="167"/>
  <c r="V383" i="167"/>
  <c r="V384" i="167"/>
  <c r="V385" i="167"/>
  <c r="V386" i="167"/>
  <c r="V387" i="167"/>
  <c r="V388" i="167"/>
  <c r="V389" i="167"/>
  <c r="V390" i="167"/>
  <c r="V391" i="167"/>
  <c r="V392" i="167"/>
  <c r="V393" i="167"/>
  <c r="V394" i="167"/>
  <c r="V373" i="167"/>
  <c r="AX8" i="25" l="1"/>
  <c r="P8" i="25" s="1"/>
  <c r="I50" i="25" l="1"/>
  <c r="AA354" i="31" l="1"/>
  <c r="AA338" i="31"/>
  <c r="AA322" i="31"/>
  <c r="AA274" i="31"/>
  <c r="AA258" i="31"/>
  <c r="AA242" i="31"/>
  <c r="AA226" i="31"/>
  <c r="AA210" i="31"/>
  <c r="AA194" i="31"/>
  <c r="AA178" i="31"/>
  <c r="AA162" i="31"/>
  <c r="AA146" i="31"/>
  <c r="AA130" i="31"/>
  <c r="AA114" i="31"/>
  <c r="AA98" i="31"/>
  <c r="AA82" i="31"/>
  <c r="AA66" i="31"/>
  <c r="AA50" i="31"/>
  <c r="AA34" i="31"/>
  <c r="AA18" i="31"/>
  <c r="AA129" i="31"/>
  <c r="AA81" i="31"/>
  <c r="AA49" i="31"/>
  <c r="AA17" i="31"/>
  <c r="AA190" i="31"/>
  <c r="AA142" i="31"/>
  <c r="AA62" i="31"/>
  <c r="AA173" i="31"/>
  <c r="AA93" i="31"/>
  <c r="AA13" i="31"/>
  <c r="AA44" i="31"/>
  <c r="AA27" i="31"/>
  <c r="AA247" i="31"/>
  <c r="AA70" i="31"/>
  <c r="AA101" i="31"/>
  <c r="AA148" i="31"/>
  <c r="AA195" i="31"/>
  <c r="AA353" i="31"/>
  <c r="AA337" i="31"/>
  <c r="AA321" i="31"/>
  <c r="AA273" i="31"/>
  <c r="AA257" i="31"/>
  <c r="AA241" i="31"/>
  <c r="AA225" i="31"/>
  <c r="AA209" i="31"/>
  <c r="AA193" i="31"/>
  <c r="AA177" i="31"/>
  <c r="AA161" i="31"/>
  <c r="AA145" i="31"/>
  <c r="AA113" i="31"/>
  <c r="AA97" i="31"/>
  <c r="AA65" i="31"/>
  <c r="AA33" i="31"/>
  <c r="AA206" i="31"/>
  <c r="AA126" i="31"/>
  <c r="AA30" i="31"/>
  <c r="AA157" i="31"/>
  <c r="AA61" i="31"/>
  <c r="AA76" i="31"/>
  <c r="AA42" i="31"/>
  <c r="AA231" i="31"/>
  <c r="AA149" i="31"/>
  <c r="AA180" i="31"/>
  <c r="AA275" i="31"/>
  <c r="AA67" i="31"/>
  <c r="AA352" i="31"/>
  <c r="AA336" i="31"/>
  <c r="AA320" i="31"/>
  <c r="AA272" i="31"/>
  <c r="AA256" i="31"/>
  <c r="AA240" i="31"/>
  <c r="AA224" i="31"/>
  <c r="AA208" i="31"/>
  <c r="AA192" i="31"/>
  <c r="AA176" i="31"/>
  <c r="AA160" i="31"/>
  <c r="AA144" i="31"/>
  <c r="AA128" i="31"/>
  <c r="AA112" i="31"/>
  <c r="AA96" i="31"/>
  <c r="AA80" i="31"/>
  <c r="AA64" i="31"/>
  <c r="AA48" i="31"/>
  <c r="AA32" i="31"/>
  <c r="AA16" i="31"/>
  <c r="AA238" i="31"/>
  <c r="AA110" i="31"/>
  <c r="AA14" i="31"/>
  <c r="AA125" i="31"/>
  <c r="AA29" i="31"/>
  <c r="AA28" i="31"/>
  <c r="AA58" i="31"/>
  <c r="AA262" i="31"/>
  <c r="AA22" i="31"/>
  <c r="AA85" i="31"/>
  <c r="AA212" i="31"/>
  <c r="AA339" i="31"/>
  <c r="AA131" i="31"/>
  <c r="AA367" i="31"/>
  <c r="AA351" i="31"/>
  <c r="AA335" i="31"/>
  <c r="AA319" i="31"/>
  <c r="AA271" i="31"/>
  <c r="AA255" i="31"/>
  <c r="AA239" i="31"/>
  <c r="AA223" i="31"/>
  <c r="AA207" i="31"/>
  <c r="AA191" i="31"/>
  <c r="AA175" i="31"/>
  <c r="AA159" i="31"/>
  <c r="AA143" i="31"/>
  <c r="AA127" i="31"/>
  <c r="AA111" i="31"/>
  <c r="AA95" i="31"/>
  <c r="AA79" i="31"/>
  <c r="AA63" i="31"/>
  <c r="AA47" i="31"/>
  <c r="AA31" i="31"/>
  <c r="AA15" i="31"/>
  <c r="AA334" i="31"/>
  <c r="AA270" i="31"/>
  <c r="AA222" i="31"/>
  <c r="AA158" i="31"/>
  <c r="AA94" i="31"/>
  <c r="AA46" i="31"/>
  <c r="AA189" i="31"/>
  <c r="AA77" i="31"/>
  <c r="AA92" i="31"/>
  <c r="AA43" i="31"/>
  <c r="AA72" i="31"/>
  <c r="AA167" i="31"/>
  <c r="AA87" i="31"/>
  <c r="AA342" i="31"/>
  <c r="AA150" i="31"/>
  <c r="AA245" i="31"/>
  <c r="AA37" i="31"/>
  <c r="AA52" i="31"/>
  <c r="AA147" i="31"/>
  <c r="AA366" i="31"/>
  <c r="AA350" i="31"/>
  <c r="AA318" i="31"/>
  <c r="AA254" i="31"/>
  <c r="AA174" i="31"/>
  <c r="AA78" i="31"/>
  <c r="AA141" i="31"/>
  <c r="AA45" i="31"/>
  <c r="AA59" i="31"/>
  <c r="AA40" i="31"/>
  <c r="AA199" i="31"/>
  <c r="AA71" i="31"/>
  <c r="AA214" i="31"/>
  <c r="AA118" i="31"/>
  <c r="AA21" i="31"/>
  <c r="AA20" i="31"/>
  <c r="AA115" i="31"/>
  <c r="AA365" i="31"/>
  <c r="AA349" i="31"/>
  <c r="AA333" i="31"/>
  <c r="AA317" i="31"/>
  <c r="AA269" i="31"/>
  <c r="AA253" i="31"/>
  <c r="AA237" i="31"/>
  <c r="AA221" i="31"/>
  <c r="AA205" i="31"/>
  <c r="AA109" i="31"/>
  <c r="AA60" i="31"/>
  <c r="AA88" i="31"/>
  <c r="AA135" i="31"/>
  <c r="AA166" i="31"/>
  <c r="AA133" i="31"/>
  <c r="AA68" i="31"/>
  <c r="AA227" i="31"/>
  <c r="AA364" i="31"/>
  <c r="AA348" i="31"/>
  <c r="AA332" i="31"/>
  <c r="AA316" i="31"/>
  <c r="AA268" i="31"/>
  <c r="AA252" i="31"/>
  <c r="AA236" i="31"/>
  <c r="AA220" i="31"/>
  <c r="AA204" i="31"/>
  <c r="AA188" i="31"/>
  <c r="AA172" i="31"/>
  <c r="AA156" i="31"/>
  <c r="AA140" i="31"/>
  <c r="AA124" i="31"/>
  <c r="AA108" i="31"/>
  <c r="AA246" i="31"/>
  <c r="AA54" i="31"/>
  <c r="AA165" i="31"/>
  <c r="AA100" i="31"/>
  <c r="AA243" i="31"/>
  <c r="AA19" i="31"/>
  <c r="AA363" i="31"/>
  <c r="AA347" i="31"/>
  <c r="AA331" i="31"/>
  <c r="AA315" i="31"/>
  <c r="AA267" i="31"/>
  <c r="AA251" i="31"/>
  <c r="AA235" i="31"/>
  <c r="AA219" i="31"/>
  <c r="AA203" i="31"/>
  <c r="AA187" i="31"/>
  <c r="AA171" i="31"/>
  <c r="AA155" i="31"/>
  <c r="AA139" i="31"/>
  <c r="AA123" i="31"/>
  <c r="AA107" i="31"/>
  <c r="AA91" i="31"/>
  <c r="AA75" i="31"/>
  <c r="AA56" i="31"/>
  <c r="AA183" i="31"/>
  <c r="AA23" i="31"/>
  <c r="AA230" i="31"/>
  <c r="AA213" i="31"/>
  <c r="AA116" i="31"/>
  <c r="AA259" i="31"/>
  <c r="AA35" i="31"/>
  <c r="AA362" i="31"/>
  <c r="AA346" i="31"/>
  <c r="AA330" i="31"/>
  <c r="AA314" i="31"/>
  <c r="AA266" i="31"/>
  <c r="AA250" i="31"/>
  <c r="AA234" i="31"/>
  <c r="AA218" i="31"/>
  <c r="AA202" i="31"/>
  <c r="AA186" i="31"/>
  <c r="AA170" i="31"/>
  <c r="AA154" i="31"/>
  <c r="AA138" i="31"/>
  <c r="AA122" i="31"/>
  <c r="AA106" i="31"/>
  <c r="AA90" i="31"/>
  <c r="AA74" i="31"/>
  <c r="AA26" i="31"/>
  <c r="AA151" i="31"/>
  <c r="AA358" i="31"/>
  <c r="AA86" i="31"/>
  <c r="AA117" i="31"/>
  <c r="AA164" i="31"/>
  <c r="AA211" i="31"/>
  <c r="AA361" i="31"/>
  <c r="AA345" i="31"/>
  <c r="AA329" i="31"/>
  <c r="AA313" i="31"/>
  <c r="AA265" i="31"/>
  <c r="AA249" i="31"/>
  <c r="AA233" i="31"/>
  <c r="AA217" i="31"/>
  <c r="AA201" i="31"/>
  <c r="AA185" i="31"/>
  <c r="AA169" i="31"/>
  <c r="AA153" i="31"/>
  <c r="AA137" i="31"/>
  <c r="AA121" i="31"/>
  <c r="AA105" i="31"/>
  <c r="AA89" i="31"/>
  <c r="AA73" i="31"/>
  <c r="AA57" i="31"/>
  <c r="AA41" i="31"/>
  <c r="AA25" i="31"/>
  <c r="AA120" i="31"/>
  <c r="AA215" i="31"/>
  <c r="AA55" i="31"/>
  <c r="AA134" i="31"/>
  <c r="AA197" i="31"/>
  <c r="AA69" i="31"/>
  <c r="AA132" i="31"/>
  <c r="AA83" i="31"/>
  <c r="AA360" i="31"/>
  <c r="AA344" i="31"/>
  <c r="AA328" i="31"/>
  <c r="AA264" i="31"/>
  <c r="AA248" i="31"/>
  <c r="AA232" i="31"/>
  <c r="AA216" i="31"/>
  <c r="AA200" i="31"/>
  <c r="AA184" i="31"/>
  <c r="AA168" i="31"/>
  <c r="AA152" i="31"/>
  <c r="AA136" i="31"/>
  <c r="AA104" i="31"/>
  <c r="AA24" i="31"/>
  <c r="AA119" i="31"/>
  <c r="AA39" i="31"/>
  <c r="AA326" i="31"/>
  <c r="AA102" i="31"/>
  <c r="AA229" i="31"/>
  <c r="AA196" i="31"/>
  <c r="AA323" i="31"/>
  <c r="AA179" i="31"/>
  <c r="AA359" i="31"/>
  <c r="AA343" i="31"/>
  <c r="AA327" i="31"/>
  <c r="AA263" i="31"/>
  <c r="AA103" i="31"/>
  <c r="AA198" i="31"/>
  <c r="AA38" i="31"/>
  <c r="AA181" i="31"/>
  <c r="AA84" i="31"/>
  <c r="AA51" i="31"/>
  <c r="AA182" i="31"/>
  <c r="AA357" i="31"/>
  <c r="AA341" i="31"/>
  <c r="AA325" i="31"/>
  <c r="AA261" i="31"/>
  <c r="AA53" i="31"/>
  <c r="AA36" i="31"/>
  <c r="AA99" i="31"/>
  <c r="AA356" i="31"/>
  <c r="AA340" i="31"/>
  <c r="AA324" i="31"/>
  <c r="AA276" i="31"/>
  <c r="AA260" i="31"/>
  <c r="AA244" i="31"/>
  <c r="AA228" i="31"/>
  <c r="AA355" i="31"/>
  <c r="AA163" i="31"/>
  <c r="F16" i="202"/>
  <c r="F17" i="202"/>
  <c r="F18" i="202"/>
  <c r="F19" i="202"/>
  <c r="F20" i="202"/>
  <c r="F21" i="202"/>
  <c r="F22" i="202"/>
  <c r="F23" i="202"/>
  <c r="F24" i="202"/>
  <c r="F25" i="202"/>
  <c r="F26" i="202"/>
  <c r="F27" i="202"/>
  <c r="F28" i="202"/>
  <c r="F29" i="202"/>
  <c r="F30" i="202"/>
  <c r="F31" i="202"/>
  <c r="F32" i="202"/>
  <c r="J54" i="25"/>
  <c r="J77" i="201" s="1"/>
  <c r="C11" i="194"/>
  <c r="C12" i="194" s="1"/>
  <c r="C13" i="194" s="1"/>
  <c r="C14" i="194" s="1"/>
  <c r="C15" i="194" s="1"/>
  <c r="C16" i="194" s="1"/>
  <c r="D16" i="194" s="1"/>
  <c r="H11" i="194"/>
  <c r="H12" i="194" s="1"/>
  <c r="H13" i="194" s="1"/>
  <c r="H14" i="194" s="1"/>
  <c r="H15" i="194" s="1"/>
  <c r="H16" i="194" s="1"/>
  <c r="F11" i="194"/>
  <c r="F33" i="202" l="1"/>
  <c r="F34" i="202" s="1"/>
  <c r="F35" i="202" s="1"/>
  <c r="F36" i="202" s="1"/>
  <c r="F37" i="202" s="1"/>
  <c r="F38" i="202" s="1"/>
  <c r="F39" i="202" s="1"/>
  <c r="F40" i="202" s="1"/>
  <c r="F41" i="202" s="1"/>
  <c r="F42" i="202" s="1"/>
  <c r="F43" i="202" s="1"/>
  <c r="F44" i="202" s="1"/>
  <c r="F45" i="202" s="1"/>
  <c r="F46" i="202" s="1"/>
  <c r="J77" i="199"/>
  <c r="J77" i="200"/>
  <c r="F12" i="194"/>
  <c r="G11" i="194"/>
  <c r="H17" i="194"/>
  <c r="J16" i="194"/>
  <c r="D17" i="194"/>
  <c r="D18" i="194" l="1"/>
  <c r="H18" i="194"/>
  <c r="J17" i="194"/>
  <c r="F13" i="194"/>
  <c r="G12" i="194"/>
  <c r="F48" i="199" l="1"/>
  <c r="F48" i="200"/>
  <c r="G13" i="194"/>
  <c r="F14" i="194"/>
  <c r="H19" i="194"/>
  <c r="J18" i="194"/>
  <c r="D19" i="194"/>
  <c r="D20" i="194" l="1"/>
  <c r="F15" i="194"/>
  <c r="G14" i="194"/>
  <c r="H20" i="194"/>
  <c r="J19" i="194"/>
  <c r="H21" i="194" l="1"/>
  <c r="J20" i="194"/>
  <c r="F16" i="194"/>
  <c r="G15" i="194"/>
  <c r="D21" i="194"/>
  <c r="D22" i="194" l="1"/>
  <c r="F17" i="194"/>
  <c r="G16" i="194"/>
  <c r="H22" i="194"/>
  <c r="J21" i="194"/>
  <c r="H23" i="194" l="1"/>
  <c r="J22" i="194"/>
  <c r="K16" i="194"/>
  <c r="F18" i="194"/>
  <c r="G17" i="194"/>
  <c r="K17" i="194" s="1"/>
  <c r="D23" i="194"/>
  <c r="D24" i="194" l="1"/>
  <c r="F19" i="194"/>
  <c r="G18" i="194"/>
  <c r="H24" i="194"/>
  <c r="J23" i="194"/>
  <c r="F20" i="194" l="1"/>
  <c r="G19" i="194"/>
  <c r="K19" i="194" s="1"/>
  <c r="H25" i="194"/>
  <c r="J24" i="194"/>
  <c r="K18" i="194"/>
  <c r="D25" i="194"/>
  <c r="D26" i="194" l="1"/>
  <c r="H26" i="194"/>
  <c r="J25" i="194"/>
  <c r="F21" i="194"/>
  <c r="G20" i="194"/>
  <c r="F22" i="194" l="1"/>
  <c r="G21" i="194"/>
  <c r="K21" i="194" s="1"/>
  <c r="K20" i="194"/>
  <c r="H27" i="194"/>
  <c r="J26" i="194"/>
  <c r="D27" i="194"/>
  <c r="D28" i="194" l="1"/>
  <c r="H28" i="194"/>
  <c r="J27" i="194"/>
  <c r="F23" i="194"/>
  <c r="G22" i="194"/>
  <c r="K22" i="194" l="1"/>
  <c r="F24" i="194"/>
  <c r="G23" i="194"/>
  <c r="K23" i="194" s="1"/>
  <c r="H29" i="194"/>
  <c r="J28" i="194"/>
  <c r="D29" i="194"/>
  <c r="D30" i="194" l="1"/>
  <c r="H30" i="194"/>
  <c r="J29" i="194"/>
  <c r="F25" i="194"/>
  <c r="G24" i="194"/>
  <c r="K24" i="194" s="1"/>
  <c r="F26" i="194" l="1"/>
  <c r="G25" i="194"/>
  <c r="K25" i="194" s="1"/>
  <c r="H31" i="194"/>
  <c r="J30" i="194"/>
  <c r="D31" i="194"/>
  <c r="D32" i="194" l="1"/>
  <c r="H32" i="194"/>
  <c r="J31" i="194"/>
  <c r="F27" i="194"/>
  <c r="G26" i="194"/>
  <c r="K26" i="194" s="1"/>
  <c r="D33" i="194" l="1"/>
  <c r="F28" i="194"/>
  <c r="G27" i="194"/>
  <c r="K27" i="194" s="1"/>
  <c r="H33" i="194"/>
  <c r="J32" i="194"/>
  <c r="H34" i="194" l="1"/>
  <c r="J33" i="194"/>
  <c r="F29" i="194"/>
  <c r="G28" i="194"/>
  <c r="K28" i="194" s="1"/>
  <c r="D34" i="194"/>
  <c r="D35" i="194" l="1"/>
  <c r="F30" i="194"/>
  <c r="G29" i="194"/>
  <c r="K29" i="194" s="1"/>
  <c r="H35" i="194"/>
  <c r="J34" i="194"/>
  <c r="H36" i="194" l="1"/>
  <c r="J35" i="194"/>
  <c r="F31" i="194"/>
  <c r="G30" i="194"/>
  <c r="K30" i="194" s="1"/>
  <c r="D36" i="194"/>
  <c r="D37" i="194" l="1"/>
  <c r="F32" i="194"/>
  <c r="G31" i="194"/>
  <c r="K31" i="194" s="1"/>
  <c r="H37" i="194"/>
  <c r="J36" i="194"/>
  <c r="H38" i="194" l="1"/>
  <c r="J37" i="194"/>
  <c r="F33" i="194"/>
  <c r="G32" i="194"/>
  <c r="K32" i="194" s="1"/>
  <c r="D38" i="194"/>
  <c r="D39" i="194" l="1"/>
  <c r="F34" i="194"/>
  <c r="G33" i="194"/>
  <c r="K33" i="194" s="1"/>
  <c r="H39" i="194"/>
  <c r="J38" i="194"/>
  <c r="H40" i="194" l="1"/>
  <c r="J39" i="194"/>
  <c r="D40" i="194"/>
  <c r="F35" i="194"/>
  <c r="G34" i="194"/>
  <c r="K34" i="194" s="1"/>
  <c r="F36" i="194" l="1"/>
  <c r="G35" i="194"/>
  <c r="K35" i="194" s="1"/>
  <c r="D41" i="194"/>
  <c r="H41" i="194"/>
  <c r="J40" i="194"/>
  <c r="H42" i="194" l="1"/>
  <c r="J41" i="194"/>
  <c r="D42" i="194"/>
  <c r="F37" i="194"/>
  <c r="G36" i="194"/>
  <c r="K36" i="194" s="1"/>
  <c r="F38" i="194" l="1"/>
  <c r="G37" i="194"/>
  <c r="K37" i="194" s="1"/>
  <c r="D43" i="194"/>
  <c r="H43" i="194"/>
  <c r="J42" i="194"/>
  <c r="H44" i="194" l="1"/>
  <c r="J43" i="194"/>
  <c r="D44" i="194"/>
  <c r="F39" i="194"/>
  <c r="G38" i="194"/>
  <c r="K38" i="194" s="1"/>
  <c r="F40" i="194" l="1"/>
  <c r="G39" i="194"/>
  <c r="K39" i="194" s="1"/>
  <c r="D45" i="194"/>
  <c r="H45" i="194"/>
  <c r="J44" i="194"/>
  <c r="H46" i="194" l="1"/>
  <c r="J45" i="194"/>
  <c r="D46" i="194"/>
  <c r="F41" i="194"/>
  <c r="G40" i="194"/>
  <c r="K40" i="194" s="1"/>
  <c r="F42" i="194" l="1"/>
  <c r="G41" i="194"/>
  <c r="K41" i="194" s="1"/>
  <c r="D47" i="194"/>
  <c r="H47" i="194"/>
  <c r="J46" i="194"/>
  <c r="H48" i="194" l="1"/>
  <c r="J47" i="194"/>
  <c r="D48" i="194"/>
  <c r="F43" i="194"/>
  <c r="G42" i="194"/>
  <c r="K42" i="194" s="1"/>
  <c r="F44" i="194" l="1"/>
  <c r="G43" i="194"/>
  <c r="K43" i="194" s="1"/>
  <c r="D49" i="194"/>
  <c r="H49" i="194"/>
  <c r="J48" i="194"/>
  <c r="H50" i="194" l="1"/>
  <c r="J49" i="194"/>
  <c r="D50" i="194"/>
  <c r="F45" i="194"/>
  <c r="G44" i="194"/>
  <c r="K44" i="194" s="1"/>
  <c r="F46" i="194" l="1"/>
  <c r="G45" i="194"/>
  <c r="K45" i="194" s="1"/>
  <c r="D51" i="194"/>
  <c r="H51" i="194"/>
  <c r="J50" i="194"/>
  <c r="H52" i="194" l="1"/>
  <c r="J51" i="194"/>
  <c r="D52" i="194"/>
  <c r="F47" i="194"/>
  <c r="G46" i="194"/>
  <c r="K46" i="194" s="1"/>
  <c r="D53" i="194" l="1"/>
  <c r="F48" i="194"/>
  <c r="G47" i="194"/>
  <c r="K47" i="194" s="1"/>
  <c r="H53" i="194"/>
  <c r="J52" i="194"/>
  <c r="H54" i="194" l="1"/>
  <c r="J53" i="194"/>
  <c r="F49" i="194"/>
  <c r="G48" i="194"/>
  <c r="K48" i="194" s="1"/>
  <c r="D54" i="194"/>
  <c r="F50" i="194" l="1"/>
  <c r="G49" i="194"/>
  <c r="K49" i="194" s="1"/>
  <c r="D55" i="194"/>
  <c r="H55" i="194"/>
  <c r="J54" i="194"/>
  <c r="H56" i="194" l="1"/>
  <c r="J56" i="194" s="1"/>
  <c r="J55" i="194"/>
  <c r="D56" i="194"/>
  <c r="F51" i="194"/>
  <c r="G50" i="194"/>
  <c r="K50" i="194" s="1"/>
  <c r="F52" i="194" l="1"/>
  <c r="G51" i="194"/>
  <c r="K51" i="194" s="1"/>
  <c r="F53" i="194" l="1"/>
  <c r="G52" i="194"/>
  <c r="K52" i="194" s="1"/>
  <c r="F54" i="194" l="1"/>
  <c r="G53" i="194"/>
  <c r="K53" i="194" s="1"/>
  <c r="F55" i="194" l="1"/>
  <c r="G54" i="194"/>
  <c r="K54" i="194" s="1"/>
  <c r="F56" i="194" l="1"/>
  <c r="G56" i="194" s="1"/>
  <c r="K56" i="194" s="1"/>
  <c r="G55" i="194"/>
  <c r="K55" i="194" l="1"/>
  <c r="K59" i="194" s="1"/>
  <c r="L59" i="194" s="1"/>
  <c r="G59" i="194"/>
  <c r="D53" i="176"/>
  <c r="D56" i="176"/>
  <c r="C56" i="176"/>
  <c r="D55" i="176"/>
  <c r="C55" i="176"/>
  <c r="C54" i="176"/>
  <c r="C53" i="176"/>
  <c r="C52" i="176"/>
  <c r="B10" i="176"/>
  <c r="B11" i="176" s="1"/>
  <c r="B12" i="176" s="1"/>
  <c r="B2" i="176"/>
  <c r="E2" i="131" s="1"/>
  <c r="E5" i="131" s="1"/>
  <c r="B13" i="176" l="1"/>
  <c r="E13" i="176" s="1" a="1"/>
  <c r="E13" i="176" s="1"/>
  <c r="E12" i="176" a="1"/>
  <c r="E12" i="176" s="1"/>
  <c r="E10" i="176" a="1"/>
  <c r="E10" i="176" s="1"/>
  <c r="D54" i="176"/>
  <c r="E11" i="176" a="1"/>
  <c r="E11" i="176" s="1"/>
  <c r="B3" i="176"/>
  <c r="B14" i="176" l="1"/>
  <c r="B15" i="176" l="1"/>
  <c r="E14" i="176" a="1"/>
  <c r="E14" i="176" s="1"/>
  <c r="B16" i="176" l="1"/>
  <c r="E15" i="176" a="1"/>
  <c r="E15" i="176" s="1"/>
  <c r="B17" i="176" l="1"/>
  <c r="E16" i="176" a="1"/>
  <c r="E16" i="176" s="1"/>
  <c r="B18" i="176" l="1"/>
  <c r="E17" i="176" a="1"/>
  <c r="E17" i="176" s="1"/>
  <c r="B19" i="176" l="1"/>
  <c r="E18" i="176" a="1"/>
  <c r="E18" i="176" s="1"/>
  <c r="B20" i="176" l="1"/>
  <c r="E19" i="176" a="1"/>
  <c r="E19" i="176" s="1"/>
  <c r="B21" i="176" l="1"/>
  <c r="E20" i="176" a="1"/>
  <c r="E20" i="176" s="1"/>
  <c r="B22" i="176" l="1"/>
  <c r="E21" i="176" a="1"/>
  <c r="E21" i="176" s="1"/>
  <c r="B23" i="176" l="1"/>
  <c r="E22" i="176" a="1"/>
  <c r="E22" i="176" s="1"/>
  <c r="B24" i="176" l="1"/>
  <c r="E23" i="176" a="1"/>
  <c r="E23" i="176" s="1"/>
  <c r="B25" i="176" l="1"/>
  <c r="E24" i="176" a="1"/>
  <c r="E24" i="176" s="1"/>
  <c r="B26" i="176" l="1"/>
  <c r="E25" i="176" a="1"/>
  <c r="E25" i="176" s="1"/>
  <c r="B27" i="176" l="1"/>
  <c r="E26" i="176" a="1"/>
  <c r="E26" i="176" s="1"/>
  <c r="B28" i="176" l="1"/>
  <c r="E27" i="176" a="1"/>
  <c r="E27" i="176" s="1"/>
  <c r="B29" i="176" l="1"/>
  <c r="E28" i="176" a="1"/>
  <c r="E28" i="176" s="1"/>
  <c r="B30" i="176" l="1"/>
  <c r="E29" i="176" a="1"/>
  <c r="E29" i="176" s="1"/>
  <c r="B31" i="176" l="1"/>
  <c r="E30" i="176" a="1"/>
  <c r="E30" i="176" s="1"/>
  <c r="E31" i="176" l="1" a="1"/>
  <c r="E31" i="176" s="1"/>
  <c r="B32" i="176"/>
  <c r="B33" i="176" l="1"/>
  <c r="E32" i="176" a="1"/>
  <c r="E32" i="176" s="1"/>
  <c r="E33" i="176" s="1"/>
  <c r="E34" i="176" s="1"/>
  <c r="E35" i="176" s="1"/>
  <c r="E36" i="176" s="1"/>
  <c r="E37" i="176" s="1"/>
  <c r="E38" i="176" s="1"/>
  <c r="E39" i="176" s="1"/>
  <c r="E40" i="176" s="1"/>
  <c r="E41" i="176" s="1"/>
  <c r="E42" i="176" s="1"/>
  <c r="E43" i="176" s="1"/>
  <c r="E44" i="176" s="1"/>
  <c r="E45" i="176" s="1"/>
  <c r="E46" i="176" s="1"/>
  <c r="B34" i="176" l="1"/>
  <c r="E131" i="167"/>
  <c r="B35" i="176" l="1"/>
  <c r="S210" i="167"/>
  <c r="S209" i="167"/>
  <c r="S208" i="167"/>
  <c r="S207" i="167"/>
  <c r="S206" i="167"/>
  <c r="S205" i="167"/>
  <c r="S204" i="167"/>
  <c r="S203" i="167"/>
  <c r="S202" i="167"/>
  <c r="S201" i="167"/>
  <c r="S200" i="167"/>
  <c r="S199" i="167"/>
  <c r="S198" i="167"/>
  <c r="S197" i="167"/>
  <c r="S196" i="167"/>
  <c r="S195" i="167"/>
  <c r="S194" i="167"/>
  <c r="S193" i="167"/>
  <c r="S192" i="167"/>
  <c r="S191" i="167"/>
  <c r="S190" i="167"/>
  <c r="S233" i="167"/>
  <c r="S232" i="167"/>
  <c r="S231" i="167"/>
  <c r="S230" i="167"/>
  <c r="S229" i="167"/>
  <c r="S228" i="167"/>
  <c r="S227" i="167"/>
  <c r="S226" i="167"/>
  <c r="S225" i="167"/>
  <c r="S224" i="167"/>
  <c r="S223" i="167"/>
  <c r="S222" i="167"/>
  <c r="S221" i="167"/>
  <c r="S220" i="167"/>
  <c r="S219" i="167"/>
  <c r="S218" i="167"/>
  <c r="S217" i="167"/>
  <c r="S216" i="167"/>
  <c r="S215" i="167"/>
  <c r="S214" i="167"/>
  <c r="S213" i="167"/>
  <c r="S285" i="167"/>
  <c r="S286" i="167"/>
  <c r="S287" i="167"/>
  <c r="S288" i="167"/>
  <c r="S289" i="167"/>
  <c r="S290" i="167"/>
  <c r="S291" i="167"/>
  <c r="S292" i="167"/>
  <c r="S293" i="167"/>
  <c r="S294" i="167"/>
  <c r="S295" i="167"/>
  <c r="S296" i="167"/>
  <c r="S297" i="167"/>
  <c r="S298" i="167"/>
  <c r="S299" i="167"/>
  <c r="S300" i="167"/>
  <c r="S301" i="167"/>
  <c r="S302" i="167"/>
  <c r="S303" i="167"/>
  <c r="S304" i="167"/>
  <c r="S284" i="167"/>
  <c r="S279" i="167"/>
  <c r="S278" i="167"/>
  <c r="S277" i="167"/>
  <c r="S276" i="167"/>
  <c r="S275" i="167"/>
  <c r="S274" i="167"/>
  <c r="S273" i="167"/>
  <c r="S272" i="167"/>
  <c r="S271" i="167"/>
  <c r="S260" i="167"/>
  <c r="S261" i="167"/>
  <c r="S262" i="167"/>
  <c r="S263" i="167"/>
  <c r="S264" i="167"/>
  <c r="S265" i="167"/>
  <c r="S266" i="167"/>
  <c r="S267" i="167"/>
  <c r="S268" i="167"/>
  <c r="S269" i="167"/>
  <c r="S270" i="167"/>
  <c r="S259" i="167"/>
  <c r="S372" i="167"/>
  <c r="S373" i="167"/>
  <c r="S374" i="167"/>
  <c r="S375" i="167"/>
  <c r="S376" i="167"/>
  <c r="S377" i="167"/>
  <c r="S378" i="167"/>
  <c r="S379" i="167"/>
  <c r="S380" i="167"/>
  <c r="S381" i="167"/>
  <c r="S382" i="167"/>
  <c r="S383" i="167"/>
  <c r="S384" i="167"/>
  <c r="S385" i="167"/>
  <c r="S386" i="167"/>
  <c r="S387" i="167"/>
  <c r="S388" i="167"/>
  <c r="S389" i="167"/>
  <c r="S390" i="167"/>
  <c r="S391" i="167"/>
  <c r="S392" i="167"/>
  <c r="S393" i="167"/>
  <c r="S394" i="167"/>
  <c r="S371" i="167"/>
  <c r="S328" i="167"/>
  <c r="S329" i="167"/>
  <c r="S330" i="167"/>
  <c r="S331" i="167"/>
  <c r="S332" i="167"/>
  <c r="S333" i="167"/>
  <c r="S334" i="167"/>
  <c r="S335" i="167"/>
  <c r="S336" i="167"/>
  <c r="S327" i="167"/>
  <c r="S326" i="167"/>
  <c r="S325" i="167"/>
  <c r="S324" i="167"/>
  <c r="S323" i="167"/>
  <c r="S322" i="167"/>
  <c r="S321" i="167"/>
  <c r="S320" i="167"/>
  <c r="S319" i="167"/>
  <c r="S318" i="167"/>
  <c r="S317" i="167"/>
  <c r="S316" i="167"/>
  <c r="S315" i="167"/>
  <c r="S314" i="167"/>
  <c r="S313" i="167"/>
  <c r="S312" i="167"/>
  <c r="S311" i="167"/>
  <c r="S310" i="167"/>
  <c r="S309" i="167"/>
  <c r="S308" i="167"/>
  <c r="S307" i="167"/>
  <c r="S256" i="167"/>
  <c r="S255" i="167"/>
  <c r="S254" i="167"/>
  <c r="S253" i="167"/>
  <c r="S252" i="167"/>
  <c r="S251" i="167"/>
  <c r="S250" i="167"/>
  <c r="S249" i="167"/>
  <c r="S248" i="167"/>
  <c r="S247" i="167"/>
  <c r="S246" i="167"/>
  <c r="S245" i="167"/>
  <c r="S244" i="167"/>
  <c r="S243" i="167"/>
  <c r="S242" i="167"/>
  <c r="S241" i="167"/>
  <c r="S240" i="167"/>
  <c r="S239" i="167"/>
  <c r="S238" i="167"/>
  <c r="S237" i="167"/>
  <c r="S236" i="167"/>
  <c r="B36" i="176" l="1"/>
  <c r="C11" i="202"/>
  <c r="C15" i="201"/>
  <c r="C11" i="201"/>
  <c r="C12" i="202"/>
  <c r="C10" i="201"/>
  <c r="C13" i="201"/>
  <c r="C15" i="202"/>
  <c r="C13" i="202"/>
  <c r="C16" i="201"/>
  <c r="D16" i="201" s="1"/>
  <c r="C14" i="201"/>
  <c r="C10" i="202"/>
  <c r="C12" i="201"/>
  <c r="C14" i="202"/>
  <c r="C16" i="202"/>
  <c r="D16" i="202" s="1"/>
  <c r="C14" i="200"/>
  <c r="C13" i="200"/>
  <c r="C10" i="200"/>
  <c r="C15" i="200"/>
  <c r="C11" i="200"/>
  <c r="C16" i="200"/>
  <c r="D16" i="200" s="1"/>
  <c r="C12" i="200"/>
  <c r="C11" i="199"/>
  <c r="C13" i="199"/>
  <c r="C10" i="199"/>
  <c r="C14" i="199"/>
  <c r="C12" i="199"/>
  <c r="C15" i="199"/>
  <c r="C16" i="199"/>
  <c r="D16" i="199" s="1"/>
  <c r="C15" i="195"/>
  <c r="D15" i="195" s="1"/>
  <c r="C13" i="197"/>
  <c r="C10" i="195"/>
  <c r="C15" i="197"/>
  <c r="D15" i="197" s="1"/>
  <c r="C16" i="198"/>
  <c r="D16" i="198" s="1"/>
  <c r="C10" i="197"/>
  <c r="C13" i="195"/>
  <c r="C14" i="197"/>
  <c r="C14" i="195"/>
  <c r="C10" i="196"/>
  <c r="C11" i="198"/>
  <c r="C11" i="197"/>
  <c r="C16" i="196"/>
  <c r="D16" i="196" s="1"/>
  <c r="C12" i="197"/>
  <c r="C12" i="195"/>
  <c r="C11" i="196"/>
  <c r="C10" i="198"/>
  <c r="C11" i="195"/>
  <c r="C12" i="198"/>
  <c r="C12" i="196"/>
  <c r="C13" i="198"/>
  <c r="C13" i="196"/>
  <c r="C14" i="198"/>
  <c r="C14" i="196"/>
  <c r="C15" i="198"/>
  <c r="C15" i="196"/>
  <c r="C14" i="176"/>
  <c r="D14" i="176" s="1"/>
  <c r="C12" i="176"/>
  <c r="C10" i="176"/>
  <c r="C11" i="176"/>
  <c r="C13" i="176"/>
  <c r="B37" i="176" l="1"/>
  <c r="D17" i="201" a="1"/>
  <c r="D17" i="201" s="1"/>
  <c r="L16" i="200"/>
  <c r="G16" i="200"/>
  <c r="D17" i="200" a="1"/>
  <c r="D17" i="200" s="1"/>
  <c r="I15" i="139"/>
  <c r="I22" i="139"/>
  <c r="I19" i="139"/>
  <c r="I18" i="139"/>
  <c r="I20" i="139"/>
  <c r="I23" i="139"/>
  <c r="I17" i="139"/>
  <c r="L16" i="199"/>
  <c r="D17" i="199" a="1"/>
  <c r="D17" i="199" s="1"/>
  <c r="D18" i="199" s="1" a="1"/>
  <c r="D18" i="199" s="1"/>
  <c r="G16" i="199"/>
  <c r="D17" i="202" a="1"/>
  <c r="D17" i="202" s="1"/>
  <c r="I16" i="139"/>
  <c r="I21" i="139"/>
  <c r="D16" i="195" a="1"/>
  <c r="D16" i="195" s="1"/>
  <c r="D16" i="197" a="1"/>
  <c r="D16" i="197" s="1"/>
  <c r="D17" i="196" a="1"/>
  <c r="D17" i="196" s="1"/>
  <c r="D17" i="198" a="1"/>
  <c r="D17" i="198" s="1"/>
  <c r="D15" i="176" a="1"/>
  <c r="D15" i="176" s="1"/>
  <c r="G17" i="201" l="1"/>
  <c r="B38" i="176"/>
  <c r="D18" i="202" a="1"/>
  <c r="D18" i="202" s="1"/>
  <c r="G17" i="199"/>
  <c r="L17" i="200"/>
  <c r="D18" i="200" a="1"/>
  <c r="D18" i="200" s="1"/>
  <c r="G17" i="200"/>
  <c r="D18" i="201" a="1"/>
  <c r="D18" i="201" s="1"/>
  <c r="L17" i="199"/>
  <c r="D18" i="196" a="1"/>
  <c r="D18" i="196" s="1"/>
  <c r="D18" i="198" a="1"/>
  <c r="D18" i="198" s="1"/>
  <c r="D17" i="197" a="1"/>
  <c r="D17" i="197" s="1"/>
  <c r="G18" i="199"/>
  <c r="D19" i="199" a="1"/>
  <c r="D19" i="199" s="1"/>
  <c r="L18" i="199"/>
  <c r="D17" i="195" a="1"/>
  <c r="D17" i="195" s="1"/>
  <c r="D16" i="176" a="1"/>
  <c r="D16" i="176" s="1"/>
  <c r="F48" i="201" l="1"/>
  <c r="L17" i="201"/>
  <c r="L16" i="201"/>
  <c r="G16" i="201"/>
  <c r="B39" i="176"/>
  <c r="D19" i="200" a="1"/>
  <c r="D19" i="200" s="1"/>
  <c r="G18" i="200"/>
  <c r="L18" i="200"/>
  <c r="G18" i="201"/>
  <c r="L18" i="201"/>
  <c r="D19" i="201" a="1"/>
  <c r="D19" i="201" s="1"/>
  <c r="D19" i="202" a="1"/>
  <c r="D19" i="202" s="1"/>
  <c r="D18" i="195" a="1"/>
  <c r="D18" i="195" s="1"/>
  <c r="D18" i="197" a="1"/>
  <c r="D18" i="197" s="1"/>
  <c r="D19" i="196" a="1"/>
  <c r="D19" i="196" s="1"/>
  <c r="G19" i="199"/>
  <c r="L19" i="199"/>
  <c r="D20" i="199" a="1"/>
  <c r="D20" i="199" s="1"/>
  <c r="D19" i="198" a="1"/>
  <c r="D19" i="198" s="1"/>
  <c r="D17" i="176" a="1"/>
  <c r="D17" i="176" s="1"/>
  <c r="B40" i="176" l="1"/>
  <c r="D20" i="202" a="1"/>
  <c r="D20" i="202" s="1"/>
  <c r="L19" i="201"/>
  <c r="G19" i="201"/>
  <c r="D20" i="201" a="1"/>
  <c r="D20" i="201" s="1"/>
  <c r="D20" i="200" a="1"/>
  <c r="D20" i="200" s="1"/>
  <c r="G19" i="200"/>
  <c r="L19" i="200"/>
  <c r="D20" i="198" a="1"/>
  <c r="D20" i="198" s="1"/>
  <c r="L20" i="199"/>
  <c r="G20" i="199"/>
  <c r="D21" i="199" a="1"/>
  <c r="D21" i="199" s="1"/>
  <c r="D19" i="197" a="1"/>
  <c r="D19" i="197" s="1"/>
  <c r="D20" i="196" a="1"/>
  <c r="D20" i="196" s="1"/>
  <c r="D19" i="195" a="1"/>
  <c r="D19" i="195" s="1"/>
  <c r="D18" i="176" a="1"/>
  <c r="D18" i="176" s="1"/>
  <c r="B41" i="176" l="1"/>
  <c r="D21" i="200" a="1"/>
  <c r="D21" i="200" s="1"/>
  <c r="L20" i="200"/>
  <c r="G20" i="200"/>
  <c r="D21" i="201" a="1"/>
  <c r="D21" i="201" s="1"/>
  <c r="L20" i="201"/>
  <c r="G20" i="201"/>
  <c r="D21" i="202" a="1"/>
  <c r="D21" i="202" s="1"/>
  <c r="D21" i="196" a="1"/>
  <c r="D21" i="196" s="1"/>
  <c r="D20" i="195" a="1"/>
  <c r="D20" i="195" s="1"/>
  <c r="D20" i="197" a="1"/>
  <c r="D20" i="197" s="1"/>
  <c r="D22" i="199" a="1"/>
  <c r="D22" i="199" s="1"/>
  <c r="G21" i="199"/>
  <c r="L21" i="199"/>
  <c r="D21" i="198" a="1"/>
  <c r="D21" i="198" s="1"/>
  <c r="D19" i="176" a="1"/>
  <c r="D19" i="176" s="1"/>
  <c r="B42" i="176" l="1"/>
  <c r="G21" i="201"/>
  <c r="L21" i="201"/>
  <c r="D22" i="201" a="1"/>
  <c r="D22" i="201" s="1"/>
  <c r="D22" i="202" a="1"/>
  <c r="D22" i="202" s="1"/>
  <c r="L21" i="200"/>
  <c r="G21" i="200"/>
  <c r="D22" i="200" a="1"/>
  <c r="D22" i="200" s="1"/>
  <c r="D22" i="198" a="1"/>
  <c r="D22" i="198" s="1"/>
  <c r="D23" i="199" a="1"/>
  <c r="D23" i="199" s="1"/>
  <c r="L22" i="199"/>
  <c r="G22" i="199"/>
  <c r="D21" i="197" a="1"/>
  <c r="D21" i="197" s="1"/>
  <c r="D21" i="195" a="1"/>
  <c r="D21" i="195" s="1"/>
  <c r="D22" i="196" a="1"/>
  <c r="D22" i="196" s="1"/>
  <c r="D20" i="176" a="1"/>
  <c r="D20" i="176" s="1"/>
  <c r="B43" i="176" l="1"/>
  <c r="D23" i="202" a="1"/>
  <c r="D23" i="202" s="1"/>
  <c r="G22" i="200"/>
  <c r="L22" i="200"/>
  <c r="D23" i="200" a="1"/>
  <c r="D23" i="200" s="1"/>
  <c r="L22" i="201"/>
  <c r="D23" i="201" a="1"/>
  <c r="D23" i="201" s="1"/>
  <c r="G22" i="201"/>
  <c r="D22" i="195" a="1"/>
  <c r="D22" i="195" s="1"/>
  <c r="D23" i="196" a="1"/>
  <c r="D23" i="196" s="1"/>
  <c r="D22" i="197" a="1"/>
  <c r="D22" i="197" s="1"/>
  <c r="D23" i="198" a="1"/>
  <c r="D23" i="198" s="1"/>
  <c r="G23" i="199"/>
  <c r="D24" i="199" a="1"/>
  <c r="D24" i="199" s="1"/>
  <c r="L23" i="199"/>
  <c r="D21" i="176" a="1"/>
  <c r="D21" i="176" s="1"/>
  <c r="B44" i="176" l="1"/>
  <c r="L23" i="200"/>
  <c r="G23" i="200"/>
  <c r="D24" i="200" a="1"/>
  <c r="D24" i="200" s="1"/>
  <c r="D24" i="201" a="1"/>
  <c r="D24" i="201" s="1"/>
  <c r="G23" i="201"/>
  <c r="L23" i="201"/>
  <c r="D24" i="202" a="1"/>
  <c r="D24" i="202" s="1"/>
  <c r="L24" i="199"/>
  <c r="G24" i="199"/>
  <c r="D25" i="199" a="1"/>
  <c r="D25" i="199" s="1"/>
  <c r="D23" i="197" a="1"/>
  <c r="D23" i="197" s="1"/>
  <c r="D24" i="196" a="1"/>
  <c r="D24" i="196" s="1"/>
  <c r="D24" i="198" a="1"/>
  <c r="D24" i="198" s="1"/>
  <c r="D23" i="195" a="1"/>
  <c r="D23" i="195" s="1"/>
  <c r="D22" i="176" a="1"/>
  <c r="D22" i="176" s="1"/>
  <c r="B45" i="176" l="1"/>
  <c r="D25" i="202" a="1"/>
  <c r="D25" i="202" s="1"/>
  <c r="L24" i="201"/>
  <c r="G24" i="201"/>
  <c r="D25" i="201" a="1"/>
  <c r="D25" i="201" s="1"/>
  <c r="D25" i="200" a="1"/>
  <c r="D25" i="200" s="1"/>
  <c r="L24" i="200"/>
  <c r="G24" i="200"/>
  <c r="D24" i="195" a="1"/>
  <c r="D24" i="195" s="1"/>
  <c r="D24" i="197" a="1"/>
  <c r="D24" i="197" s="1"/>
  <c r="D25" i="196" a="1"/>
  <c r="D25" i="196" s="1"/>
  <c r="D25" i="198" a="1"/>
  <c r="D25" i="198" s="1"/>
  <c r="L25" i="199"/>
  <c r="G25" i="199"/>
  <c r="D26" i="199" a="1"/>
  <c r="D26" i="199" s="1"/>
  <c r="D23" i="176" a="1"/>
  <c r="D23" i="176" s="1"/>
  <c r="B46" i="176" l="1"/>
  <c r="D26" i="201" a="1"/>
  <c r="D26" i="201" s="1"/>
  <c r="L25" i="201"/>
  <c r="G25" i="201"/>
  <c r="D26" i="202" a="1"/>
  <c r="D26" i="202" s="1"/>
  <c r="D26" i="200" a="1"/>
  <c r="D26" i="200" s="1"/>
  <c r="L25" i="200"/>
  <c r="G25" i="200"/>
  <c r="G26" i="199"/>
  <c r="D27" i="199" a="1"/>
  <c r="D27" i="199" s="1"/>
  <c r="L26" i="199"/>
  <c r="D26" i="198" a="1"/>
  <c r="D26" i="198" s="1"/>
  <c r="D26" i="196" a="1"/>
  <c r="D26" i="196" s="1"/>
  <c r="D25" i="197" a="1"/>
  <c r="D25" i="197" s="1"/>
  <c r="D25" i="195" a="1"/>
  <c r="D25" i="195" s="1"/>
  <c r="D24" i="176" a="1"/>
  <c r="D24" i="176" s="1"/>
  <c r="D27" i="200" l="1" a="1"/>
  <c r="D27" i="200" s="1"/>
  <c r="G26" i="200"/>
  <c r="L26" i="200"/>
  <c r="D27" i="202" a="1"/>
  <c r="D27" i="202" s="1"/>
  <c r="G26" i="201"/>
  <c r="L26" i="201"/>
  <c r="D27" i="201" a="1"/>
  <c r="D27" i="201" s="1"/>
  <c r="D26" i="197" a="1"/>
  <c r="D26" i="197" s="1"/>
  <c r="D26" i="195" a="1"/>
  <c r="D26" i="195" s="1"/>
  <c r="D27" i="198" a="1"/>
  <c r="D27" i="198" s="1"/>
  <c r="G27" i="199"/>
  <c r="D28" i="199" a="1"/>
  <c r="D28" i="199" s="1"/>
  <c r="L27" i="199"/>
  <c r="D27" i="196" a="1"/>
  <c r="D27" i="196" s="1"/>
  <c r="D25" i="176" a="1"/>
  <c r="D25" i="176" s="1"/>
  <c r="L27" i="201" l="1"/>
  <c r="G27" i="201"/>
  <c r="D28" i="201" a="1"/>
  <c r="D28" i="201" s="1"/>
  <c r="D28" i="202" a="1"/>
  <c r="D28" i="202" s="1"/>
  <c r="L27" i="200"/>
  <c r="G27" i="200"/>
  <c r="D28" i="200" a="1"/>
  <c r="D28" i="200" s="1"/>
  <c r="D28" i="196" a="1"/>
  <c r="D28" i="196" s="1"/>
  <c r="D29" i="199" a="1"/>
  <c r="D29" i="199" s="1"/>
  <c r="L28" i="199"/>
  <c r="G28" i="199"/>
  <c r="D28" i="198" a="1"/>
  <c r="D28" i="198" s="1"/>
  <c r="D27" i="195" a="1"/>
  <c r="D27" i="195" s="1"/>
  <c r="D27" i="197" a="1"/>
  <c r="D27" i="197" s="1"/>
  <c r="D26" i="176" a="1"/>
  <c r="D26" i="176" s="1"/>
  <c r="G28" i="200" l="1"/>
  <c r="L28" i="200"/>
  <c r="D29" i="200" a="1"/>
  <c r="D29" i="200" s="1"/>
  <c r="D29" i="202" a="1"/>
  <c r="D29" i="202" s="1"/>
  <c r="G28" i="201"/>
  <c r="L28" i="201"/>
  <c r="D29" i="201" a="1"/>
  <c r="D29" i="201" s="1"/>
  <c r="D28" i="197" a="1"/>
  <c r="D28" i="197" s="1"/>
  <c r="D28" i="195" a="1"/>
  <c r="D28" i="195" s="1"/>
  <c r="D29" i="198" a="1"/>
  <c r="D29" i="198" s="1"/>
  <c r="D30" i="199" a="1"/>
  <c r="D30" i="199" s="1"/>
  <c r="L29" i="199"/>
  <c r="G29" i="199"/>
  <c r="D29" i="196" a="1"/>
  <c r="D29" i="196" s="1"/>
  <c r="D27" i="176" a="1"/>
  <c r="D27" i="176" s="1"/>
  <c r="G29" i="201" l="1"/>
  <c r="L29" i="201"/>
  <c r="D30" i="201" a="1"/>
  <c r="D30" i="201" s="1"/>
  <c r="D30" i="202" a="1"/>
  <c r="D30" i="202" s="1"/>
  <c r="D30" i="200" a="1"/>
  <c r="D30" i="200" s="1"/>
  <c r="G29" i="200"/>
  <c r="L29" i="200"/>
  <c r="D30" i="198" a="1"/>
  <c r="D30" i="198" s="1"/>
  <c r="D30" i="196" a="1"/>
  <c r="D30" i="196" s="1"/>
  <c r="D29" i="197" a="1"/>
  <c r="D29" i="197" s="1"/>
  <c r="D31" i="199" a="1"/>
  <c r="D31" i="199" s="1"/>
  <c r="L30" i="199"/>
  <c r="G30" i="199"/>
  <c r="D29" i="195" a="1"/>
  <c r="D29" i="195" s="1"/>
  <c r="D28" i="176" a="1"/>
  <c r="D28" i="176" s="1"/>
  <c r="D31" i="202" l="1" a="1"/>
  <c r="D31" i="202" s="1"/>
  <c r="L30" i="200"/>
  <c r="D31" i="200" a="1"/>
  <c r="D31" i="200" s="1"/>
  <c r="G30" i="200"/>
  <c r="L30" i="201"/>
  <c r="D31" i="201" a="1"/>
  <c r="D31" i="201" s="1"/>
  <c r="G30" i="201"/>
  <c r="D30" i="197" a="1"/>
  <c r="D30" i="197" s="1"/>
  <c r="D31" i="198" a="1"/>
  <c r="D31" i="198" s="1"/>
  <c r="D30" i="195" a="1"/>
  <c r="D30" i="195" s="1"/>
  <c r="D31" i="196" a="1"/>
  <c r="D31" i="196" s="1"/>
  <c r="L31" i="199"/>
  <c r="D32" i="199" a="1"/>
  <c r="D32" i="199" s="1"/>
  <c r="G31" i="199"/>
  <c r="D29" i="176" a="1"/>
  <c r="D29" i="176" s="1"/>
  <c r="L31" i="201" l="1"/>
  <c r="G31" i="201"/>
  <c r="D32" i="201" a="1"/>
  <c r="D32" i="201" s="1"/>
  <c r="D32" i="200" a="1"/>
  <c r="D32" i="200" s="1"/>
  <c r="L31" i="200"/>
  <c r="G31" i="200"/>
  <c r="D32" i="202" a="1"/>
  <c r="D32" i="202" s="1"/>
  <c r="D33" i="199"/>
  <c r="L32" i="199"/>
  <c r="G32" i="199"/>
  <c r="D32" i="196" a="1"/>
  <c r="D32" i="196" s="1"/>
  <c r="D31" i="195" a="1"/>
  <c r="D31" i="195" s="1"/>
  <c r="D32" i="198" a="1"/>
  <c r="D32" i="198" s="1"/>
  <c r="D31" i="197" a="1"/>
  <c r="D31" i="197" s="1"/>
  <c r="D30" i="176" a="1"/>
  <c r="D30" i="176" s="1"/>
  <c r="G32" i="200" l="1"/>
  <c r="L32" i="200"/>
  <c r="D33" i="200"/>
  <c r="D33" i="202"/>
  <c r="L32" i="201"/>
  <c r="G32" i="201"/>
  <c r="D33" i="201"/>
  <c r="D33" i="198"/>
  <c r="D32" i="197" a="1"/>
  <c r="D32" i="197" s="1"/>
  <c r="D32" i="195" a="1"/>
  <c r="D32" i="195" s="1"/>
  <c r="D33" i="196"/>
  <c r="G33" i="199"/>
  <c r="D34" i="199"/>
  <c r="L33" i="199"/>
  <c r="D31" i="176" a="1"/>
  <c r="D31" i="176" s="1"/>
  <c r="G33" i="201" l="1"/>
  <c r="D34" i="201"/>
  <c r="L33" i="201"/>
  <c r="D34" i="202"/>
  <c r="G33" i="200"/>
  <c r="L33" i="200"/>
  <c r="D34" i="200"/>
  <c r="D34" i="196"/>
  <c r="D35" i="199"/>
  <c r="D36" i="199" s="1"/>
  <c r="G34" i="199"/>
  <c r="L34" i="199"/>
  <c r="D33" i="197"/>
  <c r="D33" i="195"/>
  <c r="D34" i="198"/>
  <c r="D32" i="176" a="1"/>
  <c r="D32" i="176" s="1"/>
  <c r="D37" i="199" l="1"/>
  <c r="L36" i="199"/>
  <c r="G36" i="199"/>
  <c r="G34" i="200"/>
  <c r="L34" i="200"/>
  <c r="D35" i="200"/>
  <c r="D36" i="200" s="1"/>
  <c r="D35" i="201"/>
  <c r="G34" i="201"/>
  <c r="L34" i="201"/>
  <c r="D35" i="202"/>
  <c r="D36" i="202" s="1"/>
  <c r="D34" i="197"/>
  <c r="D35" i="198"/>
  <c r="D36" i="198" s="1"/>
  <c r="D35" i="196"/>
  <c r="D36" i="196" s="1"/>
  <c r="D34" i="195"/>
  <c r="G35" i="199"/>
  <c r="L35" i="199"/>
  <c r="D33" i="176"/>
  <c r="D34" i="176" s="1"/>
  <c r="D37" i="202" l="1"/>
  <c r="D37" i="200"/>
  <c r="G36" i="200"/>
  <c r="L36" i="200"/>
  <c r="L37" i="199"/>
  <c r="G37" i="199"/>
  <c r="D38" i="199"/>
  <c r="D37" i="198"/>
  <c r="D37" i="196"/>
  <c r="G35" i="201"/>
  <c r="L35" i="201"/>
  <c r="G35" i="200"/>
  <c r="L35" i="200"/>
  <c r="D35" i="176"/>
  <c r="D35" i="195"/>
  <c r="D36" i="195" s="1"/>
  <c r="D35" i="197"/>
  <c r="D36" i="197" s="1"/>
  <c r="D38" i="202" l="1"/>
  <c r="L37" i="200"/>
  <c r="G37" i="200"/>
  <c r="D38" i="200"/>
  <c r="D39" i="199"/>
  <c r="L38" i="199"/>
  <c r="G38" i="199"/>
  <c r="D38" i="198"/>
  <c r="D37" i="197"/>
  <c r="D38" i="196"/>
  <c r="D37" i="195"/>
  <c r="D36" i="176"/>
  <c r="D39" i="202" l="1"/>
  <c r="D39" i="200"/>
  <c r="G38" i="200"/>
  <c r="L38" i="200"/>
  <c r="L39" i="199"/>
  <c r="G39" i="199"/>
  <c r="D40" i="199"/>
  <c r="D39" i="198"/>
  <c r="D38" i="197"/>
  <c r="D39" i="196"/>
  <c r="D38" i="195"/>
  <c r="D37" i="176"/>
  <c r="E141" i="167"/>
  <c r="E140" i="167"/>
  <c r="E139" i="167"/>
  <c r="E138" i="167"/>
  <c r="E137" i="167"/>
  <c r="E136" i="167"/>
  <c r="E132" i="167"/>
  <c r="E130" i="167"/>
  <c r="E129" i="167"/>
  <c r="K76" i="202" s="1"/>
  <c r="K77" i="202" s="1"/>
  <c r="E128" i="167"/>
  <c r="E127" i="167"/>
  <c r="E126" i="167"/>
  <c r="M39" i="202" l="1"/>
  <c r="J76" i="197"/>
  <c r="J77" i="197" s="1"/>
  <c r="J76" i="198"/>
  <c r="J77" i="198" s="1"/>
  <c r="J76" i="176"/>
  <c r="J77" i="176" s="1"/>
  <c r="D40" i="202"/>
  <c r="L39" i="200"/>
  <c r="G39" i="200"/>
  <c r="D40" i="200"/>
  <c r="D41" i="199"/>
  <c r="L40" i="199"/>
  <c r="L48" i="199" s="1"/>
  <c r="G40" i="199"/>
  <c r="D40" i="198"/>
  <c r="D39" i="197"/>
  <c r="D40" i="196"/>
  <c r="D39" i="195"/>
  <c r="J76" i="196"/>
  <c r="J77" i="196" s="1"/>
  <c r="J76" i="195"/>
  <c r="J77" i="195" s="1"/>
  <c r="J76" i="139"/>
  <c r="J77" i="139" s="1"/>
  <c r="D38" i="176"/>
  <c r="E6" i="131"/>
  <c r="A7" i="131"/>
  <c r="L39" i="197" l="1"/>
  <c r="M27" i="202"/>
  <c r="H27" i="202"/>
  <c r="H31" i="202"/>
  <c r="M31" i="202"/>
  <c r="H28" i="202"/>
  <c r="M28" i="202"/>
  <c r="M33" i="202"/>
  <c r="H33" i="202"/>
  <c r="H34" i="202"/>
  <c r="M34" i="202"/>
  <c r="M29" i="202"/>
  <c r="H29" i="202"/>
  <c r="M21" i="202"/>
  <c r="H21" i="202"/>
  <c r="H35" i="202"/>
  <c r="M35" i="202"/>
  <c r="H22" i="202"/>
  <c r="M22" i="202"/>
  <c r="H38" i="202"/>
  <c r="M38" i="202"/>
  <c r="M18" i="202"/>
  <c r="H18" i="202"/>
  <c r="H32" i="202"/>
  <c r="M32" i="202"/>
  <c r="M26" i="202"/>
  <c r="H26" i="202"/>
  <c r="M17" i="202"/>
  <c r="H17" i="202"/>
  <c r="G48" i="202"/>
  <c r="H16" i="202"/>
  <c r="M16" i="202"/>
  <c r="M24" i="202"/>
  <c r="H24" i="202"/>
  <c r="H37" i="202"/>
  <c r="M37" i="202"/>
  <c r="H39" i="202"/>
  <c r="H36" i="202"/>
  <c r="M36" i="202"/>
  <c r="M19" i="202"/>
  <c r="H19" i="202"/>
  <c r="H25" i="202"/>
  <c r="M25" i="202"/>
  <c r="G38" i="176"/>
  <c r="M23" i="202"/>
  <c r="H23" i="202"/>
  <c r="G40" i="198"/>
  <c r="H30" i="202"/>
  <c r="M30" i="202"/>
  <c r="H20" i="202"/>
  <c r="M20" i="202"/>
  <c r="H40" i="202"/>
  <c r="D41" i="202"/>
  <c r="M40" i="202"/>
  <c r="L48" i="201"/>
  <c r="D41" i="200"/>
  <c r="L40" i="200"/>
  <c r="L48" i="200" s="1"/>
  <c r="G40" i="200"/>
  <c r="L41" i="199"/>
  <c r="G41" i="199"/>
  <c r="D42" i="199"/>
  <c r="D41" i="198"/>
  <c r="D40" i="197"/>
  <c r="G40" i="196"/>
  <c r="L39" i="195"/>
  <c r="D41" i="196"/>
  <c r="D40" i="195"/>
  <c r="L38" i="176"/>
  <c r="D39" i="176"/>
  <c r="J7" i="131"/>
  <c r="K7" i="131"/>
  <c r="I7" i="131"/>
  <c r="G7" i="131"/>
  <c r="H7" i="131"/>
  <c r="D7" i="131"/>
  <c r="F7" i="131"/>
  <c r="C7" i="131"/>
  <c r="E7" i="131"/>
  <c r="A8" i="131"/>
  <c r="L40" i="198" l="1"/>
  <c r="G25" i="198"/>
  <c r="L25" i="198"/>
  <c r="G18" i="198"/>
  <c r="L18" i="198"/>
  <c r="L25" i="176"/>
  <c r="G25" i="176"/>
  <c r="L37" i="197"/>
  <c r="G37" i="197"/>
  <c r="G23" i="197"/>
  <c r="L23" i="197"/>
  <c r="L33" i="198"/>
  <c r="G33" i="198"/>
  <c r="L24" i="176"/>
  <c r="G24" i="176"/>
  <c r="G28" i="176"/>
  <c r="L28" i="176"/>
  <c r="L17" i="197"/>
  <c r="G17" i="197"/>
  <c r="F48" i="197"/>
  <c r="G15" i="197"/>
  <c r="L15" i="197"/>
  <c r="G17" i="198"/>
  <c r="L17" i="198"/>
  <c r="G21" i="176"/>
  <c r="L21" i="176"/>
  <c r="G26" i="176"/>
  <c r="L26" i="176"/>
  <c r="G21" i="197"/>
  <c r="L21" i="197"/>
  <c r="G26" i="197"/>
  <c r="L26" i="197"/>
  <c r="L24" i="197"/>
  <c r="G24" i="197"/>
  <c r="G31" i="198"/>
  <c r="L31" i="198"/>
  <c r="G20" i="176"/>
  <c r="L20" i="176"/>
  <c r="G29" i="176"/>
  <c r="L29" i="176"/>
  <c r="L36" i="197"/>
  <c r="G36" i="197"/>
  <c r="G23" i="198"/>
  <c r="L23" i="198"/>
  <c r="L38" i="198"/>
  <c r="G38" i="198"/>
  <c r="G18" i="176"/>
  <c r="L18" i="176"/>
  <c r="G38" i="197"/>
  <c r="L38" i="197"/>
  <c r="L39" i="198"/>
  <c r="G39" i="198"/>
  <c r="L30" i="198"/>
  <c r="G30" i="198"/>
  <c r="L22" i="198"/>
  <c r="G22" i="198"/>
  <c r="L30" i="176"/>
  <c r="G30" i="176"/>
  <c r="L19" i="176"/>
  <c r="G19" i="176"/>
  <c r="L32" i="197"/>
  <c r="G32" i="197"/>
  <c r="L23" i="176"/>
  <c r="G23" i="176"/>
  <c r="L29" i="198"/>
  <c r="G29" i="198"/>
  <c r="L21" i="198"/>
  <c r="G21" i="198"/>
  <c r="G33" i="176"/>
  <c r="L33" i="176"/>
  <c r="L22" i="176"/>
  <c r="G22" i="176"/>
  <c r="G20" i="197"/>
  <c r="L20" i="197"/>
  <c r="G25" i="197"/>
  <c r="L25" i="197"/>
  <c r="L37" i="198"/>
  <c r="G37" i="198"/>
  <c r="L32" i="176"/>
  <c r="G32" i="176"/>
  <c r="L31" i="197"/>
  <c r="G31" i="197"/>
  <c r="L16" i="176"/>
  <c r="G16" i="176"/>
  <c r="G29" i="197"/>
  <c r="L29" i="197"/>
  <c r="G20" i="198"/>
  <c r="L20" i="198"/>
  <c r="L14" i="176"/>
  <c r="G14" i="176"/>
  <c r="F48" i="176"/>
  <c r="G36" i="176"/>
  <c r="L36" i="176"/>
  <c r="G16" i="197"/>
  <c r="L16" i="197"/>
  <c r="L22" i="197"/>
  <c r="G22" i="197"/>
  <c r="G24" i="198"/>
  <c r="L24" i="198"/>
  <c r="G36" i="198"/>
  <c r="L36" i="198"/>
  <c r="L15" i="176"/>
  <c r="G15" i="176"/>
  <c r="L27" i="198"/>
  <c r="G27" i="198"/>
  <c r="L32" i="198"/>
  <c r="G32" i="198"/>
  <c r="L34" i="176"/>
  <c r="G34" i="176"/>
  <c r="L31" i="176"/>
  <c r="G31" i="176"/>
  <c r="L35" i="197"/>
  <c r="G35" i="197"/>
  <c r="G30" i="197"/>
  <c r="L30" i="197"/>
  <c r="L35" i="198"/>
  <c r="G35" i="198"/>
  <c r="G17" i="176"/>
  <c r="L17" i="176"/>
  <c r="L33" i="197"/>
  <c r="G33" i="197"/>
  <c r="L18" i="197"/>
  <c r="G18" i="197"/>
  <c r="G28" i="197"/>
  <c r="L28" i="197"/>
  <c r="M48" i="202"/>
  <c r="L19" i="198"/>
  <c r="G19" i="198"/>
  <c r="G39" i="197"/>
  <c r="G26" i="198"/>
  <c r="L26" i="198"/>
  <c r="F48" i="198"/>
  <c r="L16" i="198"/>
  <c r="G16" i="198"/>
  <c r="G27" i="176"/>
  <c r="L27" i="176"/>
  <c r="G35" i="176"/>
  <c r="L35" i="176"/>
  <c r="G19" i="197"/>
  <c r="L19" i="197"/>
  <c r="G28" i="198"/>
  <c r="L28" i="198"/>
  <c r="L34" i="198"/>
  <c r="G34" i="198"/>
  <c r="G37" i="176"/>
  <c r="L37" i="176"/>
  <c r="L27" i="197"/>
  <c r="G27" i="197"/>
  <c r="G34" i="197"/>
  <c r="L34" i="197"/>
  <c r="D42" i="202"/>
  <c r="H41" i="202"/>
  <c r="M41" i="202"/>
  <c r="L41" i="200"/>
  <c r="G41" i="200"/>
  <c r="D42" i="200"/>
  <c r="D43" i="199"/>
  <c r="L42" i="199"/>
  <c r="G42" i="199"/>
  <c r="L41" i="198"/>
  <c r="G41" i="198"/>
  <c r="D42" i="198"/>
  <c r="G40" i="197"/>
  <c r="D41" i="197"/>
  <c r="L40" i="197"/>
  <c r="G29" i="196"/>
  <c r="L29" i="196"/>
  <c r="L31" i="196"/>
  <c r="G31" i="196"/>
  <c r="L30" i="196"/>
  <c r="G30" i="196"/>
  <c r="L28" i="196"/>
  <c r="G28" i="196"/>
  <c r="L39" i="196"/>
  <c r="G39" i="196"/>
  <c r="G22" i="196"/>
  <c r="L22" i="196"/>
  <c r="G20" i="196"/>
  <c r="L20" i="196"/>
  <c r="G18" i="196"/>
  <c r="L18" i="196"/>
  <c r="L40" i="196"/>
  <c r="L26" i="196"/>
  <c r="G26" i="196"/>
  <c r="L24" i="196"/>
  <c r="G24" i="196"/>
  <c r="G38" i="196"/>
  <c r="L38" i="196"/>
  <c r="L21" i="196"/>
  <c r="G21" i="196"/>
  <c r="G35" i="196"/>
  <c r="L35" i="196"/>
  <c r="L34" i="196"/>
  <c r="G34" i="196"/>
  <c r="L33" i="196"/>
  <c r="G33" i="196"/>
  <c r="L17" i="196"/>
  <c r="G17" i="196"/>
  <c r="L27" i="196"/>
  <c r="G27" i="196"/>
  <c r="L25" i="196"/>
  <c r="G25" i="196"/>
  <c r="G23" i="196"/>
  <c r="L23" i="196"/>
  <c r="G37" i="196"/>
  <c r="L37" i="196"/>
  <c r="L36" i="196"/>
  <c r="G36" i="196"/>
  <c r="L19" i="196"/>
  <c r="G19" i="196"/>
  <c r="L32" i="196"/>
  <c r="G32" i="196"/>
  <c r="F48" i="196"/>
  <c r="G16" i="196"/>
  <c r="L16" i="196"/>
  <c r="L20" i="195"/>
  <c r="G20" i="195"/>
  <c r="G29" i="195"/>
  <c r="L29" i="195"/>
  <c r="L25" i="195"/>
  <c r="G25" i="195"/>
  <c r="L23" i="195"/>
  <c r="G23" i="195"/>
  <c r="L38" i="195"/>
  <c r="G38" i="195"/>
  <c r="G39" i="195"/>
  <c r="L17" i="195"/>
  <c r="G17" i="195"/>
  <c r="G16" i="195"/>
  <c r="L16" i="195"/>
  <c r="G30" i="195"/>
  <c r="L30" i="195"/>
  <c r="G26" i="195"/>
  <c r="L26" i="195"/>
  <c r="L21" i="195"/>
  <c r="G21" i="195"/>
  <c r="L36" i="195"/>
  <c r="G36" i="195"/>
  <c r="G18" i="195"/>
  <c r="L18" i="195"/>
  <c r="L33" i="195"/>
  <c r="G33" i="195"/>
  <c r="L32" i="195"/>
  <c r="G32" i="195"/>
  <c r="L15" i="195"/>
  <c r="G15" i="195"/>
  <c r="F48" i="195"/>
  <c r="G27" i="195"/>
  <c r="L27" i="195"/>
  <c r="L24" i="195"/>
  <c r="G24" i="195"/>
  <c r="G22" i="195"/>
  <c r="L22" i="195"/>
  <c r="L37" i="195"/>
  <c r="G37" i="195"/>
  <c r="L19" i="195"/>
  <c r="G19" i="195"/>
  <c r="G35" i="195"/>
  <c r="L35" i="195"/>
  <c r="G34" i="195"/>
  <c r="L34" i="195"/>
  <c r="G31" i="195"/>
  <c r="L31" i="195"/>
  <c r="G28" i="195"/>
  <c r="L28" i="195"/>
  <c r="G41" i="196"/>
  <c r="D42" i="196"/>
  <c r="L41" i="196"/>
  <c r="L40" i="195"/>
  <c r="G40" i="195"/>
  <c r="D41" i="195"/>
  <c r="G39" i="176"/>
  <c r="D40" i="176"/>
  <c r="L39" i="176"/>
  <c r="J8" i="131"/>
  <c r="I8" i="131"/>
  <c r="G8" i="131"/>
  <c r="H8" i="131"/>
  <c r="K8" i="131"/>
  <c r="D8" i="131"/>
  <c r="F8" i="131"/>
  <c r="C8" i="131"/>
  <c r="E8" i="131"/>
  <c r="A9" i="131"/>
  <c r="H42" i="202" l="1"/>
  <c r="D43" i="202"/>
  <c r="M42" i="202"/>
  <c r="D43" i="200"/>
  <c r="L42" i="200"/>
  <c r="G42" i="200"/>
  <c r="L43" i="199"/>
  <c r="G43" i="199"/>
  <c r="D44" i="199"/>
  <c r="L42" i="198"/>
  <c r="D43" i="198"/>
  <c r="G42" i="198"/>
  <c r="D42" i="197"/>
  <c r="L41" i="197"/>
  <c r="G41" i="197"/>
  <c r="D43" i="196"/>
  <c r="L42" i="196"/>
  <c r="G42" i="196"/>
  <c r="D42" i="195"/>
  <c r="L41" i="195"/>
  <c r="G41" i="195"/>
  <c r="D41" i="176"/>
  <c r="G40" i="176"/>
  <c r="L40" i="176"/>
  <c r="J9" i="131"/>
  <c r="K9" i="131"/>
  <c r="I9" i="131"/>
  <c r="H9" i="131"/>
  <c r="G9" i="131"/>
  <c r="D9" i="131"/>
  <c r="F9" i="131"/>
  <c r="C9" i="131"/>
  <c r="E9" i="131"/>
  <c r="A10" i="131"/>
  <c r="D44" i="202" l="1"/>
  <c r="M43" i="202"/>
  <c r="H43" i="202"/>
  <c r="L43" i="200"/>
  <c r="G43" i="200"/>
  <c r="D44" i="200"/>
  <c r="D45" i="199"/>
  <c r="D46" i="199" s="1"/>
  <c r="L44" i="199"/>
  <c r="G44" i="199"/>
  <c r="L43" i="198"/>
  <c r="G43" i="198"/>
  <c r="D44" i="198"/>
  <c r="G42" i="197"/>
  <c r="D43" i="197"/>
  <c r="L42" i="197"/>
  <c r="L43" i="196"/>
  <c r="G43" i="196"/>
  <c r="D44" i="196"/>
  <c r="L42" i="195"/>
  <c r="G42" i="195"/>
  <c r="D43" i="195"/>
  <c r="G41" i="176"/>
  <c r="L41" i="176"/>
  <c r="D42" i="176"/>
  <c r="J10" i="131"/>
  <c r="H10" i="131"/>
  <c r="K10" i="131"/>
  <c r="I10" i="131"/>
  <c r="G10" i="131"/>
  <c r="D10" i="131"/>
  <c r="F10" i="131"/>
  <c r="C10" i="131"/>
  <c r="E10" i="131"/>
  <c r="A11" i="131"/>
  <c r="H44" i="202" l="1"/>
  <c r="D45" i="202"/>
  <c r="M44" i="202"/>
  <c r="D45" i="200"/>
  <c r="D46" i="200" s="1"/>
  <c r="L44" i="200"/>
  <c r="G44" i="200"/>
  <c r="L46" i="199"/>
  <c r="G46" i="199"/>
  <c r="L45" i="199"/>
  <c r="G45" i="199"/>
  <c r="D45" i="198"/>
  <c r="D46" i="198" s="1"/>
  <c r="L44" i="198"/>
  <c r="G44" i="198"/>
  <c r="D44" i="197"/>
  <c r="L43" i="197"/>
  <c r="G43" i="197"/>
  <c r="D45" i="196"/>
  <c r="D46" i="196" s="1"/>
  <c r="G44" i="196"/>
  <c r="L44" i="196"/>
  <c r="D44" i="195"/>
  <c r="L43" i="195"/>
  <c r="G43" i="195"/>
  <c r="D43" i="176"/>
  <c r="D44" i="176" s="1"/>
  <c r="G42" i="176"/>
  <c r="L42" i="176"/>
  <c r="H11" i="131"/>
  <c r="K11" i="131"/>
  <c r="I11" i="131"/>
  <c r="G11" i="131"/>
  <c r="J11" i="131"/>
  <c r="D11" i="131"/>
  <c r="F11" i="131"/>
  <c r="C11" i="131"/>
  <c r="E11" i="131"/>
  <c r="A12" i="131"/>
  <c r="D46" i="202" l="1"/>
  <c r="M45" i="202"/>
  <c r="H45" i="202"/>
  <c r="L46" i="200"/>
  <c r="G46" i="200"/>
  <c r="L45" i="200"/>
  <c r="G45" i="200"/>
  <c r="G46" i="198"/>
  <c r="L46" i="198"/>
  <c r="L45" i="198"/>
  <c r="L48" i="198" s="1"/>
  <c r="G45" i="198"/>
  <c r="G44" i="197"/>
  <c r="D45" i="197"/>
  <c r="L44" i="197"/>
  <c r="L48" i="197" s="1"/>
  <c r="D45" i="176"/>
  <c r="D46" i="176" s="1"/>
  <c r="L44" i="176"/>
  <c r="G44" i="176"/>
  <c r="L46" i="196"/>
  <c r="G46" i="196"/>
  <c r="G45" i="196"/>
  <c r="L45" i="196"/>
  <c r="L48" i="196" s="1"/>
  <c r="L44" i="195"/>
  <c r="L48" i="195" s="1"/>
  <c r="G44" i="195"/>
  <c r="D45" i="195"/>
  <c r="G43" i="176"/>
  <c r="L43" i="176"/>
  <c r="L48" i="176" s="1"/>
  <c r="I12" i="131"/>
  <c r="H12" i="131"/>
  <c r="J12" i="131"/>
  <c r="K12" i="131"/>
  <c r="G12" i="131"/>
  <c r="D12" i="131"/>
  <c r="F12" i="131"/>
  <c r="C12" i="131"/>
  <c r="E12" i="131"/>
  <c r="A13" i="131"/>
  <c r="H46" i="202" l="1"/>
  <c r="M46" i="202"/>
  <c r="D46" i="197"/>
  <c r="L45" i="197"/>
  <c r="G45" i="197"/>
  <c r="G46" i="176"/>
  <c r="L46" i="176"/>
  <c r="L45" i="176"/>
  <c r="G45" i="176"/>
  <c r="D46" i="195"/>
  <c r="L45" i="195"/>
  <c r="G45" i="195"/>
  <c r="I13" i="131"/>
  <c r="J13" i="131"/>
  <c r="K13" i="131"/>
  <c r="G13" i="131"/>
  <c r="H13" i="131"/>
  <c r="F13" i="131"/>
  <c r="D13" i="131"/>
  <c r="C13" i="131"/>
  <c r="E13" i="131"/>
  <c r="A14" i="131"/>
  <c r="G46" i="197" l="1"/>
  <c r="L46" i="197"/>
  <c r="L46" i="195"/>
  <c r="G46" i="195"/>
  <c r="G14" i="131"/>
  <c r="I14" i="131"/>
  <c r="J14" i="131"/>
  <c r="H14" i="131"/>
  <c r="K14" i="131"/>
  <c r="F14" i="131"/>
  <c r="D14" i="131"/>
  <c r="C14" i="131"/>
  <c r="E14" i="131"/>
  <c r="A15" i="131"/>
  <c r="I15" i="131" l="1"/>
  <c r="G15" i="131"/>
  <c r="H15" i="131"/>
  <c r="J15" i="131"/>
  <c r="K15" i="131"/>
  <c r="F15" i="131"/>
  <c r="D15" i="131"/>
  <c r="C15" i="131"/>
  <c r="E15" i="131"/>
  <c r="A16" i="131"/>
  <c r="G16" i="131" l="1"/>
  <c r="H16" i="131"/>
  <c r="J16" i="131"/>
  <c r="I16" i="131"/>
  <c r="K16" i="131"/>
  <c r="F16" i="131"/>
  <c r="D16" i="131"/>
  <c r="C16" i="131"/>
  <c r="E16" i="131"/>
  <c r="A17" i="131"/>
  <c r="G17" i="131" l="1"/>
  <c r="H17" i="131"/>
  <c r="J17" i="131"/>
  <c r="K17" i="131"/>
  <c r="I17" i="131"/>
  <c r="D17" i="131"/>
  <c r="F17" i="131"/>
  <c r="C17" i="131"/>
  <c r="E17" i="131"/>
  <c r="A18" i="131"/>
  <c r="H18" i="131" l="1"/>
  <c r="G18" i="131"/>
  <c r="J18" i="131"/>
  <c r="I18" i="131"/>
  <c r="K18" i="131"/>
  <c r="F18" i="131"/>
  <c r="D18" i="131"/>
  <c r="C18" i="131"/>
  <c r="E18" i="131"/>
  <c r="A19" i="131"/>
  <c r="G19" i="131" l="1"/>
  <c r="H19" i="131"/>
  <c r="I19" i="131"/>
  <c r="J19" i="131"/>
  <c r="K19" i="131"/>
  <c r="D19" i="131"/>
  <c r="F19" i="131"/>
  <c r="C19" i="131"/>
  <c r="E19" i="131"/>
  <c r="A20" i="131"/>
  <c r="K20" i="131" l="1"/>
  <c r="G20" i="131"/>
  <c r="I20" i="131"/>
  <c r="H20" i="131"/>
  <c r="J20" i="131"/>
  <c r="F20" i="131"/>
  <c r="D20" i="131"/>
  <c r="C20" i="131"/>
  <c r="E20" i="131"/>
  <c r="A21" i="131"/>
  <c r="K21" i="131" l="1"/>
  <c r="G21" i="131"/>
  <c r="I21" i="131"/>
  <c r="J21" i="131"/>
  <c r="H21" i="131"/>
  <c r="F21" i="131"/>
  <c r="D21" i="131"/>
  <c r="C21" i="131"/>
  <c r="E21" i="131"/>
  <c r="A22" i="131"/>
  <c r="J22" i="131" l="1"/>
  <c r="K22" i="131"/>
  <c r="G22" i="131"/>
  <c r="I22" i="131"/>
  <c r="H22" i="131"/>
  <c r="F22" i="131"/>
  <c r="D22" i="131"/>
  <c r="C22" i="131"/>
  <c r="E22" i="131"/>
  <c r="A23" i="131"/>
  <c r="J23" i="131" l="1"/>
  <c r="K23" i="131"/>
  <c r="I23" i="131"/>
  <c r="G23" i="131"/>
  <c r="H23" i="131"/>
  <c r="D23" i="131"/>
  <c r="F23" i="131"/>
  <c r="C23" i="131"/>
  <c r="E23" i="131"/>
  <c r="A24" i="131"/>
  <c r="J24" i="131" l="1"/>
  <c r="I24" i="131"/>
  <c r="G24" i="131"/>
  <c r="K24" i="131"/>
  <c r="H24" i="131"/>
  <c r="D24" i="131"/>
  <c r="F24" i="131"/>
  <c r="C24" i="131"/>
  <c r="E24" i="131"/>
  <c r="A25" i="131"/>
  <c r="H25" i="131" l="1"/>
  <c r="J25" i="131"/>
  <c r="K25" i="131"/>
  <c r="I25" i="131"/>
  <c r="G25" i="131"/>
  <c r="D25" i="131"/>
  <c r="F25" i="131"/>
  <c r="C25" i="131"/>
  <c r="E25" i="131"/>
  <c r="A26" i="131"/>
  <c r="E40" i="131" l="1"/>
  <c r="I26" i="131"/>
  <c r="H26" i="131"/>
  <c r="K26" i="131"/>
  <c r="G26" i="131"/>
  <c r="J26" i="131"/>
  <c r="D26" i="131"/>
  <c r="F26" i="131"/>
  <c r="C26" i="131"/>
  <c r="C40" i="131" s="1"/>
  <c r="E26" i="131"/>
  <c r="A27" i="131"/>
  <c r="F40" i="131" l="1"/>
  <c r="H27" i="131"/>
  <c r="K27" i="131"/>
  <c r="I27" i="131"/>
  <c r="J27" i="131"/>
  <c r="G27" i="131"/>
  <c r="D27" i="131"/>
  <c r="F27" i="131"/>
  <c r="C27" i="131"/>
  <c r="E27" i="131"/>
  <c r="A28" i="131"/>
  <c r="G40" i="131" l="1"/>
  <c r="D40" i="131"/>
  <c r="J40" i="131"/>
  <c r="I40" i="131"/>
  <c r="K40" i="131"/>
  <c r="H40" i="131"/>
  <c r="H28" i="131"/>
  <c r="I28" i="131"/>
  <c r="J28" i="131"/>
  <c r="K28" i="131"/>
  <c r="G28" i="131"/>
  <c r="D28" i="131"/>
  <c r="F28" i="131"/>
  <c r="C28" i="131"/>
  <c r="E28" i="131"/>
  <c r="A29" i="131"/>
  <c r="I29" i="131" l="1"/>
  <c r="J29" i="131"/>
  <c r="K29" i="131"/>
  <c r="G29" i="131"/>
  <c r="H29" i="131"/>
  <c r="F29" i="131"/>
  <c r="D29" i="131"/>
  <c r="C29" i="131"/>
  <c r="E29" i="131"/>
  <c r="A30" i="131"/>
  <c r="G30" i="131" l="1"/>
  <c r="I30" i="131"/>
  <c r="H30" i="131"/>
  <c r="J30" i="131"/>
  <c r="K30" i="131"/>
  <c r="F30" i="131"/>
  <c r="D30" i="131"/>
  <c r="C30" i="131"/>
  <c r="A31" i="131"/>
  <c r="E30" i="131"/>
  <c r="G31" i="131" l="1"/>
  <c r="H31" i="131"/>
  <c r="J31" i="131"/>
  <c r="I31" i="131"/>
  <c r="K31" i="131"/>
  <c r="F31" i="131"/>
  <c r="D31" i="131"/>
  <c r="C31" i="131"/>
  <c r="A32" i="131"/>
  <c r="E31" i="131"/>
  <c r="A33" i="131" l="1"/>
  <c r="G32" i="131"/>
  <c r="H32" i="131"/>
  <c r="J32" i="131"/>
  <c r="K32" i="131"/>
  <c r="I32" i="131"/>
  <c r="F32" i="131"/>
  <c r="D32" i="131"/>
  <c r="C32" i="131"/>
  <c r="E32" i="131"/>
  <c r="J33" i="131" l="1"/>
  <c r="A34" i="131"/>
  <c r="K33" i="131"/>
  <c r="G33" i="131"/>
  <c r="I33" i="131"/>
  <c r="H33" i="131"/>
  <c r="F33" i="131"/>
  <c r="C33" i="131"/>
  <c r="E33" i="131"/>
  <c r="D33" i="131"/>
  <c r="B65" i="25"/>
  <c r="B60" i="25"/>
  <c r="A64" i="25"/>
  <c r="A59" i="25"/>
  <c r="D34" i="131" l="1"/>
  <c r="C34" i="131"/>
  <c r="F34" i="131"/>
  <c r="K34" i="131"/>
  <c r="J34" i="131"/>
  <c r="H34" i="131"/>
  <c r="I34" i="131"/>
  <c r="A35" i="131"/>
  <c r="G34" i="131"/>
  <c r="E34" i="131"/>
  <c r="ER9" i="25"/>
  <c r="EQ9" i="25"/>
  <c r="EP9" i="25"/>
  <c r="EH9" i="25"/>
  <c r="EG9" i="25"/>
  <c r="EF9" i="25"/>
  <c r="EE9" i="25"/>
  <c r="E35" i="131" l="1"/>
  <c r="A36" i="131"/>
  <c r="K35" i="131"/>
  <c r="J35" i="131"/>
  <c r="H35" i="131"/>
  <c r="I35" i="131"/>
  <c r="G35" i="131"/>
  <c r="F35" i="131"/>
  <c r="D35" i="131"/>
  <c r="C35" i="131"/>
  <c r="EN9" i="25"/>
  <c r="EL9" i="25"/>
  <c r="EJ9" i="25"/>
  <c r="D36" i="131" l="1"/>
  <c r="A37" i="131"/>
  <c r="K36" i="131"/>
  <c r="J36" i="131"/>
  <c r="I36" i="131"/>
  <c r="H36" i="131"/>
  <c r="G36" i="131"/>
  <c r="F36" i="131"/>
  <c r="E36" i="131"/>
  <c r="C36" i="131"/>
  <c r="EI9" i="25"/>
  <c r="K37" i="131" l="1"/>
  <c r="J37" i="131"/>
  <c r="I37" i="131"/>
  <c r="H37" i="131"/>
  <c r="C37" i="131"/>
  <c r="G37" i="131"/>
  <c r="F37" i="131"/>
  <c r="E37" i="131"/>
  <c r="D37" i="131"/>
  <c r="ED9" i="25"/>
  <c r="EB9" i="25" l="1"/>
  <c r="EO9" i="25" l="1"/>
  <c r="D53" i="139" l="1"/>
  <c r="D56" i="139"/>
  <c r="C56" i="139"/>
  <c r="D55" i="139"/>
  <c r="C55" i="139"/>
  <c r="C54" i="139"/>
  <c r="C53" i="139"/>
  <c r="C52" i="139"/>
  <c r="B2" i="139"/>
  <c r="B2" i="131" s="1"/>
  <c r="B5" i="131" l="1"/>
  <c r="D54" i="139"/>
  <c r="B10" i="139"/>
  <c r="B3" i="139"/>
  <c r="B7" i="131" l="1"/>
  <c r="C49" i="131"/>
  <c r="C50" i="131"/>
  <c r="C47" i="131"/>
  <c r="C48" i="131"/>
  <c r="C53" i="131"/>
  <c r="C51" i="131"/>
  <c r="C52" i="131"/>
  <c r="C55" i="131"/>
  <c r="C54" i="131"/>
  <c r="B52" i="131"/>
  <c r="E51" i="131"/>
  <c r="D52" i="131"/>
  <c r="D47" i="131"/>
  <c r="E52" i="131"/>
  <c r="D48" i="131"/>
  <c r="B53" i="131"/>
  <c r="D49" i="131"/>
  <c r="D53" i="131"/>
  <c r="D50" i="131"/>
  <c r="E53" i="131"/>
  <c r="D51" i="131"/>
  <c r="B54" i="131"/>
  <c r="D46" i="131"/>
  <c r="D54" i="131"/>
  <c r="E46" i="131"/>
  <c r="E54" i="131"/>
  <c r="B47" i="131"/>
  <c r="B55" i="131"/>
  <c r="B48" i="131"/>
  <c r="D55" i="131"/>
  <c r="B49" i="131"/>
  <c r="E55" i="131"/>
  <c r="B50" i="131"/>
  <c r="E47" i="131"/>
  <c r="B51" i="131"/>
  <c r="E48" i="131"/>
  <c r="B46" i="131"/>
  <c r="E49" i="131"/>
  <c r="E50" i="131"/>
  <c r="G74" i="131"/>
  <c r="G73" i="131"/>
  <c r="G72" i="131"/>
  <c r="D74" i="131"/>
  <c r="D73" i="131"/>
  <c r="D72" i="131"/>
  <c r="C74" i="131"/>
  <c r="C73" i="131"/>
  <c r="C72" i="131"/>
  <c r="B74" i="131"/>
  <c r="F74" i="131"/>
  <c r="H74" i="131"/>
  <c r="H73" i="131"/>
  <c r="H72" i="131"/>
  <c r="F72" i="131"/>
  <c r="B73" i="131"/>
  <c r="F73" i="131"/>
  <c r="B72" i="131"/>
  <c r="C10" i="139"/>
  <c r="E10" i="139" a="1"/>
  <c r="E10" i="139" s="1"/>
  <c r="B11" i="139"/>
  <c r="E11" i="139" s="1" a="1"/>
  <c r="E11" i="139" s="1"/>
  <c r="EC9" i="25"/>
  <c r="B8" i="131" l="1"/>
  <c r="B12" i="139"/>
  <c r="E12" i="139" s="1" a="1"/>
  <c r="E12" i="139" s="1"/>
  <c r="C11" i="139"/>
  <c r="EK9" i="25"/>
  <c r="B9" i="131" l="1"/>
  <c r="B13" i="139"/>
  <c r="E13" i="139" s="1" a="1"/>
  <c r="E13" i="139" s="1"/>
  <c r="C12" i="139"/>
  <c r="C13" i="139" l="1"/>
  <c r="B14" i="139"/>
  <c r="J14" i="176" l="1"/>
  <c r="C14" i="139"/>
  <c r="D14" i="139" s="1"/>
  <c r="E14" i="139" a="1"/>
  <c r="E14" i="139" s="1"/>
  <c r="B10" i="131"/>
  <c r="B15" i="139"/>
  <c r="K14" i="176" l="1"/>
  <c r="J15" i="197"/>
  <c r="J15" i="195"/>
  <c r="J15" i="176"/>
  <c r="K15" i="176" s="1"/>
  <c r="E15" i="139" a="1"/>
  <c r="E15" i="139" s="1"/>
  <c r="B16" i="139"/>
  <c r="D15" i="139" a="1"/>
  <c r="D15" i="139" s="1"/>
  <c r="J16" i="197" l="1"/>
  <c r="K16" i="197" s="1"/>
  <c r="J16" i="198"/>
  <c r="J16" i="195"/>
  <c r="K16" i="195" s="1"/>
  <c r="J16" i="196"/>
  <c r="J16" i="176"/>
  <c r="K16" i="176" s="1"/>
  <c r="K15" i="195"/>
  <c r="K15" i="197"/>
  <c r="E16" i="139" a="1"/>
  <c r="E16" i="139" s="1"/>
  <c r="D16" i="139" a="1"/>
  <c r="D16" i="139" s="1"/>
  <c r="L15" i="139"/>
  <c r="B17" i="139"/>
  <c r="K16" i="196" l="1"/>
  <c r="J16" i="199"/>
  <c r="K17" i="202"/>
  <c r="L17" i="202" s="1"/>
  <c r="J17" i="200"/>
  <c r="K17" i="200" s="1"/>
  <c r="J17" i="201"/>
  <c r="K17" i="201" s="1"/>
  <c r="J17" i="199"/>
  <c r="K17" i="199" s="1"/>
  <c r="J17" i="197"/>
  <c r="J17" i="198"/>
  <c r="K17" i="198" s="1"/>
  <c r="J17" i="196"/>
  <c r="K17" i="196" s="1"/>
  <c r="J17" i="195"/>
  <c r="J17" i="176"/>
  <c r="K17" i="176" s="1"/>
  <c r="J16" i="201"/>
  <c r="K16" i="198"/>
  <c r="J16" i="200"/>
  <c r="K16" i="202"/>
  <c r="E17" i="139" a="1"/>
  <c r="E17" i="139" s="1"/>
  <c r="B18" i="139"/>
  <c r="D17" i="139" a="1"/>
  <c r="D17" i="139" s="1"/>
  <c r="D18" i="139" s="1" a="1"/>
  <c r="D18" i="139" s="1"/>
  <c r="K17" i="197" l="1"/>
  <c r="K17" i="195"/>
  <c r="K18" i="202"/>
  <c r="L18" i="202" s="1"/>
  <c r="J18" i="200"/>
  <c r="K18" i="200" s="1"/>
  <c r="J18" i="197"/>
  <c r="K18" i="197" s="1"/>
  <c r="J18" i="196"/>
  <c r="J18" i="198"/>
  <c r="K18" i="198" s="1"/>
  <c r="J18" i="199"/>
  <c r="K18" i="199" s="1"/>
  <c r="J18" i="176"/>
  <c r="J18" i="195"/>
  <c r="L16" i="202"/>
  <c r="K16" i="200"/>
  <c r="K16" i="199"/>
  <c r="K16" i="201"/>
  <c r="E18" i="139" a="1"/>
  <c r="E18" i="139" s="1"/>
  <c r="B19" i="139"/>
  <c r="K18" i="195" l="1"/>
  <c r="K18" i="196"/>
  <c r="K18" i="176"/>
  <c r="K19" i="202"/>
  <c r="J19" i="201"/>
  <c r="K19" i="201" s="1"/>
  <c r="J19" i="200"/>
  <c r="J19" i="199"/>
  <c r="J19" i="198"/>
  <c r="K19" i="198" s="1"/>
  <c r="J19" i="197"/>
  <c r="K19" i="197" s="1"/>
  <c r="J19" i="196"/>
  <c r="K19" i="196" s="1"/>
  <c r="J19" i="195"/>
  <c r="K19" i="195" s="1"/>
  <c r="J19" i="176"/>
  <c r="K19" i="176" s="1"/>
  <c r="J18" i="201"/>
  <c r="D19" i="139" a="1"/>
  <c r="D19" i="139" s="1"/>
  <c r="E19" i="139" a="1"/>
  <c r="E19" i="139" s="1"/>
  <c r="B20" i="139"/>
  <c r="L19" i="202" l="1"/>
  <c r="K19" i="200"/>
  <c r="D20" i="139" a="1"/>
  <c r="D20" i="139" s="1"/>
  <c r="D21" i="139" s="1" a="1"/>
  <c r="D21" i="139" s="1"/>
  <c r="K18" i="201"/>
  <c r="K19" i="199"/>
  <c r="J20" i="198"/>
  <c r="J20" i="197"/>
  <c r="K20" i="197" s="1"/>
  <c r="J20" i="199"/>
  <c r="K20" i="199" s="1"/>
  <c r="J20" i="176"/>
  <c r="K20" i="176" s="1"/>
  <c r="J20" i="196"/>
  <c r="J20" i="195"/>
  <c r="E20" i="139" a="1"/>
  <c r="E20" i="139" s="1"/>
  <c r="B21" i="139"/>
  <c r="K20" i="195" l="1"/>
  <c r="K20" i="198"/>
  <c r="K20" i="196"/>
  <c r="J20" i="201"/>
  <c r="J20" i="200"/>
  <c r="K20" i="202"/>
  <c r="K21" i="202"/>
  <c r="L21" i="202" s="1"/>
  <c r="J21" i="201"/>
  <c r="K21" i="201" s="1"/>
  <c r="J21" i="200"/>
  <c r="K21" i="200" s="1"/>
  <c r="J21" i="199"/>
  <c r="K21" i="199" s="1"/>
  <c r="J21" i="198"/>
  <c r="K21" i="198" s="1"/>
  <c r="J21" i="197"/>
  <c r="K21" i="197" s="1"/>
  <c r="J21" i="196"/>
  <c r="K21" i="196" s="1"/>
  <c r="J21" i="176"/>
  <c r="K21" i="176" s="1"/>
  <c r="J21" i="195"/>
  <c r="K21" i="195" s="1"/>
  <c r="E21" i="139" a="1"/>
  <c r="E21" i="139" s="1"/>
  <c r="B22" i="139"/>
  <c r="D22" i="139" l="1" a="1"/>
  <c r="D22" i="139" s="1"/>
  <c r="K22" i="202"/>
  <c r="L22" i="202" s="1"/>
  <c r="J22" i="201"/>
  <c r="K22" i="201" s="1"/>
  <c r="J22" i="200"/>
  <c r="K22" i="200" s="1"/>
  <c r="J22" i="198"/>
  <c r="K22" i="198" s="1"/>
  <c r="J22" i="199"/>
  <c r="K22" i="199" s="1"/>
  <c r="J22" i="197"/>
  <c r="K22" i="197" s="1"/>
  <c r="J22" i="176"/>
  <c r="K22" i="176" s="1"/>
  <c r="J22" i="196"/>
  <c r="K22" i="196" s="1"/>
  <c r="J22" i="195"/>
  <c r="K22" i="195" s="1"/>
  <c r="L20" i="202"/>
  <c r="K20" i="200"/>
  <c r="K20" i="201"/>
  <c r="E22" i="139" a="1"/>
  <c r="E22" i="139" s="1"/>
  <c r="B23" i="139"/>
  <c r="D23" i="139" l="1" a="1"/>
  <c r="D23" i="139" s="1"/>
  <c r="J23" i="200"/>
  <c r="K23" i="200" s="1"/>
  <c r="K23" i="202"/>
  <c r="J23" i="197"/>
  <c r="K23" i="197" s="1"/>
  <c r="J23" i="198"/>
  <c r="K23" i="198" s="1"/>
  <c r="J23" i="199"/>
  <c r="J23" i="176"/>
  <c r="K23" i="176" s="1"/>
  <c r="J23" i="195"/>
  <c r="K23" i="195" s="1"/>
  <c r="J23" i="196"/>
  <c r="K23" i="196" s="1"/>
  <c r="E23" i="139" a="1"/>
  <c r="E23" i="139" s="1"/>
  <c r="B24" i="139"/>
  <c r="K24" i="202" l="1"/>
  <c r="L24" i="202" s="1"/>
  <c r="J24" i="201"/>
  <c r="K24" i="201" s="1"/>
  <c r="J24" i="200"/>
  <c r="J24" i="199"/>
  <c r="K24" i="199" s="1"/>
  <c r="J24" i="198"/>
  <c r="K24" i="198" s="1"/>
  <c r="J24" i="197"/>
  <c r="K24" i="197" s="1"/>
  <c r="J24" i="176"/>
  <c r="K24" i="176" s="1"/>
  <c r="J24" i="196"/>
  <c r="K24" i="196" s="1"/>
  <c r="J24" i="195"/>
  <c r="K24" i="195" s="1"/>
  <c r="K23" i="199"/>
  <c r="J23" i="201"/>
  <c r="L23" i="202"/>
  <c r="B25" i="139"/>
  <c r="E24" i="139" a="1"/>
  <c r="E24" i="139" s="1"/>
  <c r="E35" i="139" s="1"/>
  <c r="D24" i="139" a="1"/>
  <c r="D24" i="139" s="1"/>
  <c r="D25" i="139" l="1" a="1"/>
  <c r="D25" i="139" s="1"/>
  <c r="K23" i="201"/>
  <c r="K24" i="200"/>
  <c r="J25" i="200"/>
  <c r="K25" i="200" s="1"/>
  <c r="J25" i="201"/>
  <c r="K25" i="201" s="1"/>
  <c r="K25" i="202"/>
  <c r="J25" i="199"/>
  <c r="K25" i="199" s="1"/>
  <c r="J25" i="198"/>
  <c r="K25" i="198" s="1"/>
  <c r="J25" i="197"/>
  <c r="K25" i="197" s="1"/>
  <c r="J25" i="195"/>
  <c r="K25" i="195" s="1"/>
  <c r="J25" i="196"/>
  <c r="K25" i="196" s="1"/>
  <c r="J25" i="176"/>
  <c r="K25" i="176" s="1"/>
  <c r="B26" i="139"/>
  <c r="E25" i="139" a="1"/>
  <c r="E25" i="139" s="1"/>
  <c r="E36" i="139" s="1"/>
  <c r="AX9" i="25"/>
  <c r="P9" i="25" s="1"/>
  <c r="EM9" i="25"/>
  <c r="L25" i="202" l="1"/>
  <c r="K26" i="202"/>
  <c r="L26" i="202" s="1"/>
  <c r="J26" i="201"/>
  <c r="K26" i="201" s="1"/>
  <c r="J26" i="200"/>
  <c r="K26" i="200" s="1"/>
  <c r="J26" i="197"/>
  <c r="K26" i="197" s="1"/>
  <c r="J26" i="196"/>
  <c r="K26" i="196" s="1"/>
  <c r="J26" i="199"/>
  <c r="K26" i="199" s="1"/>
  <c r="J26" i="198"/>
  <c r="K26" i="198" s="1"/>
  <c r="J26" i="176"/>
  <c r="K26" i="176" s="1"/>
  <c r="J26" i="195"/>
  <c r="K26" i="195" s="1"/>
  <c r="B27" i="139"/>
  <c r="E26" i="139" a="1"/>
  <c r="E26" i="139" s="1"/>
  <c r="E37" i="139" s="1"/>
  <c r="D26" i="139" a="1"/>
  <c r="D26" i="139" s="1"/>
  <c r="EA9" i="25"/>
  <c r="D27" i="139" l="1" a="1"/>
  <c r="D27" i="139" s="1"/>
  <c r="K27" i="202"/>
  <c r="L27" i="202" s="1"/>
  <c r="J27" i="201"/>
  <c r="K27" i="201" s="1"/>
  <c r="J27" i="200"/>
  <c r="K27" i="200" s="1"/>
  <c r="J27" i="199"/>
  <c r="K27" i="199" s="1"/>
  <c r="J27" i="198"/>
  <c r="K27" i="198" s="1"/>
  <c r="J27" i="197"/>
  <c r="K27" i="197" s="1"/>
  <c r="J27" i="176"/>
  <c r="K27" i="176" s="1"/>
  <c r="J27" i="196"/>
  <c r="K27" i="196" s="1"/>
  <c r="J27" i="195"/>
  <c r="K27" i="195" s="1"/>
  <c r="B28" i="139"/>
  <c r="E27" i="139" a="1"/>
  <c r="E27" i="139" s="1"/>
  <c r="E38" i="139" s="1"/>
  <c r="J28" i="200" l="1"/>
  <c r="K28" i="200" s="1"/>
  <c r="K28" i="202"/>
  <c r="L28" i="202" s="1"/>
  <c r="J28" i="201"/>
  <c r="K28" i="201" s="1"/>
  <c r="J28" i="199"/>
  <c r="K28" i="199" s="1"/>
  <c r="J28" i="198"/>
  <c r="K28" i="198" s="1"/>
  <c r="J28" i="197"/>
  <c r="K28" i="197" s="1"/>
  <c r="J28" i="196"/>
  <c r="K28" i="196" s="1"/>
  <c r="J28" i="176"/>
  <c r="J28" i="195"/>
  <c r="K28" i="195" s="1"/>
  <c r="B29" i="139"/>
  <c r="E28" i="139" a="1"/>
  <c r="E28" i="139" s="1"/>
  <c r="E39" i="139" s="1"/>
  <c r="D28" i="139" a="1"/>
  <c r="D28" i="139" s="1"/>
  <c r="G14" i="139"/>
  <c r="J14" i="139" s="1"/>
  <c r="L14" i="139"/>
  <c r="K28" i="176" l="1"/>
  <c r="J29" i="200"/>
  <c r="K29" i="200" s="1"/>
  <c r="K29" i="202"/>
  <c r="L29" i="202" s="1"/>
  <c r="J29" i="201"/>
  <c r="K29" i="201" s="1"/>
  <c r="J29" i="199"/>
  <c r="K29" i="199" s="1"/>
  <c r="J29" i="198"/>
  <c r="K29" i="198" s="1"/>
  <c r="J29" i="197"/>
  <c r="J29" i="195"/>
  <c r="J29" i="176"/>
  <c r="K29" i="176" s="1"/>
  <c r="J29" i="196"/>
  <c r="K29" i="196" s="1"/>
  <c r="D29" i="139" a="1"/>
  <c r="D29" i="139" s="1"/>
  <c r="B30" i="139"/>
  <c r="E29" i="139" a="1"/>
  <c r="E29" i="139" s="1"/>
  <c r="E40" i="139" s="1"/>
  <c r="B11" i="131"/>
  <c r="G15" i="139"/>
  <c r="J15" i="139" s="1"/>
  <c r="K15" i="139" s="1"/>
  <c r="B12" i="131"/>
  <c r="K14" i="139"/>
  <c r="K29" i="195" l="1"/>
  <c r="J30" i="197"/>
  <c r="K30" i="197" s="1"/>
  <c r="J30" i="198"/>
  <c r="J30" i="196"/>
  <c r="J30" i="176"/>
  <c r="K30" i="176" s="1"/>
  <c r="J30" i="195"/>
  <c r="K30" i="195" s="1"/>
  <c r="K29" i="197"/>
  <c r="B31" i="139"/>
  <c r="E30" i="139" a="1"/>
  <c r="E30" i="139" s="1"/>
  <c r="E41" i="139" s="1"/>
  <c r="D30" i="139" a="1"/>
  <c r="D30" i="139" s="1"/>
  <c r="L16" i="139"/>
  <c r="G16" i="139"/>
  <c r="J16" i="139" s="1"/>
  <c r="K30" i="198" l="1"/>
  <c r="J30" i="200"/>
  <c r="D31" i="139" a="1"/>
  <c r="D31" i="139" s="1"/>
  <c r="J30" i="201"/>
  <c r="J31" i="201"/>
  <c r="K31" i="201" s="1"/>
  <c r="J31" i="200"/>
  <c r="K31" i="200" s="1"/>
  <c r="K31" i="202"/>
  <c r="L31" i="202" s="1"/>
  <c r="J31" i="197"/>
  <c r="K31" i="197" s="1"/>
  <c r="J31" i="198"/>
  <c r="K31" i="198" s="1"/>
  <c r="J31" i="199"/>
  <c r="K31" i="199" s="1"/>
  <c r="J31" i="195"/>
  <c r="K31" i="195" s="1"/>
  <c r="J31" i="196"/>
  <c r="K31" i="196" s="1"/>
  <c r="J31" i="176"/>
  <c r="K31" i="176" s="1"/>
  <c r="K30" i="196"/>
  <c r="J30" i="199"/>
  <c r="K30" i="202"/>
  <c r="B32" i="139"/>
  <c r="E31" i="139" a="1"/>
  <c r="E31" i="139" s="1"/>
  <c r="E42" i="139" s="1"/>
  <c r="B13" i="131"/>
  <c r="L17" i="139"/>
  <c r="B14" i="131" s="1"/>
  <c r="G17" i="139"/>
  <c r="J17" i="139" s="1"/>
  <c r="K17" i="139" s="1"/>
  <c r="K16" i="139"/>
  <c r="K30" i="199" l="1"/>
  <c r="L30" i="202"/>
  <c r="K30" i="201"/>
  <c r="K30" i="200"/>
  <c r="B33" i="139"/>
  <c r="E32" i="139" a="1"/>
  <c r="E32" i="139" s="1"/>
  <c r="D32" i="139" a="1"/>
  <c r="D32" i="139" s="1"/>
  <c r="G18" i="139"/>
  <c r="J18" i="139" s="1"/>
  <c r="K18" i="139" s="1"/>
  <c r="L18" i="139"/>
  <c r="B15" i="131" s="1"/>
  <c r="B34" i="139" l="1"/>
  <c r="J32" i="195"/>
  <c r="K32" i="195" s="1"/>
  <c r="J32" i="196"/>
  <c r="K32" i="196" s="1"/>
  <c r="J32" i="198"/>
  <c r="K32" i="198" s="1"/>
  <c r="J32" i="201"/>
  <c r="K32" i="201" s="1"/>
  <c r="J32" i="176"/>
  <c r="K32" i="176" s="1"/>
  <c r="D33" i="139"/>
  <c r="D34" i="139" s="1"/>
  <c r="D35" i="139" s="1"/>
  <c r="D36" i="139" s="1"/>
  <c r="D37" i="139" s="1"/>
  <c r="D38" i="139" s="1"/>
  <c r="D39" i="139" s="1"/>
  <c r="D40" i="139" s="1"/>
  <c r="D41" i="139" s="1"/>
  <c r="D42" i="139" s="1"/>
  <c r="D43" i="139" s="1"/>
  <c r="D44" i="139" s="1"/>
  <c r="D45" i="139" s="1"/>
  <c r="D46" i="139" s="1"/>
  <c r="E33" i="139"/>
  <c r="E43" i="139"/>
  <c r="J32" i="199"/>
  <c r="K32" i="199" s="1"/>
  <c r="J32" i="197"/>
  <c r="K32" i="197" s="1"/>
  <c r="J32" i="200"/>
  <c r="K32" i="200" s="1"/>
  <c r="K32" i="202"/>
  <c r="L32" i="202" s="1"/>
  <c r="G19" i="139"/>
  <c r="J19" i="139" s="1"/>
  <c r="K19" i="139" s="1"/>
  <c r="L19" i="139"/>
  <c r="B16" i="131" s="1"/>
  <c r="B35" i="139" l="1"/>
  <c r="B36" i="139"/>
  <c r="E34" i="139"/>
  <c r="E44" i="139"/>
  <c r="J33" i="201"/>
  <c r="K33" i="201" s="1"/>
  <c r="K33" i="202"/>
  <c r="L33" i="202" s="1"/>
  <c r="J33" i="200"/>
  <c r="K33" i="200" s="1"/>
  <c r="J33" i="197"/>
  <c r="K33" i="197" s="1"/>
  <c r="J33" i="176"/>
  <c r="K33" i="176" s="1"/>
  <c r="J33" i="198"/>
  <c r="K33" i="198" s="1"/>
  <c r="J33" i="196"/>
  <c r="K33" i="196" s="1"/>
  <c r="J33" i="195"/>
  <c r="K33" i="195" s="1"/>
  <c r="J33" i="199"/>
  <c r="K33" i="199" s="1"/>
  <c r="G20" i="139"/>
  <c r="L20" i="139"/>
  <c r="B17" i="131" s="1"/>
  <c r="J20" i="139" l="1"/>
  <c r="K20" i="139" s="1"/>
  <c r="E45" i="139"/>
  <c r="E46" i="139"/>
  <c r="G35" i="139"/>
  <c r="J35" i="139" s="1"/>
  <c r="K35" i="139" s="1"/>
  <c r="L35" i="139"/>
  <c r="B37" i="139"/>
  <c r="J34" i="197"/>
  <c r="K34" i="197" s="1"/>
  <c r="J34" i="176"/>
  <c r="K34" i="176" s="1"/>
  <c r="J34" i="200"/>
  <c r="K34" i="200" s="1"/>
  <c r="K34" i="202"/>
  <c r="L34" i="202" s="1"/>
  <c r="J34" i="199"/>
  <c r="K34" i="199" s="1"/>
  <c r="J34" i="201"/>
  <c r="K34" i="201" s="1"/>
  <c r="J34" i="195"/>
  <c r="K34" i="195" s="1"/>
  <c r="J34" i="196"/>
  <c r="K34" i="196" s="1"/>
  <c r="J34" i="198"/>
  <c r="K34" i="198" s="1"/>
  <c r="G21" i="139"/>
  <c r="J21" i="139" s="1"/>
  <c r="K21" i="139" s="1"/>
  <c r="L21" i="139"/>
  <c r="B18" i="131" s="1"/>
  <c r="K35" i="202" l="1"/>
  <c r="L35" i="202" s="1"/>
  <c r="J35" i="201"/>
  <c r="K35" i="201" s="1"/>
  <c r="J35" i="200"/>
  <c r="K35" i="200" s="1"/>
  <c r="J35" i="199"/>
  <c r="K35" i="199" s="1"/>
  <c r="J35" i="198"/>
  <c r="K35" i="198" s="1"/>
  <c r="J35" i="197"/>
  <c r="K35" i="197" s="1"/>
  <c r="J35" i="196"/>
  <c r="K35" i="196" s="1"/>
  <c r="J35" i="195"/>
  <c r="K35" i="195" s="1"/>
  <c r="L36" i="139"/>
  <c r="B33" i="131" s="1"/>
  <c r="G36" i="139"/>
  <c r="J36" i="139" s="1"/>
  <c r="K36" i="139" s="1"/>
  <c r="B38" i="139"/>
  <c r="J35" i="176"/>
  <c r="K35" i="176" s="1"/>
  <c r="L22" i="139"/>
  <c r="B19" i="131" s="1"/>
  <c r="G22" i="139"/>
  <c r="J22" i="139" s="1"/>
  <c r="K22" i="139" s="1"/>
  <c r="K36" i="202" l="1"/>
  <c r="L36" i="202" s="1"/>
  <c r="J36" i="200"/>
  <c r="K36" i="200" s="1"/>
  <c r="J36" i="199"/>
  <c r="K36" i="199" s="1"/>
  <c r="J36" i="198"/>
  <c r="K36" i="198" s="1"/>
  <c r="J36" i="197"/>
  <c r="K36" i="197" s="1"/>
  <c r="J36" i="196"/>
  <c r="K36" i="196" s="1"/>
  <c r="J36" i="195"/>
  <c r="K36" i="195" s="1"/>
  <c r="L37" i="139"/>
  <c r="B34" i="131" s="1"/>
  <c r="G37" i="139"/>
  <c r="J37" i="139" s="1"/>
  <c r="K37" i="139" s="1"/>
  <c r="B39" i="139"/>
  <c r="J36" i="176"/>
  <c r="K36" i="176" s="1"/>
  <c r="G23" i="139"/>
  <c r="J23" i="139" s="1"/>
  <c r="K23" i="139" s="1"/>
  <c r="L23" i="139"/>
  <c r="B20" i="131" s="1"/>
  <c r="K37" i="202" l="1"/>
  <c r="L37" i="202" s="1"/>
  <c r="J37" i="200"/>
  <c r="K37" i="200" s="1"/>
  <c r="J37" i="199"/>
  <c r="K37" i="199" s="1"/>
  <c r="J37" i="198"/>
  <c r="K37" i="198" s="1"/>
  <c r="J37" i="197"/>
  <c r="K37" i="197" s="1"/>
  <c r="J37" i="196"/>
  <c r="K37" i="196" s="1"/>
  <c r="J37" i="195"/>
  <c r="K37" i="195" s="1"/>
  <c r="L38" i="139"/>
  <c r="B35" i="131" s="1"/>
  <c r="G38" i="139"/>
  <c r="J38" i="139" s="1"/>
  <c r="K38" i="139" s="1"/>
  <c r="B40" i="139"/>
  <c r="J37" i="176"/>
  <c r="K37" i="176" s="1"/>
  <c r="G24" i="139"/>
  <c r="J24" i="139" s="1"/>
  <c r="K24" i="139" s="1"/>
  <c r="L24" i="139"/>
  <c r="B21" i="131" s="1"/>
  <c r="K38" i="202" l="1"/>
  <c r="L38" i="202" s="1"/>
  <c r="J38" i="200"/>
  <c r="K38" i="200" s="1"/>
  <c r="J38" i="199"/>
  <c r="K38" i="199" s="1"/>
  <c r="J38" i="198"/>
  <c r="K38" i="198" s="1"/>
  <c r="J38" i="197"/>
  <c r="K38" i="197" s="1"/>
  <c r="J38" i="196"/>
  <c r="K38" i="196" s="1"/>
  <c r="J38" i="195"/>
  <c r="K38" i="195" s="1"/>
  <c r="L39" i="139"/>
  <c r="B36" i="131" s="1"/>
  <c r="G39" i="139"/>
  <c r="J39" i="139" s="1"/>
  <c r="K39" i="139" s="1"/>
  <c r="B41" i="139"/>
  <c r="J38" i="176"/>
  <c r="K38" i="176" s="1"/>
  <c r="G25" i="139"/>
  <c r="J25" i="139" s="1"/>
  <c r="K25" i="139" s="1"/>
  <c r="L25" i="139"/>
  <c r="B22" i="131" s="1"/>
  <c r="K39" i="202" l="1"/>
  <c r="L39" i="202" s="1"/>
  <c r="J39" i="200"/>
  <c r="K39" i="200" s="1"/>
  <c r="J39" i="199"/>
  <c r="K39" i="199" s="1"/>
  <c r="J39" i="198"/>
  <c r="K39" i="198" s="1"/>
  <c r="J39" i="197"/>
  <c r="K39" i="197" s="1"/>
  <c r="J39" i="196"/>
  <c r="K39" i="196" s="1"/>
  <c r="J39" i="195"/>
  <c r="K39" i="195" s="1"/>
  <c r="L40" i="139"/>
  <c r="B37" i="131" s="1"/>
  <c r="G40" i="139"/>
  <c r="J40" i="139" s="1"/>
  <c r="K40" i="139" s="1"/>
  <c r="B42" i="139"/>
  <c r="J39" i="176"/>
  <c r="K39" i="176" s="1"/>
  <c r="G26" i="139"/>
  <c r="J26" i="139" s="1"/>
  <c r="K26" i="139" s="1"/>
  <c r="L26" i="139"/>
  <c r="B23" i="131" s="1"/>
  <c r="K40" i="202" l="1"/>
  <c r="J40" i="200"/>
  <c r="J40" i="199"/>
  <c r="J40" i="198"/>
  <c r="K40" i="198" s="1"/>
  <c r="J40" i="197"/>
  <c r="K40" i="197" s="1"/>
  <c r="J40" i="196"/>
  <c r="K40" i="196" s="1"/>
  <c r="J40" i="195"/>
  <c r="K40" i="195" s="1"/>
  <c r="G41" i="139"/>
  <c r="J41" i="139" s="1"/>
  <c r="K41" i="139" s="1"/>
  <c r="L41" i="139"/>
  <c r="B43" i="139"/>
  <c r="J40" i="176"/>
  <c r="K40" i="176" s="1"/>
  <c r="G27" i="139"/>
  <c r="J27" i="139" s="1"/>
  <c r="K27" i="139" s="1"/>
  <c r="L27" i="139"/>
  <c r="B24" i="131" s="1"/>
  <c r="K40" i="200" l="1"/>
  <c r="K48" i="200" s="1"/>
  <c r="J48" i="200"/>
  <c r="K40" i="199"/>
  <c r="K48" i="199" s="1"/>
  <c r="J48" i="199"/>
  <c r="K48" i="201"/>
  <c r="J48" i="201"/>
  <c r="L40" i="202"/>
  <c r="L48" i="202" s="1"/>
  <c r="K48" i="202"/>
  <c r="K41" i="202"/>
  <c r="L41" i="202" s="1"/>
  <c r="J41" i="200"/>
  <c r="K41" i="200" s="1"/>
  <c r="J41" i="199"/>
  <c r="K41" i="199" s="1"/>
  <c r="J41" i="198"/>
  <c r="K41" i="198" s="1"/>
  <c r="J41" i="197"/>
  <c r="K41" i="197" s="1"/>
  <c r="J41" i="196"/>
  <c r="K41" i="196" s="1"/>
  <c r="J41" i="195"/>
  <c r="K41" i="195" s="1"/>
  <c r="L42" i="139"/>
  <c r="G42" i="139"/>
  <c r="J42" i="139" s="1"/>
  <c r="K42" i="139" s="1"/>
  <c r="B44" i="139"/>
  <c r="J41" i="176"/>
  <c r="K41" i="176" s="1"/>
  <c r="G28" i="139"/>
  <c r="J28" i="139" s="1"/>
  <c r="L28" i="139"/>
  <c r="K42" i="202" l="1"/>
  <c r="L42" i="202" s="1"/>
  <c r="J42" i="200"/>
  <c r="K42" i="200" s="1"/>
  <c r="J42" i="199"/>
  <c r="K42" i="199" s="1"/>
  <c r="J42" i="198"/>
  <c r="K42" i="198" s="1"/>
  <c r="J42" i="197"/>
  <c r="K42" i="197" s="1"/>
  <c r="J42" i="196"/>
  <c r="K42" i="196" s="1"/>
  <c r="J42" i="195"/>
  <c r="K42" i="195" s="1"/>
  <c r="L43" i="139"/>
  <c r="G43" i="139"/>
  <c r="J43" i="139" s="1"/>
  <c r="B45" i="139"/>
  <c r="J42" i="176"/>
  <c r="K42" i="176" s="1"/>
  <c r="K28" i="139"/>
  <c r="B25" i="131"/>
  <c r="B40" i="131" s="1"/>
  <c r="C46" i="131" s="1"/>
  <c r="G29" i="139"/>
  <c r="J29" i="139" s="1"/>
  <c r="K29" i="139" s="1"/>
  <c r="L29" i="139"/>
  <c r="B26" i="131" s="1"/>
  <c r="K43" i="139" l="1"/>
  <c r="K43" i="202"/>
  <c r="L43" i="202" s="1"/>
  <c r="J43" i="200"/>
  <c r="K43" i="200" s="1"/>
  <c r="J43" i="199"/>
  <c r="K43" i="199" s="1"/>
  <c r="J43" i="198"/>
  <c r="K43" i="198" s="1"/>
  <c r="J43" i="197"/>
  <c r="K43" i="197" s="1"/>
  <c r="J43" i="176"/>
  <c r="J43" i="196"/>
  <c r="K43" i="196" s="1"/>
  <c r="J43" i="195"/>
  <c r="K43" i="195" s="1"/>
  <c r="B46" i="139"/>
  <c r="G45" i="139"/>
  <c r="J45" i="139" s="1"/>
  <c r="K45" i="139" s="1"/>
  <c r="L45" i="139"/>
  <c r="B32" i="131" s="1"/>
  <c r="L44" i="139"/>
  <c r="G44" i="139"/>
  <c r="J44" i="139" s="1"/>
  <c r="K44" i="139" s="1"/>
  <c r="G31" i="139"/>
  <c r="J31" i="139" s="1"/>
  <c r="K31" i="139" s="1"/>
  <c r="L31" i="139"/>
  <c r="B28" i="131" s="1"/>
  <c r="G30" i="139"/>
  <c r="J30" i="139" s="1"/>
  <c r="L30" i="139"/>
  <c r="B27" i="131" s="1"/>
  <c r="K43" i="176" l="1"/>
  <c r="K48" i="176" s="1"/>
  <c r="J48" i="176"/>
  <c r="K44" i="202"/>
  <c r="L44" i="202" s="1"/>
  <c r="J44" i="200"/>
  <c r="K44" i="200" s="1"/>
  <c r="J44" i="199"/>
  <c r="K44" i="199" s="1"/>
  <c r="J44" i="198"/>
  <c r="K44" i="198" s="1"/>
  <c r="J44" i="197"/>
  <c r="J44" i="176"/>
  <c r="K44" i="176" s="1"/>
  <c r="J44" i="196"/>
  <c r="K44" i="196" s="1"/>
  <c r="J44" i="195"/>
  <c r="L46" i="139"/>
  <c r="G46" i="139"/>
  <c r="J46" i="139" s="1"/>
  <c r="K46" i="139" s="1"/>
  <c r="L33" i="139"/>
  <c r="B30" i="131" s="1"/>
  <c r="G33" i="139"/>
  <c r="J33" i="139" s="1"/>
  <c r="K33" i="139" s="1"/>
  <c r="L32" i="139"/>
  <c r="B29" i="131" s="1"/>
  <c r="G32" i="139"/>
  <c r="J32" i="139" s="1"/>
  <c r="K32" i="139" s="1"/>
  <c r="K30" i="139"/>
  <c r="K44" i="195" l="1"/>
  <c r="K48" i="195" s="1"/>
  <c r="J48" i="195"/>
  <c r="K44" i="197"/>
  <c r="K48" i="197" s="1"/>
  <c r="J48" i="197"/>
  <c r="K46" i="202"/>
  <c r="L46" i="202" s="1"/>
  <c r="K45" i="202"/>
  <c r="L45" i="202" s="1"/>
  <c r="J45" i="200"/>
  <c r="K45" i="200" s="1"/>
  <c r="J46" i="200"/>
  <c r="K46" i="200" s="1"/>
  <c r="J45" i="199"/>
  <c r="K45" i="199" s="1"/>
  <c r="J46" i="199"/>
  <c r="K46" i="199" s="1"/>
  <c r="J45" i="198"/>
  <c r="J46" i="198"/>
  <c r="K46" i="198" s="1"/>
  <c r="J46" i="197"/>
  <c r="K46" i="197" s="1"/>
  <c r="J45" i="197"/>
  <c r="K45" i="197" s="1"/>
  <c r="J45" i="176"/>
  <c r="K45" i="176" s="1"/>
  <c r="J46" i="176"/>
  <c r="K46" i="176" s="1"/>
  <c r="J45" i="196"/>
  <c r="J46" i="196"/>
  <c r="K46" i="196" s="1"/>
  <c r="J46" i="195"/>
  <c r="K46" i="195" s="1"/>
  <c r="J45" i="195"/>
  <c r="K45" i="195" s="1"/>
  <c r="L34" i="139"/>
  <c r="L48" i="139" s="1"/>
  <c r="G34" i="139"/>
  <c r="J34" i="139" s="1"/>
  <c r="K34" i="139" s="1"/>
  <c r="K48" i="139" s="1"/>
  <c r="K45" i="196" l="1"/>
  <c r="K48" i="196" s="1"/>
  <c r="J48" i="196"/>
  <c r="K45" i="198"/>
  <c r="K48" i="198" s="1"/>
  <c r="J48" i="198"/>
  <c r="J48" i="139"/>
  <c r="B31" i="131"/>
  <c r="DS9" i="25" l="1"/>
  <c r="B55" i="25" l="1"/>
  <c r="D9" i="28" l="1"/>
  <c r="DX9" i="25" l="1"/>
  <c r="DV9" i="25"/>
  <c r="ET9" i="25" l="1"/>
  <c r="ES9" i="25"/>
  <c r="DZ9" i="25"/>
  <c r="DY9" i="25"/>
  <c r="DW9" i="25" l="1"/>
  <c r="DU9" i="25"/>
  <c r="DT9" i="25"/>
  <c r="DR9" i="25"/>
  <c r="C10" i="25" l="1"/>
  <c r="E72" i="131" l="1"/>
  <c r="E74" i="131" l="1"/>
  <c r="E73" i="131"/>
  <c r="E9" i="28" l="1"/>
  <c r="F9" i="28"/>
  <c r="B53" i="28" l="1"/>
  <c r="B18" i="28" l="1"/>
  <c r="B19" i="28" l="1"/>
  <c r="B20" i="28" l="1"/>
  <c r="B21" i="28" l="1"/>
  <c r="B3" i="31"/>
  <c r="B22" i="28" l="1"/>
  <c r="B23" i="28" l="1"/>
  <c r="B24" i="28" l="1"/>
  <c r="B25" i="28" l="1"/>
  <c r="B26" i="28" l="1"/>
  <c r="B27" i="28" l="1"/>
  <c r="B28" i="28" l="1"/>
  <c r="B29" i="28" l="1"/>
  <c r="B30" i="28" l="1"/>
  <c r="B31" i="28" l="1"/>
  <c r="B32" i="28" l="1"/>
  <c r="B33" i="28" l="1"/>
  <c r="B34" i="28" l="1"/>
  <c r="B35" i="28" l="1"/>
  <c r="B36" i="28" s="1"/>
  <c r="D36" i="28" l="1"/>
  <c r="B37" i="28"/>
  <c r="E36" i="28"/>
  <c r="F36" i="28"/>
  <c r="C36" i="28"/>
  <c r="E37" i="28" l="1"/>
  <c r="C37" i="28"/>
  <c r="F37" i="28"/>
  <c r="D37" i="28"/>
  <c r="F30" i="28" l="1"/>
  <c r="F27" i="28"/>
  <c r="D26" i="28"/>
  <c r="D18" i="28"/>
  <c r="D34" i="28"/>
  <c r="E29" i="28"/>
  <c r="D22" i="28"/>
  <c r="F20" i="28"/>
  <c r="D23" i="28"/>
  <c r="F18" i="28"/>
  <c r="D35" i="28"/>
  <c r="E22" i="28"/>
  <c r="E33" i="28"/>
  <c r="D27" i="28"/>
  <c r="D30" i="28"/>
  <c r="E35" i="28"/>
  <c r="F22" i="28"/>
  <c r="E26" i="28"/>
  <c r="D19" i="28"/>
  <c r="F17" i="28"/>
  <c r="E30" i="28"/>
  <c r="F23" i="28"/>
  <c r="E20" i="28"/>
  <c r="E24" i="28"/>
  <c r="D31" i="28"/>
  <c r="D17" i="28"/>
  <c r="E19" i="28"/>
  <c r="D29" i="28"/>
  <c r="D33" i="28"/>
  <c r="F32" i="28"/>
  <c r="E23" i="28"/>
  <c r="D20" i="28"/>
  <c r="E17" i="28"/>
  <c r="E34" i="28"/>
  <c r="D32" i="28"/>
  <c r="F31" i="28"/>
  <c r="F26" i="28"/>
  <c r="E28" i="28"/>
  <c r="F34" i="28"/>
  <c r="F29" i="28"/>
  <c r="D21" i="28"/>
  <c r="D25" i="28"/>
  <c r="F21" i="28"/>
  <c r="E27" i="28"/>
  <c r="F24" i="28"/>
  <c r="D24" i="28"/>
  <c r="E21" i="28"/>
  <c r="F35" i="28"/>
  <c r="F25" i="28"/>
  <c r="E32" i="28"/>
  <c r="E18" i="28"/>
  <c r="F33" i="28"/>
  <c r="E31" i="28"/>
  <c r="F28" i="28"/>
  <c r="F19" i="28"/>
  <c r="D28" i="28"/>
  <c r="E25" i="28"/>
  <c r="J10" i="31"/>
  <c r="B9" i="31" s="1"/>
  <c r="J9" i="31" l="1"/>
  <c r="I25" i="31" l="1"/>
  <c r="I14" i="31"/>
  <c r="K10" i="31"/>
  <c r="I26" i="31" l="1"/>
  <c r="I15" i="31"/>
  <c r="I37" i="31"/>
  <c r="I49" i="31" l="1"/>
  <c r="I38" i="31"/>
  <c r="I27" i="31"/>
  <c r="I16" i="31"/>
  <c r="I39" i="31" l="1"/>
  <c r="I61" i="31"/>
  <c r="I17" i="31"/>
  <c r="I28" i="31"/>
  <c r="I50" i="31"/>
  <c r="I62" i="31" l="1"/>
  <c r="I40" i="31"/>
  <c r="I51" i="31"/>
  <c r="I29" i="31"/>
  <c r="I18" i="31"/>
  <c r="I73" i="31"/>
  <c r="I19" i="31" l="1"/>
  <c r="I30" i="31"/>
  <c r="I74" i="31"/>
  <c r="I85" i="31"/>
  <c r="I41" i="31"/>
  <c r="I63" i="31"/>
  <c r="I52" i="31"/>
  <c r="I64" i="31" l="1"/>
  <c r="I53" i="31"/>
  <c r="I97" i="31"/>
  <c r="I42" i="31"/>
  <c r="I75" i="31"/>
  <c r="I86" i="31"/>
  <c r="I31" i="31"/>
  <c r="I20" i="31"/>
  <c r="I43" i="31" l="1"/>
  <c r="I87" i="31"/>
  <c r="I54" i="31"/>
  <c r="I109" i="31"/>
  <c r="I76" i="31"/>
  <c r="I21" i="31"/>
  <c r="I32" i="31"/>
  <c r="I98" i="31"/>
  <c r="I65" i="31"/>
  <c r="I44" i="31" l="1"/>
  <c r="I66" i="31"/>
  <c r="I77" i="31"/>
  <c r="I110" i="31"/>
  <c r="I33" i="31"/>
  <c r="I22" i="31"/>
  <c r="I88" i="31"/>
  <c r="I121" i="31"/>
  <c r="I99" i="31"/>
  <c r="I55" i="31"/>
  <c r="I133" i="31" l="1"/>
  <c r="I67" i="31"/>
  <c r="I100" i="31"/>
  <c r="I45" i="31"/>
  <c r="I122" i="31"/>
  <c r="I56" i="31"/>
  <c r="I111" i="31"/>
  <c r="I23" i="31"/>
  <c r="I34" i="31"/>
  <c r="I89" i="31"/>
  <c r="I78" i="31"/>
  <c r="I134" i="31" l="1"/>
  <c r="I145" i="31"/>
  <c r="I90" i="31"/>
  <c r="I35" i="31"/>
  <c r="I24" i="31"/>
  <c r="I123" i="31"/>
  <c r="I79" i="31"/>
  <c r="I101" i="31"/>
  <c r="I46" i="31"/>
  <c r="I68" i="31"/>
  <c r="I57" i="31"/>
  <c r="I112" i="31"/>
  <c r="I135" i="31" l="1"/>
  <c r="I157" i="31"/>
  <c r="I146" i="31"/>
  <c r="I69" i="31"/>
  <c r="I80" i="31"/>
  <c r="I113" i="31"/>
  <c r="I91" i="31"/>
  <c r="I47" i="31"/>
  <c r="I124" i="31"/>
  <c r="I58" i="31"/>
  <c r="I36" i="31"/>
  <c r="I102" i="31"/>
  <c r="I169" i="31" l="1"/>
  <c r="I136" i="31"/>
  <c r="I158" i="31"/>
  <c r="I147" i="31"/>
  <c r="I114" i="31"/>
  <c r="I103" i="31"/>
  <c r="I81" i="31"/>
  <c r="I48" i="31"/>
  <c r="I70" i="31"/>
  <c r="I59" i="31"/>
  <c r="I125" i="31"/>
  <c r="I92" i="31"/>
  <c r="I159" i="31" l="1"/>
  <c r="I148" i="31"/>
  <c r="I137" i="31"/>
  <c r="I170" i="31"/>
  <c r="I181" i="31"/>
  <c r="I104" i="31"/>
  <c r="I82" i="31"/>
  <c r="I93" i="31"/>
  <c r="I71" i="31"/>
  <c r="I60" i="31"/>
  <c r="I115" i="31"/>
  <c r="I126" i="31"/>
  <c r="I182" i="31" l="1"/>
  <c r="I160" i="31"/>
  <c r="I138" i="31"/>
  <c r="I193" i="31"/>
  <c r="I149" i="31"/>
  <c r="I171" i="31"/>
  <c r="I127" i="31"/>
  <c r="I83" i="31"/>
  <c r="I105" i="31"/>
  <c r="I94" i="31"/>
  <c r="I72" i="31"/>
  <c r="I116" i="31"/>
  <c r="I172" i="31" l="1"/>
  <c r="I194" i="31"/>
  <c r="I205" i="31"/>
  <c r="I183" i="31"/>
  <c r="I139" i="31"/>
  <c r="I161" i="31"/>
  <c r="I150" i="31"/>
  <c r="I117" i="31"/>
  <c r="I95" i="31"/>
  <c r="I128" i="31"/>
  <c r="I84" i="31"/>
  <c r="I106" i="31"/>
  <c r="I173" i="31" l="1"/>
  <c r="I195" i="31"/>
  <c r="I206" i="31"/>
  <c r="I140" i="31"/>
  <c r="I162" i="31"/>
  <c r="I151" i="31"/>
  <c r="I217" i="31"/>
  <c r="I184" i="31"/>
  <c r="I118" i="31"/>
  <c r="I107" i="31"/>
  <c r="I96" i="31"/>
  <c r="I129" i="31"/>
  <c r="I196" i="31" l="1"/>
  <c r="I163" i="31"/>
  <c r="I152" i="31"/>
  <c r="I207" i="31"/>
  <c r="I141" i="31"/>
  <c r="I218" i="31"/>
  <c r="I229" i="31"/>
  <c r="I174" i="31"/>
  <c r="I185" i="31"/>
  <c r="I119" i="31"/>
  <c r="I108" i="31"/>
  <c r="I130" i="31"/>
  <c r="I241" i="31" l="1"/>
  <c r="I175" i="31"/>
  <c r="I219" i="31"/>
  <c r="I197" i="31"/>
  <c r="I186" i="31"/>
  <c r="I230" i="31"/>
  <c r="I142" i="31"/>
  <c r="I153" i="31"/>
  <c r="I164" i="31"/>
  <c r="I208" i="31"/>
  <c r="I131" i="31"/>
  <c r="I120" i="31"/>
  <c r="I242" i="31" l="1"/>
  <c r="I253" i="31"/>
  <c r="I220" i="31"/>
  <c r="I165" i="31"/>
  <c r="I154" i="31"/>
  <c r="I198" i="31"/>
  <c r="I231" i="31"/>
  <c r="I265" i="31"/>
  <c r="I209" i="31"/>
  <c r="I143" i="31"/>
  <c r="I176" i="31"/>
  <c r="I187" i="31"/>
  <c r="I132" i="31"/>
  <c r="I243" i="31" l="1"/>
  <c r="I254" i="31"/>
  <c r="I210" i="31"/>
  <c r="I177" i="31"/>
  <c r="I144" i="31"/>
  <c r="I266" i="31"/>
  <c r="I155" i="31"/>
  <c r="I232" i="31"/>
  <c r="I199" i="31"/>
  <c r="I188" i="31"/>
  <c r="I221" i="31"/>
  <c r="I166" i="31"/>
  <c r="I244" i="31" l="1"/>
  <c r="I255" i="31"/>
  <c r="I267" i="31"/>
  <c r="I200" i="31"/>
  <c r="I189" i="31"/>
  <c r="I233" i="31"/>
  <c r="I178" i="31"/>
  <c r="I211" i="31"/>
  <c r="I167" i="31"/>
  <c r="I156" i="31"/>
  <c r="I222" i="31"/>
  <c r="I245" i="31" l="1"/>
  <c r="I256" i="31"/>
  <c r="I268" i="31" s="1"/>
  <c r="I201" i="31"/>
  <c r="I212" i="31"/>
  <c r="I179" i="31"/>
  <c r="I190" i="31"/>
  <c r="I234" i="31"/>
  <c r="I223" i="31"/>
  <c r="I168" i="31"/>
  <c r="I246" i="31" l="1"/>
  <c r="I257" i="31"/>
  <c r="I269" i="31" s="1"/>
  <c r="I224" i="31"/>
  <c r="I213" i="31"/>
  <c r="I235" i="31"/>
  <c r="I202" i="31"/>
  <c r="I180" i="31"/>
  <c r="I191" i="31"/>
  <c r="I247" i="31" l="1"/>
  <c r="I258" i="31"/>
  <c r="I270" i="31" s="1"/>
  <c r="C32" i="28"/>
  <c r="C28" i="28"/>
  <c r="C33" i="28"/>
  <c r="I192" i="31"/>
  <c r="I225" i="31"/>
  <c r="I203" i="31"/>
  <c r="I214" i="31"/>
  <c r="I236" i="31"/>
  <c r="C9" i="28"/>
  <c r="I248" i="31" l="1"/>
  <c r="I259" i="31"/>
  <c r="I271" i="31" s="1"/>
  <c r="C23" i="28"/>
  <c r="C18" i="28"/>
  <c r="C21" i="28"/>
  <c r="C17" i="28"/>
  <c r="C30" i="28"/>
  <c r="C34" i="28"/>
  <c r="C20" i="28"/>
  <c r="C26" i="28"/>
  <c r="C31" i="28"/>
  <c r="C24" i="28"/>
  <c r="C22" i="28"/>
  <c r="C25" i="28"/>
  <c r="C19" i="28"/>
  <c r="C29" i="28"/>
  <c r="C27" i="28"/>
  <c r="C35" i="28"/>
  <c r="I215" i="31"/>
  <c r="I226" i="31"/>
  <c r="I237" i="31"/>
  <c r="I204" i="31"/>
  <c r="I249" i="31" l="1"/>
  <c r="I260" i="31"/>
  <c r="I238" i="31"/>
  <c r="I216" i="31"/>
  <c r="I227" i="31"/>
  <c r="I272" i="31"/>
  <c r="I250" i="31" l="1"/>
  <c r="I261" i="31"/>
  <c r="I273" i="31"/>
  <c r="I228" i="31"/>
  <c r="I239" i="31"/>
  <c r="I251" i="31" l="1"/>
  <c r="I262" i="31"/>
  <c r="I240" i="31"/>
  <c r="I274" i="31"/>
  <c r="I252" i="31" l="1"/>
  <c r="I263" i="31"/>
  <c r="I275" i="31" s="1"/>
  <c r="I264" i="31" l="1"/>
  <c r="I276" i="31" s="1"/>
  <c r="J13" i="31" l="1"/>
  <c r="L16" i="31"/>
  <c r="B14" i="31"/>
  <c r="B13" i="25" l="1"/>
  <c r="J14" i="31"/>
  <c r="B15" i="31"/>
  <c r="L17" i="31"/>
  <c r="O13" i="25"/>
  <c r="B14" i="25"/>
  <c r="K13" i="31" l="1"/>
  <c r="O14" i="25"/>
  <c r="B15" i="25"/>
  <c r="FC13" i="25"/>
  <c r="CG13" i="25"/>
  <c r="L18" i="31"/>
  <c r="B16" i="31"/>
  <c r="J15" i="31"/>
  <c r="K14" i="31" l="1"/>
  <c r="CH13" i="25"/>
  <c r="CN13" i="25"/>
  <c r="CM13" i="25"/>
  <c r="CQ13" i="25"/>
  <c r="CP13" i="25"/>
  <c r="CO13" i="25"/>
  <c r="CK13" i="25"/>
  <c r="CL13" i="25"/>
  <c r="CJ13" i="25"/>
  <c r="CI13" i="25"/>
  <c r="L19" i="31"/>
  <c r="ER13" i="25"/>
  <c r="ES13" i="25"/>
  <c r="ET13" i="25"/>
  <c r="EP13" i="25"/>
  <c r="B16" i="25"/>
  <c r="O15" i="25"/>
  <c r="FC14" i="25"/>
  <c r="ET14" i="25"/>
  <c r="CG14" i="25"/>
  <c r="ES14" i="25"/>
  <c r="ER14" i="25"/>
  <c r="J16" i="31"/>
  <c r="B17" i="31"/>
  <c r="EQ13" i="25"/>
  <c r="K15" i="31" l="1"/>
  <c r="CO14" i="25"/>
  <c r="CN14" i="25"/>
  <c r="CM14" i="25"/>
  <c r="CL14" i="25"/>
  <c r="CJ14" i="25"/>
  <c r="CK14" i="25"/>
  <c r="CP14" i="25"/>
  <c r="CI14" i="25"/>
  <c r="CH14" i="25"/>
  <c r="CQ14" i="25"/>
  <c r="EQ14" i="25"/>
  <c r="EP14" i="25"/>
  <c r="B18" i="31"/>
  <c r="J17" i="31"/>
  <c r="L20" i="31"/>
  <c r="ET15" i="25"/>
  <c r="CG15" i="25"/>
  <c r="FC15" i="25"/>
  <c r="B17" i="25"/>
  <c r="O16" i="25"/>
  <c r="ES15" i="25"/>
  <c r="K16" i="31" l="1"/>
  <c r="CH15" i="25"/>
  <c r="CP15" i="25"/>
  <c r="CN15" i="25"/>
  <c r="CQ15" i="25"/>
  <c r="CM15" i="25"/>
  <c r="CK15" i="25"/>
  <c r="CI15" i="25"/>
  <c r="CL15" i="25"/>
  <c r="CJ15" i="25"/>
  <c r="CO15" i="25"/>
  <c r="EP15" i="25"/>
  <c r="ER15" i="25"/>
  <c r="FC16" i="25"/>
  <c r="ES16" i="25"/>
  <c r="CG16" i="25"/>
  <c r="J18" i="31"/>
  <c r="B19" i="31"/>
  <c r="O17" i="25"/>
  <c r="B18" i="25"/>
  <c r="L21" i="31"/>
  <c r="EQ15" i="25"/>
  <c r="EP16" i="25"/>
  <c r="K17" i="31" l="1"/>
  <c r="CO16" i="25"/>
  <c r="CN16" i="25"/>
  <c r="CM16" i="25"/>
  <c r="CL16" i="25"/>
  <c r="CK16" i="25"/>
  <c r="CJ16" i="25"/>
  <c r="CQ16" i="25"/>
  <c r="CP16" i="25"/>
  <c r="CI16" i="25"/>
  <c r="CH16" i="25"/>
  <c r="ET16" i="25"/>
  <c r="ER16" i="25"/>
  <c r="B20" i="31"/>
  <c r="J19" i="31"/>
  <c r="L22" i="31"/>
  <c r="O18" i="25"/>
  <c r="B19" i="25"/>
  <c r="CG17" i="25"/>
  <c r="FC17" i="25"/>
  <c r="ET17" i="25"/>
  <c r="EQ16" i="25"/>
  <c r="K18" i="31" l="1"/>
  <c r="CH17" i="25"/>
  <c r="CN17" i="25"/>
  <c r="CM17" i="25"/>
  <c r="CI17" i="25"/>
  <c r="CL17" i="25"/>
  <c r="CJ17" i="25"/>
  <c r="CK17" i="25"/>
  <c r="CP17" i="25"/>
  <c r="CQ17" i="25"/>
  <c r="CO17" i="25"/>
  <c r="EQ17" i="25"/>
  <c r="ER17" i="25"/>
  <c r="L23" i="31"/>
  <c r="EP17" i="25"/>
  <c r="ES17" i="25"/>
  <c r="J20" i="31"/>
  <c r="B21" i="31"/>
  <c r="O19" i="25"/>
  <c r="B20" i="25"/>
  <c r="CG18" i="25"/>
  <c r="FC18" i="25"/>
  <c r="ET18" i="25"/>
  <c r="K19" i="31" l="1"/>
  <c r="CO18" i="25"/>
  <c r="CN18" i="25"/>
  <c r="CM18" i="25"/>
  <c r="CL18" i="25"/>
  <c r="CJ18" i="25"/>
  <c r="CK18" i="25"/>
  <c r="CQ18" i="25"/>
  <c r="CH18" i="25"/>
  <c r="CP18" i="25"/>
  <c r="CI18" i="25"/>
  <c r="EQ18" i="25"/>
  <c r="EP18" i="25"/>
  <c r="B22" i="31"/>
  <c r="J21" i="31"/>
  <c r="ER18" i="25"/>
  <c r="O20" i="25"/>
  <c r="B21" i="25"/>
  <c r="L24" i="31"/>
  <c r="CG19" i="25"/>
  <c r="ES19" i="25"/>
  <c r="FC19" i="25"/>
  <c r="ES18" i="25"/>
  <c r="K20" i="31" l="1"/>
  <c r="CH19" i="25"/>
  <c r="CM19" i="25"/>
  <c r="CL19" i="25"/>
  <c r="CP19" i="25"/>
  <c r="CQ19" i="25"/>
  <c r="CO19" i="25"/>
  <c r="CN19" i="25"/>
  <c r="CK19" i="25"/>
  <c r="CI19" i="25"/>
  <c r="CJ19" i="25"/>
  <c r="EP19" i="25"/>
  <c r="EQ19" i="25"/>
  <c r="ER19" i="25"/>
  <c r="L25" i="31"/>
  <c r="O21" i="25"/>
  <c r="B22" i="25"/>
  <c r="FC20" i="25"/>
  <c r="ET20" i="25"/>
  <c r="CG20" i="25"/>
  <c r="ES20" i="25"/>
  <c r="ET19" i="25"/>
  <c r="B23" i="31"/>
  <c r="J22" i="31"/>
  <c r="K21" i="31" l="1"/>
  <c r="CO20" i="25"/>
  <c r="CN20" i="25"/>
  <c r="CM20" i="25"/>
  <c r="CL20" i="25"/>
  <c r="CK20" i="25"/>
  <c r="CJ20" i="25"/>
  <c r="CQ20" i="25"/>
  <c r="CP20" i="25"/>
  <c r="CI20" i="25"/>
  <c r="CH20" i="25"/>
  <c r="EQ20" i="25"/>
  <c r="EP20" i="25"/>
  <c r="ER20" i="25"/>
  <c r="B23" i="25"/>
  <c r="O22" i="25"/>
  <c r="CG21" i="25"/>
  <c r="FC21" i="25"/>
  <c r="ES21" i="25"/>
  <c r="J23" i="31"/>
  <c r="B24" i="31"/>
  <c r="L26" i="31"/>
  <c r="K22" i="31" l="1"/>
  <c r="CH21" i="25"/>
  <c r="CQ21" i="25"/>
  <c r="CP21" i="25"/>
  <c r="CO21" i="25"/>
  <c r="CN21" i="25"/>
  <c r="CM21" i="25"/>
  <c r="CJ21" i="25"/>
  <c r="CL21" i="25"/>
  <c r="CK21" i="25"/>
  <c r="CI21" i="25"/>
  <c r="EQ21" i="25"/>
  <c r="EP21" i="25"/>
  <c r="ET21" i="25"/>
  <c r="CG22" i="25"/>
  <c r="ET22" i="25"/>
  <c r="ES22" i="25"/>
  <c r="FC22" i="25"/>
  <c r="B24" i="25"/>
  <c r="O23" i="25"/>
  <c r="ER21" i="25"/>
  <c r="L27" i="31"/>
  <c r="J24" i="31"/>
  <c r="B25" i="31"/>
  <c r="K23" i="31" l="1"/>
  <c r="CO22" i="25"/>
  <c r="CN22" i="25"/>
  <c r="CM22" i="25"/>
  <c r="CL22" i="25"/>
  <c r="CJ22" i="25"/>
  <c r="CK22" i="25"/>
  <c r="CQ22" i="25"/>
  <c r="CI22" i="25"/>
  <c r="CP22" i="25"/>
  <c r="CH22" i="25"/>
  <c r="EP22" i="25"/>
  <c r="EQ22" i="25"/>
  <c r="ER22" i="25"/>
  <c r="ET23" i="25"/>
  <c r="CG23" i="25"/>
  <c r="ES23" i="25"/>
  <c r="FC23" i="25"/>
  <c r="O24" i="25"/>
  <c r="B25" i="25"/>
  <c r="J25" i="31"/>
  <c r="B26" i="31"/>
  <c r="L28" i="31"/>
  <c r="K24" i="31" l="1"/>
  <c r="CH23" i="25"/>
  <c r="CO23" i="25"/>
  <c r="CN23" i="25"/>
  <c r="CK23" i="25"/>
  <c r="CM23" i="25"/>
  <c r="CL23" i="25"/>
  <c r="CJ23" i="25"/>
  <c r="CI23" i="25"/>
  <c r="CQ23" i="25"/>
  <c r="CP23" i="25"/>
  <c r="EP23" i="25"/>
  <c r="EQ23" i="25"/>
  <c r="L29" i="31"/>
  <c r="O25" i="25"/>
  <c r="B26" i="25"/>
  <c r="ET24" i="25"/>
  <c r="FC24" i="25"/>
  <c r="CG24" i="25"/>
  <c r="ES24" i="25"/>
  <c r="B27" i="31"/>
  <c r="J26" i="31"/>
  <c r="ER23" i="25"/>
  <c r="K25" i="31" l="1"/>
  <c r="CO24" i="25"/>
  <c r="CN24" i="25"/>
  <c r="CJ24" i="25"/>
  <c r="CM24" i="25"/>
  <c r="CL24" i="25"/>
  <c r="CK24" i="25"/>
  <c r="CQ24" i="25"/>
  <c r="CP24" i="25"/>
  <c r="CI24" i="25"/>
  <c r="CH24" i="25"/>
  <c r="EQ24" i="25"/>
  <c r="EP24" i="25"/>
  <c r="ER24" i="25"/>
  <c r="O26" i="25"/>
  <c r="B27" i="25"/>
  <c r="CG25" i="25"/>
  <c r="FC25" i="25"/>
  <c r="ES25" i="25"/>
  <c r="ET25" i="25"/>
  <c r="B28" i="31"/>
  <c r="J27" i="31"/>
  <c r="L30" i="31"/>
  <c r="K26" i="31" l="1"/>
  <c r="CH25" i="25"/>
  <c r="CN25" i="25"/>
  <c r="CQ25" i="25"/>
  <c r="CM25" i="25"/>
  <c r="CP25" i="25"/>
  <c r="CO25" i="25"/>
  <c r="CK25" i="25"/>
  <c r="CI25" i="25"/>
  <c r="CL25" i="25"/>
  <c r="CJ25" i="25"/>
  <c r="EP25" i="25"/>
  <c r="EQ25" i="25"/>
  <c r="ER25" i="25"/>
  <c r="B29" i="31"/>
  <c r="J28" i="31"/>
  <c r="B28" i="25"/>
  <c r="O27" i="25"/>
  <c r="ES26" i="25"/>
  <c r="FC26" i="25"/>
  <c r="ET26" i="25"/>
  <c r="CG26" i="25"/>
  <c r="L31" i="31"/>
  <c r="K27" i="31" l="1"/>
  <c r="CO26" i="25"/>
  <c r="CJ26" i="25"/>
  <c r="CN26" i="25"/>
  <c r="CM26" i="25"/>
  <c r="CL26" i="25"/>
  <c r="CK26" i="25"/>
  <c r="CQ26" i="25"/>
  <c r="CP26" i="25"/>
  <c r="CI26" i="25"/>
  <c r="CH26" i="25"/>
  <c r="EQ26" i="25"/>
  <c r="EP26" i="25"/>
  <c r="ES27" i="25"/>
  <c r="FC27" i="25"/>
  <c r="CG27" i="25"/>
  <c r="ET27" i="25"/>
  <c r="O28" i="25"/>
  <c r="B29" i="25"/>
  <c r="L32" i="31"/>
  <c r="B30" i="31"/>
  <c r="J29" i="31"/>
  <c r="ER26" i="25"/>
  <c r="K28" i="31" l="1"/>
  <c r="CH27" i="25"/>
  <c r="CI27" i="25"/>
  <c r="CP27" i="25"/>
  <c r="CO27" i="25"/>
  <c r="CM27" i="25"/>
  <c r="CN27" i="25"/>
  <c r="CK27" i="25"/>
  <c r="CQ27" i="25"/>
  <c r="CL27" i="25"/>
  <c r="CJ27" i="25"/>
  <c r="EP27" i="25"/>
  <c r="EQ27" i="25"/>
  <c r="O29" i="25"/>
  <c r="B30" i="25"/>
  <c r="ES28" i="25"/>
  <c r="ET28" i="25"/>
  <c r="FC28" i="25"/>
  <c r="CG28" i="25"/>
  <c r="ER27" i="25"/>
  <c r="B31" i="31"/>
  <c r="J30" i="31"/>
  <c r="L33" i="31"/>
  <c r="K29" i="31" l="1"/>
  <c r="CO28" i="25"/>
  <c r="CN28" i="25"/>
  <c r="CM28" i="25"/>
  <c r="CJ28" i="25"/>
  <c r="CL28" i="25"/>
  <c r="CK28" i="25"/>
  <c r="CP28" i="25"/>
  <c r="CI28" i="25"/>
  <c r="CH28" i="25"/>
  <c r="CQ28" i="25"/>
  <c r="EQ28" i="25"/>
  <c r="EP28" i="25"/>
  <c r="ER28" i="25"/>
  <c r="B32" i="31"/>
  <c r="J31" i="31"/>
  <c r="B31" i="25"/>
  <c r="O30" i="25"/>
  <c r="ES29" i="25"/>
  <c r="CG29" i="25"/>
  <c r="FC29" i="25"/>
  <c r="ET29" i="25"/>
  <c r="L34" i="31"/>
  <c r="K30" i="31" l="1"/>
  <c r="CH29" i="25"/>
  <c r="CP29" i="25"/>
  <c r="CO29" i="25"/>
  <c r="CN29" i="25"/>
  <c r="CI29" i="25"/>
  <c r="CM29" i="25"/>
  <c r="CK29" i="25"/>
  <c r="CJ29" i="25"/>
  <c r="CL29" i="25"/>
  <c r="CQ29" i="25"/>
  <c r="EP29" i="25"/>
  <c r="EQ29" i="25"/>
  <c r="ER29" i="25"/>
  <c r="CG30" i="25"/>
  <c r="ET30" i="25"/>
  <c r="ES30" i="25"/>
  <c r="FC30" i="25"/>
  <c r="B32" i="25"/>
  <c r="B33" i="25" s="1"/>
  <c r="O33" i="25" s="1"/>
  <c r="O31" i="25"/>
  <c r="B33" i="31"/>
  <c r="J32" i="31"/>
  <c r="L35" i="31"/>
  <c r="BE33" i="25" l="1"/>
  <c r="BD33" i="25"/>
  <c r="BC33" i="25"/>
  <c r="BG33" i="25"/>
  <c r="BF33" i="25"/>
  <c r="BB33" i="25"/>
  <c r="AY33" i="25"/>
  <c r="AZ33" i="25"/>
  <c r="BA33" i="25"/>
  <c r="K31" i="31"/>
  <c r="CO30" i="25"/>
  <c r="CN30" i="25"/>
  <c r="CM30" i="25"/>
  <c r="CL30" i="25"/>
  <c r="CK30" i="25"/>
  <c r="CJ30" i="25"/>
  <c r="CP30" i="25"/>
  <c r="CH30" i="25"/>
  <c r="CQ30" i="25"/>
  <c r="CI30" i="25"/>
  <c r="FC33" i="25"/>
  <c r="CG33" i="25"/>
  <c r="EP30" i="25"/>
  <c r="EQ30" i="25"/>
  <c r="ER30" i="25"/>
  <c r="L36" i="31"/>
  <c r="ES31" i="25"/>
  <c r="CG31" i="25"/>
  <c r="FC31" i="25"/>
  <c r="ET31" i="25"/>
  <c r="O32" i="25"/>
  <c r="J33" i="31"/>
  <c r="B34" i="31"/>
  <c r="BG32" i="25" l="1"/>
  <c r="BE32" i="25"/>
  <c r="BA32" i="25"/>
  <c r="BD32" i="25"/>
  <c r="BC32" i="25"/>
  <c r="BB32" i="25"/>
  <c r="K32" i="31"/>
  <c r="AZ32" i="25"/>
  <c r="BF32" i="25"/>
  <c r="AY32" i="25"/>
  <c r="CH33" i="25"/>
  <c r="CJ33" i="25"/>
  <c r="CI33" i="25"/>
  <c r="CQ33" i="25"/>
  <c r="CP33" i="25"/>
  <c r="CO33" i="25"/>
  <c r="CN33" i="25"/>
  <c r="CL33" i="25"/>
  <c r="CM33" i="25"/>
  <c r="CK33" i="25"/>
  <c r="CH31" i="25"/>
  <c r="CO31" i="25"/>
  <c r="CM31" i="25"/>
  <c r="CQ31" i="25"/>
  <c r="CL31" i="25"/>
  <c r="CP31" i="25"/>
  <c r="CN31" i="25"/>
  <c r="CJ31" i="25"/>
  <c r="CI31" i="25"/>
  <c r="CK31" i="25"/>
  <c r="EQ31" i="25"/>
  <c r="EP31" i="25"/>
  <c r="ER31" i="25"/>
  <c r="B34" i="25"/>
  <c r="B35" i="25" s="1"/>
  <c r="B35" i="31"/>
  <c r="J34" i="31"/>
  <c r="CG32" i="25"/>
  <c r="ES32" i="25"/>
  <c r="ET32" i="25"/>
  <c r="FC32" i="25"/>
  <c r="L37" i="31"/>
  <c r="K33" i="31" l="1"/>
  <c r="CO32" i="25"/>
  <c r="CN32" i="25"/>
  <c r="CM32" i="25"/>
  <c r="CL32" i="25"/>
  <c r="CJ32" i="25"/>
  <c r="CK32" i="25"/>
  <c r="CH32" i="25"/>
  <c r="CQ32" i="25"/>
  <c r="CP32" i="25"/>
  <c r="CI32" i="25"/>
  <c r="O35" i="25"/>
  <c r="B36" i="25"/>
  <c r="EP32" i="25"/>
  <c r="EQ32" i="25"/>
  <c r="L38" i="31"/>
  <c r="ER32" i="25"/>
  <c r="J35" i="31"/>
  <c r="B36" i="31"/>
  <c r="O34" i="25"/>
  <c r="BG34" i="25" l="1"/>
  <c r="BF34" i="25"/>
  <c r="BE34" i="25"/>
  <c r="BC34" i="25"/>
  <c r="BA34" i="25"/>
  <c r="AZ34" i="25"/>
  <c r="BD34" i="25"/>
  <c r="BB34" i="25"/>
  <c r="AY34" i="25"/>
  <c r="BE35" i="25"/>
  <c r="BD35" i="25"/>
  <c r="BC35" i="25"/>
  <c r="BB35" i="25"/>
  <c r="BA35" i="25"/>
  <c r="AY35" i="25"/>
  <c r="BG35" i="25"/>
  <c r="BF35" i="25"/>
  <c r="AX35" i="25"/>
  <c r="AZ35" i="25"/>
  <c r="K34" i="31"/>
  <c r="O36" i="25"/>
  <c r="B37" i="25"/>
  <c r="FC35" i="25"/>
  <c r="CG35" i="25"/>
  <c r="CG34" i="25"/>
  <c r="FC34" i="25"/>
  <c r="B37" i="31"/>
  <c r="J36" i="31"/>
  <c r="L39" i="31"/>
  <c r="BE36" i="25" l="1"/>
  <c r="BG36" i="25"/>
  <c r="BB36" i="25"/>
  <c r="AX36" i="25"/>
  <c r="AZ36" i="25"/>
  <c r="BD36" i="25"/>
  <c r="BA36" i="25"/>
  <c r="BF36" i="25"/>
  <c r="AY36" i="25"/>
  <c r="K35" i="31"/>
  <c r="BC36" i="25"/>
  <c r="CH35" i="25"/>
  <c r="CQ35" i="25"/>
  <c r="CP35" i="25"/>
  <c r="CK35" i="25"/>
  <c r="CI35" i="25"/>
  <c r="CO35" i="25"/>
  <c r="CN35" i="25"/>
  <c r="CL35" i="25"/>
  <c r="CM35" i="25"/>
  <c r="CJ35" i="25"/>
  <c r="CO34" i="25"/>
  <c r="CN34" i="25"/>
  <c r="CM34" i="25"/>
  <c r="CL34" i="25"/>
  <c r="CK34" i="25"/>
  <c r="CJ34" i="25"/>
  <c r="CQ34" i="25"/>
  <c r="CP34" i="25"/>
  <c r="CI34" i="25"/>
  <c r="CH34" i="25"/>
  <c r="O37" i="25"/>
  <c r="B38" i="25"/>
  <c r="FC36" i="25"/>
  <c r="CG36" i="25"/>
  <c r="ER34" i="25"/>
  <c r="L40" i="31"/>
  <c r="B38" i="31"/>
  <c r="J37" i="31"/>
  <c r="EP34" i="25"/>
  <c r="ES34" i="25"/>
  <c r="EQ34" i="25"/>
  <c r="ET34" i="25"/>
  <c r="BD37" i="25" l="1"/>
  <c r="BC37" i="25"/>
  <c r="BB37" i="25"/>
  <c r="BA37" i="25"/>
  <c r="AZ37" i="25"/>
  <c r="AY37" i="25"/>
  <c r="BF37" i="25"/>
  <c r="BG37" i="25"/>
  <c r="K36" i="31"/>
  <c r="AX37" i="25"/>
  <c r="BE37" i="25"/>
  <c r="CP36" i="25"/>
  <c r="CO36" i="25"/>
  <c r="CN36" i="25"/>
  <c r="CM36" i="25"/>
  <c r="CK36" i="25"/>
  <c r="CL36" i="25"/>
  <c r="CH36" i="25"/>
  <c r="CQ36" i="25"/>
  <c r="CJ36" i="25"/>
  <c r="CI36" i="25"/>
  <c r="FC37" i="25"/>
  <c r="CG37" i="25"/>
  <c r="O38" i="25"/>
  <c r="B39" i="25"/>
  <c r="B39" i="31"/>
  <c r="J38" i="31"/>
  <c r="L41" i="31"/>
  <c r="BG38" i="25" l="1"/>
  <c r="BF38" i="25"/>
  <c r="BE38" i="25"/>
  <c r="BD38" i="25"/>
  <c r="BC38" i="25"/>
  <c r="AY38" i="25"/>
  <c r="BB38" i="25"/>
  <c r="BA38" i="25"/>
  <c r="AZ38" i="25"/>
  <c r="AX38" i="25"/>
  <c r="K37" i="31"/>
  <c r="CI37" i="25"/>
  <c r="CP37" i="25"/>
  <c r="CO37" i="25"/>
  <c r="CQ37" i="25"/>
  <c r="CN37" i="25"/>
  <c r="CL37" i="25"/>
  <c r="CK37" i="25"/>
  <c r="CJ37" i="25"/>
  <c r="CH37" i="25"/>
  <c r="CM37" i="25"/>
  <c r="FC38" i="25"/>
  <c r="CG38" i="25"/>
  <c r="O39" i="25"/>
  <c r="B40" i="25"/>
  <c r="L42" i="31"/>
  <c r="J39" i="31"/>
  <c r="B40" i="31"/>
  <c r="BF39" i="25" l="1"/>
  <c r="BE39" i="25"/>
  <c r="AY39" i="25"/>
  <c r="BD39" i="25"/>
  <c r="AZ39" i="25"/>
  <c r="AX39" i="25"/>
  <c r="BA39" i="25"/>
  <c r="BB39" i="25"/>
  <c r="K38" i="31"/>
  <c r="BC39" i="25"/>
  <c r="BG39" i="25"/>
  <c r="CP38" i="25"/>
  <c r="CO38" i="25"/>
  <c r="CN38" i="25"/>
  <c r="CM38" i="25"/>
  <c r="CL38" i="25"/>
  <c r="CK38" i="25"/>
  <c r="CJ38" i="25"/>
  <c r="CH38" i="25"/>
  <c r="CQ38" i="25"/>
  <c r="CI38" i="25"/>
  <c r="O40" i="25"/>
  <c r="B41" i="25"/>
  <c r="FC39" i="25"/>
  <c r="CG39" i="25"/>
  <c r="B41" i="31"/>
  <c r="J40" i="31"/>
  <c r="BC40" i="25" l="1"/>
  <c r="BB40" i="25"/>
  <c r="BA40" i="25"/>
  <c r="BG40" i="25"/>
  <c r="BF40" i="25"/>
  <c r="BE40" i="25"/>
  <c r="AX40" i="25"/>
  <c r="AY40" i="25"/>
  <c r="K39" i="31"/>
  <c r="BD40" i="25"/>
  <c r="AZ40" i="25"/>
  <c r="CQ39" i="25"/>
  <c r="CP39" i="25"/>
  <c r="CJ39" i="25"/>
  <c r="CI39" i="25"/>
  <c r="CH39" i="25"/>
  <c r="CO39" i="25"/>
  <c r="CN39" i="25"/>
  <c r="CM39" i="25"/>
  <c r="CK39" i="25"/>
  <c r="CL39" i="25"/>
  <c r="O41" i="25"/>
  <c r="CG40" i="25"/>
  <c r="FC40" i="25"/>
  <c r="J41" i="31"/>
  <c r="B42" i="31"/>
  <c r="BG41" i="25" l="1"/>
  <c r="BC41" i="25"/>
  <c r="BD41" i="25"/>
  <c r="BE41" i="25"/>
  <c r="AY41" i="25"/>
  <c r="AZ41" i="25"/>
  <c r="BF41" i="25"/>
  <c r="AX41" i="25"/>
  <c r="BA41" i="25"/>
  <c r="BB41" i="25"/>
  <c r="K40" i="31"/>
  <c r="CQ40" i="25"/>
  <c r="CO40" i="25"/>
  <c r="CN40" i="25"/>
  <c r="CL40" i="25"/>
  <c r="CK40" i="25"/>
  <c r="CM40" i="25"/>
  <c r="CJ40" i="25"/>
  <c r="CI40" i="25"/>
  <c r="CP40" i="25"/>
  <c r="CH40" i="25"/>
  <c r="FC41" i="25"/>
  <c r="CG41" i="25"/>
  <c r="J42" i="31"/>
  <c r="B43" i="31"/>
  <c r="K41" i="31" l="1"/>
  <c r="CQ41" i="25"/>
  <c r="CP41" i="25"/>
  <c r="CO41" i="25"/>
  <c r="CN41" i="25"/>
  <c r="CK41" i="25"/>
  <c r="CJ41" i="25"/>
  <c r="CM41" i="25"/>
  <c r="CI41" i="25"/>
  <c r="CH41" i="25"/>
  <c r="CL41" i="25"/>
  <c r="B44" i="31"/>
  <c r="J43" i="31"/>
  <c r="K42" i="31" l="1"/>
  <c r="J44" i="31"/>
  <c r="B45" i="31"/>
  <c r="K43" i="31" l="1"/>
  <c r="B46" i="31"/>
  <c r="J45" i="31"/>
  <c r="K44" i="31" l="1"/>
  <c r="J46" i="31"/>
  <c r="B47" i="31"/>
  <c r="K45" i="31" l="1"/>
  <c r="J47" i="31"/>
  <c r="B48" i="31"/>
  <c r="K46" i="31" l="1"/>
  <c r="J48" i="31"/>
  <c r="B49" i="31"/>
  <c r="K47" i="31" l="1"/>
  <c r="B50" i="31"/>
  <c r="J49" i="31"/>
  <c r="K48" i="31" l="1"/>
  <c r="B51" i="31"/>
  <c r="J50" i="31"/>
  <c r="K49" i="31" l="1"/>
  <c r="J51" i="31"/>
  <c r="B52" i="31"/>
  <c r="K50" i="31" l="1"/>
  <c r="J52" i="31"/>
  <c r="B53" i="31"/>
  <c r="K51" i="31" l="1"/>
  <c r="B54" i="31"/>
  <c r="J53" i="31"/>
  <c r="K52" i="31" l="1"/>
  <c r="J54" i="31"/>
  <c r="B55" i="31"/>
  <c r="K53" i="31" l="1"/>
  <c r="J55" i="31"/>
  <c r="B56" i="31"/>
  <c r="K54" i="31" l="1"/>
  <c r="B57" i="31"/>
  <c r="J56" i="31"/>
  <c r="K55" i="31" l="1"/>
  <c r="J57" i="31"/>
  <c r="B58" i="31"/>
  <c r="K56" i="31" l="1"/>
  <c r="J58" i="31"/>
  <c r="B59" i="31"/>
  <c r="K57" i="31" l="1"/>
  <c r="J59" i="31"/>
  <c r="B60" i="31"/>
  <c r="K58" i="31" l="1"/>
  <c r="J60" i="31"/>
  <c r="B61" i="31"/>
  <c r="K59" i="31" l="1"/>
  <c r="J61" i="31"/>
  <c r="B62" i="31"/>
  <c r="K60" i="31" l="1"/>
  <c r="J62" i="31"/>
  <c r="B63" i="31"/>
  <c r="K61" i="31" l="1"/>
  <c r="J63" i="31"/>
  <c r="B64" i="31"/>
  <c r="K62" i="31" l="1"/>
  <c r="J64" i="31"/>
  <c r="B65" i="31"/>
  <c r="K63" i="31" l="1"/>
  <c r="J65" i="31"/>
  <c r="B66" i="31"/>
  <c r="K64" i="31" l="1"/>
  <c r="J66" i="31"/>
  <c r="B67" i="31"/>
  <c r="K65" i="31" l="1"/>
  <c r="J67" i="31"/>
  <c r="B68" i="31"/>
  <c r="K66" i="31" l="1"/>
  <c r="J68" i="31"/>
  <c r="B69" i="31"/>
  <c r="K67" i="31" l="1"/>
  <c r="J69" i="31"/>
  <c r="B70" i="31"/>
  <c r="K68" i="31" l="1"/>
  <c r="J70" i="31"/>
  <c r="B71" i="31"/>
  <c r="K69" i="31" l="1"/>
  <c r="J71" i="31"/>
  <c r="B72" i="31"/>
  <c r="K70" i="31" l="1"/>
  <c r="J72" i="31"/>
  <c r="B73" i="31"/>
  <c r="K71" i="31" l="1"/>
  <c r="J73" i="31"/>
  <c r="B74" i="31"/>
  <c r="K72" i="31" l="1"/>
  <c r="B75" i="31"/>
  <c r="J74" i="31"/>
  <c r="K73" i="31" l="1"/>
  <c r="J75" i="31"/>
  <c r="B76" i="31"/>
  <c r="K74" i="31" l="1"/>
  <c r="J76" i="31"/>
  <c r="B77" i="31"/>
  <c r="K75" i="31" l="1"/>
  <c r="J77" i="31"/>
  <c r="B78" i="31"/>
  <c r="K76" i="31" l="1"/>
  <c r="J78" i="31"/>
  <c r="B79" i="31"/>
  <c r="K77" i="31" l="1"/>
  <c r="J79" i="31"/>
  <c r="B80" i="31"/>
  <c r="K78" i="31" l="1"/>
  <c r="J80" i="31"/>
  <c r="B81" i="31"/>
  <c r="K79" i="31" l="1"/>
  <c r="J81" i="31"/>
  <c r="B82" i="31"/>
  <c r="K80" i="31" l="1"/>
  <c r="J82" i="31"/>
  <c r="B83" i="31"/>
  <c r="K81" i="31" l="1"/>
  <c r="J83" i="31"/>
  <c r="B84" i="31"/>
  <c r="K82" i="31" l="1"/>
  <c r="J84" i="31"/>
  <c r="B85" i="31"/>
  <c r="K83" i="31" l="1"/>
  <c r="J85" i="31"/>
  <c r="B86" i="31"/>
  <c r="K84" i="31" l="1"/>
  <c r="J86" i="31"/>
  <c r="B87" i="31"/>
  <c r="K85" i="31" l="1"/>
  <c r="J87" i="31"/>
  <c r="B88" i="31"/>
  <c r="K86" i="31" l="1"/>
  <c r="J88" i="31"/>
  <c r="B89" i="31"/>
  <c r="K87" i="31" l="1"/>
  <c r="J89" i="31"/>
  <c r="B90" i="31"/>
  <c r="K88" i="31" l="1"/>
  <c r="J90" i="31"/>
  <c r="B91" i="31"/>
  <c r="K89" i="31" l="1"/>
  <c r="J91" i="31"/>
  <c r="B92" i="31"/>
  <c r="K90" i="31" l="1"/>
  <c r="J92" i="31"/>
  <c r="B93" i="31"/>
  <c r="K91" i="31" l="1"/>
  <c r="B94" i="31"/>
  <c r="J93" i="31"/>
  <c r="K92" i="31" l="1"/>
  <c r="J94" i="31"/>
  <c r="B95" i="31"/>
  <c r="K93" i="31" l="1"/>
  <c r="J95" i="31"/>
  <c r="B96" i="31"/>
  <c r="K94" i="31" l="1"/>
  <c r="J96" i="31"/>
  <c r="B97" i="31"/>
  <c r="K95" i="31" l="1"/>
  <c r="J97" i="31"/>
  <c r="B98" i="31"/>
  <c r="K96" i="31" l="1"/>
  <c r="J98" i="31"/>
  <c r="B99" i="31"/>
  <c r="K97" i="31" l="1"/>
  <c r="J99" i="31"/>
  <c r="B100" i="31"/>
  <c r="K98" i="31" l="1"/>
  <c r="J100" i="31"/>
  <c r="B101" i="31"/>
  <c r="K99" i="31" l="1"/>
  <c r="J101" i="31"/>
  <c r="B102" i="31"/>
  <c r="K100" i="31" l="1"/>
  <c r="J102" i="31"/>
  <c r="B103" i="31"/>
  <c r="K101" i="31" l="1"/>
  <c r="J103" i="31"/>
  <c r="B104" i="31"/>
  <c r="K102" i="31" l="1"/>
  <c r="J104" i="31"/>
  <c r="B105" i="31"/>
  <c r="K103" i="31" l="1"/>
  <c r="J105" i="31"/>
  <c r="B106" i="31"/>
  <c r="K104" i="31" l="1"/>
  <c r="J106" i="31"/>
  <c r="B107" i="31"/>
  <c r="K105" i="31" l="1"/>
  <c r="J107" i="31"/>
  <c r="B108" i="31"/>
  <c r="K106" i="31" l="1"/>
  <c r="J108" i="31"/>
  <c r="B109" i="31"/>
  <c r="K107" i="31" l="1"/>
  <c r="J109" i="31"/>
  <c r="B110" i="31"/>
  <c r="K108" i="31" l="1"/>
  <c r="J110" i="31"/>
  <c r="B111" i="31"/>
  <c r="K109" i="31" l="1"/>
  <c r="J111" i="31"/>
  <c r="B112" i="31"/>
  <c r="K110" i="31" l="1"/>
  <c r="J112" i="31"/>
  <c r="B113" i="31"/>
  <c r="K111" i="31" l="1"/>
  <c r="J113" i="31"/>
  <c r="B114" i="31"/>
  <c r="K112" i="31" l="1"/>
  <c r="B115" i="31"/>
  <c r="J114" i="31"/>
  <c r="K113" i="31" l="1"/>
  <c r="J115" i="31"/>
  <c r="B116" i="31"/>
  <c r="K114" i="31" l="1"/>
  <c r="J116" i="31"/>
  <c r="B117" i="31"/>
  <c r="K115" i="31" l="1"/>
  <c r="J117" i="31"/>
  <c r="B118" i="31"/>
  <c r="K116" i="31" l="1"/>
  <c r="J118" i="31"/>
  <c r="B119" i="31"/>
  <c r="K117" i="31" l="1"/>
  <c r="J119" i="31"/>
  <c r="B120" i="31"/>
  <c r="K118" i="31" l="1"/>
  <c r="J120" i="31"/>
  <c r="B121" i="31"/>
  <c r="K119" i="31" l="1"/>
  <c r="J121" i="31"/>
  <c r="B122" i="31"/>
  <c r="K120" i="31" l="1"/>
  <c r="J122" i="31"/>
  <c r="B123" i="31"/>
  <c r="K121" i="31" l="1"/>
  <c r="J123" i="31"/>
  <c r="B124" i="31"/>
  <c r="K122" i="31" l="1"/>
  <c r="J124" i="31"/>
  <c r="B125" i="31"/>
  <c r="K123" i="31" l="1"/>
  <c r="J125" i="31"/>
  <c r="B126" i="31"/>
  <c r="K124" i="31" l="1"/>
  <c r="B127" i="31"/>
  <c r="J126" i="31"/>
  <c r="K125" i="31" l="1"/>
  <c r="J127" i="31"/>
  <c r="B128" i="31"/>
  <c r="K126" i="31" l="1"/>
  <c r="B129" i="31"/>
  <c r="J128" i="31"/>
  <c r="K127" i="31" l="1"/>
  <c r="J129" i="31"/>
  <c r="B130" i="31"/>
  <c r="K128" i="31" l="1"/>
  <c r="B131" i="31"/>
  <c r="J130" i="31"/>
  <c r="K129" i="31" l="1"/>
  <c r="J131" i="31"/>
  <c r="B132" i="31"/>
  <c r="K130" i="31" l="1"/>
  <c r="J132" i="31"/>
  <c r="B133" i="31"/>
  <c r="K131" i="31" l="1"/>
  <c r="J133" i="31"/>
  <c r="B134" i="31"/>
  <c r="K132" i="31" l="1"/>
  <c r="B135" i="31"/>
  <c r="J134" i="31"/>
  <c r="K133" i="31" l="1"/>
  <c r="J135" i="31"/>
  <c r="B136" i="31"/>
  <c r="K134" i="31" l="1"/>
  <c r="J136" i="31"/>
  <c r="B137" i="31"/>
  <c r="K135" i="31" l="1"/>
  <c r="J137" i="31"/>
  <c r="B138" i="31"/>
  <c r="K136" i="31" l="1"/>
  <c r="J138" i="31"/>
  <c r="B139" i="31"/>
  <c r="K137" i="31" l="1"/>
  <c r="J139" i="31"/>
  <c r="B140" i="31"/>
  <c r="K138" i="31" l="1"/>
  <c r="J140" i="31"/>
  <c r="B141" i="31"/>
  <c r="K139" i="31" l="1"/>
  <c r="J141" i="31"/>
  <c r="B142" i="31"/>
  <c r="K140" i="31" l="1"/>
  <c r="J142" i="31"/>
  <c r="B143" i="31"/>
  <c r="K141" i="31" l="1"/>
  <c r="J143" i="31"/>
  <c r="B144" i="31"/>
  <c r="K142" i="31" l="1"/>
  <c r="J144" i="31"/>
  <c r="B145" i="31"/>
  <c r="K143" i="31" l="1"/>
  <c r="B146" i="31"/>
  <c r="J145" i="31"/>
  <c r="K144" i="31" l="1"/>
  <c r="J146" i="31"/>
  <c r="B147" i="31"/>
  <c r="K145" i="31" l="1"/>
  <c r="J147" i="31"/>
  <c r="B148" i="31"/>
  <c r="K146" i="31" l="1"/>
  <c r="B149" i="31"/>
  <c r="J148" i="31"/>
  <c r="K147" i="31" l="1"/>
  <c r="B150" i="31"/>
  <c r="J149" i="31"/>
  <c r="K148" i="31" l="1"/>
  <c r="J150" i="31"/>
  <c r="B151" i="31"/>
  <c r="K149" i="31" l="1"/>
  <c r="J151" i="31"/>
  <c r="B152" i="31"/>
  <c r="K150" i="31" l="1"/>
  <c r="J152" i="31"/>
  <c r="B153" i="31"/>
  <c r="K151" i="31" l="1"/>
  <c r="J153" i="31"/>
  <c r="B154" i="31"/>
  <c r="K152" i="31" l="1"/>
  <c r="J154" i="31"/>
  <c r="B155" i="31"/>
  <c r="K153" i="31" l="1"/>
  <c r="J155" i="31"/>
  <c r="B156" i="31"/>
  <c r="K154" i="31" l="1"/>
  <c r="J156" i="31"/>
  <c r="B157" i="31"/>
  <c r="K155" i="31" l="1"/>
  <c r="J157" i="31"/>
  <c r="B158" i="31"/>
  <c r="K156" i="31" l="1"/>
  <c r="J158" i="31"/>
  <c r="B159" i="31"/>
  <c r="K157" i="31" l="1"/>
  <c r="J159" i="31"/>
  <c r="B160" i="31"/>
  <c r="K158" i="31" l="1"/>
  <c r="J160" i="31"/>
  <c r="B161" i="31"/>
  <c r="K159" i="31" l="1"/>
  <c r="B162" i="31"/>
  <c r="J161" i="31"/>
  <c r="K160" i="31" l="1"/>
  <c r="J162" i="31"/>
  <c r="B163" i="31"/>
  <c r="K161" i="31" l="1"/>
  <c r="B164" i="31"/>
  <c r="J163" i="31"/>
  <c r="K162" i="31" l="1"/>
  <c r="J164" i="31"/>
  <c r="B165" i="31"/>
  <c r="K163" i="31" l="1"/>
  <c r="J165" i="31"/>
  <c r="B166" i="31"/>
  <c r="K164" i="31" l="1"/>
  <c r="J166" i="31"/>
  <c r="B167" i="31"/>
  <c r="K165" i="31" l="1"/>
  <c r="B168" i="31"/>
  <c r="J167" i="31"/>
  <c r="K166" i="31" l="1"/>
  <c r="J168" i="31"/>
  <c r="B169" i="31"/>
  <c r="K167" i="31" l="1"/>
  <c r="J169" i="31"/>
  <c r="B170" i="31"/>
  <c r="K168" i="31" l="1"/>
  <c r="B171" i="31"/>
  <c r="J170" i="31"/>
  <c r="K169" i="31" l="1"/>
  <c r="J171" i="31"/>
  <c r="B172" i="31"/>
  <c r="K170" i="31" l="1"/>
  <c r="B173" i="31"/>
  <c r="J172" i="31"/>
  <c r="K171" i="31" l="1"/>
  <c r="J173" i="31"/>
  <c r="B174" i="31"/>
  <c r="K172" i="31" l="1"/>
  <c r="J174" i="31"/>
  <c r="B175" i="31"/>
  <c r="K173" i="31" l="1"/>
  <c r="J175" i="31"/>
  <c r="B176" i="31"/>
  <c r="K174" i="31" l="1"/>
  <c r="J176" i="31"/>
  <c r="B177" i="31"/>
  <c r="K175" i="31" l="1"/>
  <c r="J177" i="31"/>
  <c r="B178" i="31"/>
  <c r="K176" i="31" l="1"/>
  <c r="J178" i="31"/>
  <c r="B179" i="31"/>
  <c r="K177" i="31" l="1"/>
  <c r="J179" i="31"/>
  <c r="B180" i="31"/>
  <c r="K178" i="31" l="1"/>
  <c r="J180" i="31"/>
  <c r="B181" i="31"/>
  <c r="K179" i="31" l="1"/>
  <c r="J181" i="31"/>
  <c r="B182" i="31"/>
  <c r="K180" i="31" l="1"/>
  <c r="J182" i="31"/>
  <c r="B183" i="31"/>
  <c r="K181" i="31" l="1"/>
  <c r="B184" i="31"/>
  <c r="J183" i="31"/>
  <c r="K182" i="31" l="1"/>
  <c r="J184" i="31"/>
  <c r="B185" i="31"/>
  <c r="K183" i="31" l="1"/>
  <c r="B186" i="31"/>
  <c r="J185" i="31"/>
  <c r="K184" i="31" l="1"/>
  <c r="J186" i="31"/>
  <c r="B187" i="31"/>
  <c r="K185" i="31" l="1"/>
  <c r="J187" i="31"/>
  <c r="B188" i="31"/>
  <c r="K186" i="31" l="1"/>
  <c r="B189" i="31"/>
  <c r="J188" i="31"/>
  <c r="K187" i="31" l="1"/>
  <c r="J189" i="31"/>
  <c r="B190" i="31"/>
  <c r="K188" i="31" l="1"/>
  <c r="J190" i="31"/>
  <c r="B191" i="31"/>
  <c r="K189" i="31" l="1"/>
  <c r="B192" i="31"/>
  <c r="J191" i="31"/>
  <c r="K190" i="31" l="1"/>
  <c r="B193" i="31"/>
  <c r="M193" i="31" s="1"/>
  <c r="J192" i="31"/>
  <c r="F10" i="31"/>
  <c r="K191" i="31" l="1"/>
  <c r="B194" i="31"/>
  <c r="J193" i="31"/>
  <c r="K192" i="31" l="1"/>
  <c r="B195" i="31"/>
  <c r="J194" i="31"/>
  <c r="K193" i="31" l="1"/>
  <c r="J195" i="31"/>
  <c r="B196" i="31"/>
  <c r="K194" i="31" l="1"/>
  <c r="J196" i="31"/>
  <c r="B197" i="31"/>
  <c r="K195" i="31" l="1"/>
  <c r="J197" i="31"/>
  <c r="B198" i="31"/>
  <c r="K196" i="31" l="1"/>
  <c r="J198" i="31"/>
  <c r="B199" i="31"/>
  <c r="K197" i="31" l="1"/>
  <c r="J199" i="31"/>
  <c r="B200" i="31"/>
  <c r="K198" i="31" l="1"/>
  <c r="J200" i="31"/>
  <c r="B201" i="31"/>
  <c r="K199" i="31" l="1"/>
  <c r="B202" i="31"/>
  <c r="J201" i="31"/>
  <c r="K200" i="31" l="1"/>
  <c r="B203" i="31"/>
  <c r="J202" i="31"/>
  <c r="K201" i="31" l="1"/>
  <c r="B204" i="31"/>
  <c r="J203" i="31"/>
  <c r="K202" i="31" l="1"/>
  <c r="J204" i="31"/>
  <c r="B205" i="31"/>
  <c r="F8" i="31"/>
  <c r="K203" i="31" l="1"/>
  <c r="J205" i="31"/>
  <c r="B206" i="31"/>
  <c r="C8" i="31"/>
  <c r="K204" i="31" l="1"/>
  <c r="J206" i="31"/>
  <c r="B207" i="31"/>
  <c r="O205" i="31" l="1"/>
  <c r="K205" i="31"/>
  <c r="B208" i="31"/>
  <c r="J207" i="31"/>
  <c r="K206" i="31" l="1"/>
  <c r="O206" i="31"/>
  <c r="J208" i="31"/>
  <c r="B209" i="31"/>
  <c r="K207" i="31" l="1"/>
  <c r="O207" i="31"/>
  <c r="J209" i="31"/>
  <c r="B210" i="31"/>
  <c r="K208" i="31" l="1"/>
  <c r="O208" i="31"/>
  <c r="B211" i="31"/>
  <c r="J210" i="31"/>
  <c r="O209" i="31" l="1"/>
  <c r="K209" i="31"/>
  <c r="B212" i="31"/>
  <c r="J211" i="31"/>
  <c r="K210" i="31" l="1"/>
  <c r="O210" i="31"/>
  <c r="J212" i="31"/>
  <c r="B213" i="31"/>
  <c r="K211" i="31" l="1"/>
  <c r="O211" i="31"/>
  <c r="J213" i="31"/>
  <c r="B214" i="31"/>
  <c r="O212" i="31" l="1"/>
  <c r="K212" i="31"/>
  <c r="B215" i="31"/>
  <c r="J214" i="31"/>
  <c r="K213" i="31" l="1"/>
  <c r="O213" i="31"/>
  <c r="B216" i="31"/>
  <c r="J215" i="31"/>
  <c r="K214" i="31" l="1"/>
  <c r="O214" i="31"/>
  <c r="B217" i="31"/>
  <c r="J216" i="31"/>
  <c r="F7" i="31"/>
  <c r="K215" i="31" l="1"/>
  <c r="O215" i="31"/>
  <c r="B218" i="31"/>
  <c r="J217" i="31"/>
  <c r="C7" i="31"/>
  <c r="K216" i="31" l="1"/>
  <c r="O216" i="31"/>
  <c r="B219" i="31"/>
  <c r="J218" i="31"/>
  <c r="K217" i="31" l="1"/>
  <c r="O217" i="31"/>
  <c r="B220" i="31"/>
  <c r="J219" i="31"/>
  <c r="O218" i="31" l="1"/>
  <c r="K218" i="31"/>
  <c r="B221" i="31"/>
  <c r="J220" i="31"/>
  <c r="O219" i="31" l="1"/>
  <c r="K219" i="31"/>
  <c r="B222" i="31"/>
  <c r="J221" i="31"/>
  <c r="O220" i="31" l="1"/>
  <c r="K220" i="31"/>
  <c r="B223" i="31"/>
  <c r="J222" i="31"/>
  <c r="K221" i="31" l="1"/>
  <c r="O221" i="31"/>
  <c r="B224" i="31"/>
  <c r="J223" i="31"/>
  <c r="K222" i="31" l="1"/>
  <c r="O222" i="31"/>
  <c r="B225" i="31"/>
  <c r="J224" i="31"/>
  <c r="K223" i="31" l="1"/>
  <c r="O223" i="31"/>
  <c r="B226" i="31"/>
  <c r="J225" i="31"/>
  <c r="O224" i="31" l="1"/>
  <c r="K224" i="31"/>
  <c r="B227" i="31"/>
  <c r="J226" i="31"/>
  <c r="O225" i="31" l="1"/>
  <c r="K225" i="31"/>
  <c r="B228" i="31"/>
  <c r="J227" i="31"/>
  <c r="O226" i="31" l="1"/>
  <c r="K226" i="31"/>
  <c r="B229" i="31"/>
  <c r="J228" i="31"/>
  <c r="O227" i="31" l="1"/>
  <c r="K227" i="31"/>
  <c r="B230" i="31"/>
  <c r="J229" i="31"/>
  <c r="O228" i="31" l="1"/>
  <c r="K228" i="31"/>
  <c r="B231" i="31"/>
  <c r="J230" i="31"/>
  <c r="O229" i="31" l="1"/>
  <c r="K229" i="31"/>
  <c r="B232" i="31"/>
  <c r="J231" i="31"/>
  <c r="O230" i="31" l="1"/>
  <c r="K230" i="31"/>
  <c r="B233" i="31"/>
  <c r="J232" i="31"/>
  <c r="O231" i="31" l="1"/>
  <c r="K231" i="31"/>
  <c r="B234" i="31"/>
  <c r="J233" i="31"/>
  <c r="K232" i="31" l="1"/>
  <c r="O232" i="31"/>
  <c r="B235" i="31"/>
  <c r="J234" i="31"/>
  <c r="O233" i="31" l="1"/>
  <c r="K233" i="31"/>
  <c r="B236" i="31"/>
  <c r="J235" i="31"/>
  <c r="O234" i="31" l="1"/>
  <c r="K234" i="31"/>
  <c r="B237" i="31"/>
  <c r="J236" i="31"/>
  <c r="O235" i="31" l="1"/>
  <c r="K235" i="31"/>
  <c r="B238" i="31"/>
  <c r="J237" i="31"/>
  <c r="O236" i="31" l="1"/>
  <c r="K236" i="31"/>
  <c r="B239" i="31"/>
  <c r="J238" i="31"/>
  <c r="O237" i="31" l="1"/>
  <c r="K237" i="31"/>
  <c r="B240" i="31"/>
  <c r="J239" i="31"/>
  <c r="O238" i="31" l="1"/>
  <c r="K238" i="31"/>
  <c r="B241" i="31"/>
  <c r="J240" i="31"/>
  <c r="O239" i="31" l="1"/>
  <c r="K239" i="31"/>
  <c r="J241" i="31"/>
  <c r="B242" i="31"/>
  <c r="K240" i="31" l="1"/>
  <c r="O240" i="31"/>
  <c r="J242" i="31"/>
  <c r="B243" i="31"/>
  <c r="O241" i="31" l="1"/>
  <c r="K241" i="31"/>
  <c r="J243" i="31"/>
  <c r="B244" i="31"/>
  <c r="O242" i="31" l="1"/>
  <c r="K242" i="31"/>
  <c r="J244" i="31"/>
  <c r="B245" i="31"/>
  <c r="K243" i="31" l="1"/>
  <c r="O243" i="31"/>
  <c r="J245" i="31"/>
  <c r="B246" i="31"/>
  <c r="O244" i="31" l="1"/>
  <c r="K244" i="31"/>
  <c r="J246" i="31"/>
  <c r="B247" i="31"/>
  <c r="O245" i="31" l="1"/>
  <c r="K245" i="31"/>
  <c r="J247" i="31"/>
  <c r="B248" i="31"/>
  <c r="O246" i="31" l="1"/>
  <c r="K246" i="31"/>
  <c r="J248" i="31"/>
  <c r="B249" i="31"/>
  <c r="K247" i="31" l="1"/>
  <c r="O247" i="31"/>
  <c r="J249" i="31"/>
  <c r="B250" i="31"/>
  <c r="O248" i="31" l="1"/>
  <c r="K248" i="31"/>
  <c r="J250" i="31"/>
  <c r="B251" i="31"/>
  <c r="K249" i="31" l="1"/>
  <c r="O249" i="31"/>
  <c r="J251" i="31"/>
  <c r="B252" i="31"/>
  <c r="O250" i="31" l="1"/>
  <c r="K250" i="31"/>
  <c r="J252" i="31"/>
  <c r="B253" i="31"/>
  <c r="K251" i="31" l="1"/>
  <c r="O251" i="31"/>
  <c r="J253" i="31"/>
  <c r="B254" i="31"/>
  <c r="K252" i="31" l="1"/>
  <c r="O252" i="31"/>
  <c r="J254" i="31"/>
  <c r="B255" i="31"/>
  <c r="K253" i="31" l="1"/>
  <c r="O253" i="31"/>
  <c r="J255" i="31"/>
  <c r="B256" i="31"/>
  <c r="O254" i="31" l="1"/>
  <c r="K254" i="31"/>
  <c r="J256" i="31"/>
  <c r="B257" i="31"/>
  <c r="O255" i="31" l="1"/>
  <c r="K255" i="31"/>
  <c r="J257" i="31"/>
  <c r="B258" i="31"/>
  <c r="O256" i="31" l="1"/>
  <c r="K256" i="31"/>
  <c r="J258" i="31"/>
  <c r="B259" i="31"/>
  <c r="O257" i="31" l="1"/>
  <c r="K257" i="31"/>
  <c r="J259" i="31"/>
  <c r="B260" i="31"/>
  <c r="K258" i="31" l="1"/>
  <c r="O258" i="31"/>
  <c r="J260" i="31"/>
  <c r="B261" i="31"/>
  <c r="K259" i="31" l="1"/>
  <c r="O259" i="31"/>
  <c r="J261" i="31"/>
  <c r="B262" i="31"/>
  <c r="O260" i="31" l="1"/>
  <c r="K260" i="31"/>
  <c r="J262" i="31"/>
  <c r="B263" i="31"/>
  <c r="O261" i="31" l="1"/>
  <c r="K261" i="31"/>
  <c r="J263" i="31"/>
  <c r="B264" i="31"/>
  <c r="O262" i="31" l="1"/>
  <c r="K262" i="31"/>
  <c r="J264" i="31"/>
  <c r="B265" i="31"/>
  <c r="O263" i="31" l="1"/>
  <c r="K263" i="31"/>
  <c r="J265" i="31"/>
  <c r="B266" i="31"/>
  <c r="O264" i="31" l="1"/>
  <c r="K264" i="31"/>
  <c r="B267" i="31"/>
  <c r="J266" i="31"/>
  <c r="K265" i="31" l="1"/>
  <c r="O265" i="31"/>
  <c r="B268" i="31"/>
  <c r="J267" i="31"/>
  <c r="O266" i="31" l="1"/>
  <c r="K266" i="31"/>
  <c r="J268" i="31"/>
  <c r="B269" i="31"/>
  <c r="K267" i="31" l="1"/>
  <c r="O267" i="31"/>
  <c r="J269" i="31"/>
  <c r="B270" i="31"/>
  <c r="K268" i="31" l="1"/>
  <c r="O268" i="31"/>
  <c r="B271" i="31"/>
  <c r="J270" i="31"/>
  <c r="K269" i="31" l="1"/>
  <c r="O269" i="31"/>
  <c r="B272" i="31"/>
  <c r="J271" i="31"/>
  <c r="O270" i="31" l="1"/>
  <c r="K270" i="31"/>
  <c r="B273" i="31"/>
  <c r="J272" i="31"/>
  <c r="K271" i="31" l="1"/>
  <c r="O271" i="31"/>
  <c r="J273" i="31"/>
  <c r="B274" i="31"/>
  <c r="K272" i="31" l="1"/>
  <c r="O272" i="31"/>
  <c r="J274" i="31"/>
  <c r="B275" i="31"/>
  <c r="K273" i="31" l="1"/>
  <c r="O273" i="31"/>
  <c r="J275" i="31"/>
  <c r="B276" i="31"/>
  <c r="K274" i="31" l="1"/>
  <c r="O274" i="31"/>
  <c r="J276" i="31"/>
  <c r="O275" i="31" l="1"/>
  <c r="K275" i="31"/>
  <c r="U40" i="31"/>
  <c r="U39" i="31"/>
  <c r="U41" i="31"/>
  <c r="K276" i="31" l="1"/>
  <c r="O276" i="31"/>
  <c r="U38" i="31"/>
  <c r="EO31" i="25" l="1"/>
  <c r="EO18" i="25"/>
  <c r="EO24" i="25"/>
  <c r="EO22" i="25"/>
  <c r="EO13" i="25"/>
  <c r="EO14" i="25"/>
  <c r="EO15" i="25"/>
  <c r="EO16" i="25"/>
  <c r="EO17" i="25"/>
  <c r="EO19" i="25"/>
  <c r="EO20" i="25"/>
  <c r="EO21" i="25"/>
  <c r="EO23" i="25"/>
  <c r="EO26" i="25"/>
  <c r="EO29" i="25"/>
  <c r="EO32" i="25"/>
  <c r="EO34" i="25"/>
  <c r="EO30" i="25"/>
  <c r="EO28" i="25"/>
  <c r="EO25" i="25"/>
  <c r="EO27" i="25"/>
  <c r="EB13" i="25" l="1"/>
  <c r="EB14" i="25"/>
  <c r="ED13" i="25" l="1"/>
  <c r="EC14" i="25"/>
  <c r="EC13" i="25"/>
  <c r="ED14" i="25"/>
  <c r="EN13" i="25" l="1"/>
  <c r="EB15" i="25"/>
  <c r="EN14" i="25"/>
  <c r="EG13" i="25" l="1"/>
  <c r="EI13" i="25"/>
  <c r="EI14" i="25"/>
  <c r="EC15" i="25" l="1"/>
  <c r="EG14" i="25" l="1"/>
  <c r="EM13" i="25"/>
  <c r="ED15" i="25"/>
  <c r="EF13" i="25" l="1"/>
  <c r="EK13" i="25" l="1"/>
  <c r="EM14" i="25"/>
  <c r="EN15" i="25"/>
  <c r="EF14" i="25" l="1"/>
  <c r="EE13" i="25"/>
  <c r="EI15" i="25"/>
  <c r="EK14" i="25" l="1"/>
  <c r="EL13" i="25"/>
  <c r="EG15" i="25"/>
  <c r="EE14" i="25" l="1"/>
  <c r="EL14" i="25" l="1"/>
  <c r="EM15" i="25"/>
  <c r="EF15" i="25" l="1"/>
  <c r="EK15" i="25" l="1"/>
  <c r="EE15" i="25" l="1"/>
  <c r="EL15" i="25" l="1"/>
  <c r="EB16" i="25" l="1"/>
  <c r="EB17" i="25" l="1"/>
  <c r="EB18" i="25"/>
  <c r="EB19" i="25"/>
  <c r="EB20" i="25"/>
  <c r="EB21" i="25"/>
  <c r="EB22" i="25"/>
  <c r="EB23" i="25"/>
  <c r="EB24" i="25"/>
  <c r="EB25" i="25"/>
  <c r="EB26" i="25"/>
  <c r="EB27" i="25"/>
  <c r="EB28" i="25"/>
  <c r="EB29" i="25"/>
  <c r="EB30" i="25"/>
  <c r="EC16" i="25" l="1"/>
  <c r="EC17" i="25"/>
  <c r="EC18" i="25"/>
  <c r="EC19" i="25"/>
  <c r="EC20" i="25"/>
  <c r="EC21" i="25"/>
  <c r="EC22" i="25"/>
  <c r="EC23" i="25"/>
  <c r="EC24" i="25"/>
  <c r="EC26" i="25"/>
  <c r="EC25" i="25"/>
  <c r="EC27" i="25"/>
  <c r="EC28" i="25"/>
  <c r="EC29" i="25"/>
  <c r="EC30" i="25"/>
  <c r="ED26" i="25" l="1"/>
  <c r="ED18" i="25"/>
  <c r="ED16" i="25" l="1"/>
  <c r="ED25" i="25"/>
  <c r="ED19" i="25"/>
  <c r="ED17" i="25"/>
  <c r="ED24" i="25"/>
  <c r="ED23" i="25"/>
  <c r="ED22" i="25"/>
  <c r="ED21" i="25"/>
  <c r="ED30" i="25"/>
  <c r="ED29" i="25"/>
  <c r="ED28" i="25"/>
  <c r="ED20" i="25"/>
  <c r="ED27" i="25"/>
  <c r="EN28" i="25" l="1"/>
  <c r="EN30" i="25"/>
  <c r="EN16" i="25"/>
  <c r="EN18" i="25"/>
  <c r="EN17" i="25"/>
  <c r="EN21" i="25"/>
  <c r="EN20" i="25"/>
  <c r="EN19" i="25"/>
  <c r="EN22" i="25"/>
  <c r="EN23" i="25"/>
  <c r="EN24" i="25"/>
  <c r="EN26" i="25"/>
  <c r="EN25" i="25"/>
  <c r="EN29" i="25"/>
  <c r="EN27" i="25"/>
  <c r="EI16" i="25" l="1"/>
  <c r="EI18" i="25"/>
  <c r="EI20" i="25"/>
  <c r="EI21" i="25"/>
  <c r="EI22" i="25"/>
  <c r="EI23" i="25"/>
  <c r="EI24" i="25"/>
  <c r="EI26" i="25"/>
  <c r="EI25" i="25"/>
  <c r="EI27" i="25"/>
  <c r="EI29" i="25"/>
  <c r="EI28" i="25"/>
  <c r="EI19" i="25"/>
  <c r="EI30" i="25"/>
  <c r="EI17" i="25"/>
  <c r="EG21" i="25" l="1"/>
  <c r="EG20" i="25"/>
  <c r="EG19" i="25"/>
  <c r="EG22" i="25"/>
  <c r="EG23" i="25"/>
  <c r="EG24" i="25"/>
  <c r="EG25" i="25"/>
  <c r="EG27" i="25"/>
  <c r="EG26" i="25"/>
  <c r="EG28" i="25"/>
  <c r="EG29" i="25"/>
  <c r="EG30" i="25"/>
  <c r="EG17" i="25"/>
  <c r="EG16" i="25"/>
  <c r="EG18" i="25"/>
  <c r="EM21" i="25" l="1"/>
  <c r="EM22" i="25"/>
  <c r="EM23" i="25"/>
  <c r="EM24" i="25"/>
  <c r="EM25" i="25"/>
  <c r="EM27" i="25"/>
  <c r="EM26" i="25"/>
  <c r="EM28" i="25"/>
  <c r="EM29" i="25"/>
  <c r="EM30" i="25"/>
  <c r="EM16" i="25"/>
  <c r="EM18" i="25"/>
  <c r="EM17" i="25"/>
  <c r="EM19" i="25"/>
  <c r="EM20" i="25"/>
  <c r="EF16" i="25"/>
  <c r="EF17" i="25"/>
  <c r="EF18" i="25"/>
  <c r="EF20" i="25"/>
  <c r="EF21" i="25"/>
  <c r="EF19" i="25"/>
  <c r="EF22" i="25"/>
  <c r="EF23" i="25"/>
  <c r="EF24" i="25"/>
  <c r="EF25" i="25"/>
  <c r="EF27" i="25"/>
  <c r="EF26" i="25"/>
  <c r="EF28" i="25"/>
  <c r="EF29" i="25"/>
  <c r="EF30" i="25"/>
  <c r="EB32" i="25" l="1"/>
  <c r="EB34" i="25"/>
  <c r="EB31" i="25"/>
  <c r="EK21" i="25"/>
  <c r="EK20" i="25"/>
  <c r="EK22" i="25"/>
  <c r="EK23" i="25"/>
  <c r="EK24" i="25"/>
  <c r="EK25" i="25"/>
  <c r="EK27" i="25"/>
  <c r="EK26" i="25"/>
  <c r="EK28" i="25"/>
  <c r="EK29" i="25"/>
  <c r="EK30" i="25"/>
  <c r="EK16" i="25"/>
  <c r="EK17" i="25"/>
  <c r="EK18" i="25"/>
  <c r="EK19" i="25"/>
  <c r="EC34" i="25" l="1"/>
  <c r="EC32" i="25"/>
  <c r="EC31" i="25"/>
  <c r="EE22" i="25"/>
  <c r="EE24" i="25"/>
  <c r="EE25" i="25"/>
  <c r="EE19" i="25"/>
  <c r="EE27" i="25"/>
  <c r="EE21" i="25"/>
  <c r="EE17" i="25"/>
  <c r="EE30" i="25"/>
  <c r="EE29" i="25"/>
  <c r="EE28" i="25"/>
  <c r="EE26" i="25"/>
  <c r="EE23" i="25"/>
  <c r="EE18" i="25"/>
  <c r="EE20" i="25"/>
  <c r="EE16" i="25"/>
  <c r="EL23" i="25"/>
  <c r="EL24" i="25"/>
  <c r="EL27" i="25"/>
  <c r="EL25" i="25"/>
  <c r="EL26" i="25"/>
  <c r="EL28" i="25"/>
  <c r="EL29" i="25"/>
  <c r="EL30" i="25"/>
  <c r="EL16" i="25"/>
  <c r="EL17" i="25"/>
  <c r="EL18" i="25"/>
  <c r="EL19" i="25"/>
  <c r="EL21" i="25"/>
  <c r="EL20" i="25"/>
  <c r="EL22" i="25"/>
  <c r="ED31" i="25" l="1"/>
  <c r="ED32" i="25"/>
  <c r="ED34" i="25"/>
  <c r="EI31" i="25" l="1"/>
  <c r="EI32" i="25"/>
  <c r="EI34" i="25"/>
  <c r="EN34" i="25"/>
  <c r="EN31" i="25"/>
  <c r="EN32" i="25"/>
  <c r="EK34" i="25" l="1"/>
  <c r="EK31" i="25"/>
  <c r="EK32" i="25"/>
  <c r="EM31" i="25"/>
  <c r="EM34" i="25"/>
  <c r="EM32" i="25"/>
  <c r="EF34" i="25"/>
  <c r="EF31" i="25"/>
  <c r="EF32" i="25"/>
  <c r="EG34" i="25"/>
  <c r="EG32" i="25"/>
  <c r="EG31" i="25"/>
  <c r="EE34" i="25" l="1"/>
  <c r="EE32" i="25"/>
  <c r="EE31" i="25"/>
  <c r="EL34" i="25" l="1"/>
  <c r="EL32" i="25"/>
  <c r="EL31" i="25"/>
  <c r="O18" i="31" l="1"/>
  <c r="M19" i="31"/>
  <c r="M18" i="31"/>
  <c r="M17" i="31"/>
  <c r="O19" i="31"/>
  <c r="M20" i="31"/>
  <c r="O17" i="31"/>
  <c r="O20" i="31"/>
  <c r="O22" i="31"/>
  <c r="M25" i="31"/>
  <c r="O21" i="31"/>
  <c r="M21" i="31"/>
  <c r="O23" i="31"/>
  <c r="M23" i="31"/>
  <c r="O25" i="31"/>
  <c r="M22" i="31"/>
  <c r="M27" i="31"/>
  <c r="M24" i="31"/>
  <c r="O27" i="31"/>
  <c r="O24" i="31"/>
  <c r="M28" i="31"/>
  <c r="O26" i="31"/>
  <c r="M26" i="31"/>
  <c r="O29" i="31"/>
  <c r="O28" i="31"/>
  <c r="O30" i="31"/>
  <c r="M29" i="31"/>
  <c r="M30" i="31"/>
  <c r="O41" i="31"/>
  <c r="M41" i="31"/>
  <c r="N41" i="31"/>
  <c r="S41" i="31"/>
  <c r="O16" i="31"/>
  <c r="FE13" i="25"/>
  <c r="FE14" i="25"/>
  <c r="FE15" i="25"/>
  <c r="FE16" i="25"/>
  <c r="FE17" i="25"/>
  <c r="FE18" i="25"/>
  <c r="FE19" i="25"/>
  <c r="X41" i="31" l="1"/>
  <c r="EH15" i="25"/>
  <c r="EH13" i="25" l="1"/>
  <c r="EH14" i="25"/>
  <c r="EH16" i="25"/>
  <c r="EH17" i="25"/>
  <c r="EH18" i="25"/>
  <c r="EH19" i="25"/>
  <c r="EH20" i="25"/>
  <c r="EH21" i="25"/>
  <c r="EH22" i="25"/>
  <c r="EH23" i="25" l="1"/>
  <c r="EH24" i="25" l="1"/>
  <c r="EH25" i="25"/>
  <c r="EH26" i="25"/>
  <c r="EJ14" i="25" l="1"/>
  <c r="EJ13" i="25"/>
  <c r="EJ16" i="25"/>
  <c r="EJ17" i="25"/>
  <c r="EJ18" i="25"/>
  <c r="EJ21" i="25"/>
  <c r="EJ20" i="25"/>
  <c r="EJ22" i="25"/>
  <c r="EJ24" i="25"/>
  <c r="EJ26" i="25"/>
  <c r="EJ19" i="25"/>
  <c r="EJ23" i="25"/>
  <c r="EJ25" i="25"/>
  <c r="EJ15" i="25"/>
  <c r="EH27" i="25" l="1"/>
  <c r="EH28" i="25"/>
  <c r="EJ28" i="25"/>
  <c r="EJ27" i="25"/>
  <c r="EH29" i="25" l="1"/>
  <c r="EJ29" i="25" l="1"/>
  <c r="EH30" i="25" l="1"/>
  <c r="EH31" i="25" l="1"/>
  <c r="EJ30" i="25"/>
  <c r="EJ34" i="25"/>
  <c r="EJ31" i="25"/>
  <c r="EJ32" i="25"/>
  <c r="EH34" i="25" l="1"/>
  <c r="EH32" i="25"/>
  <c r="AX34" i="25" l="1"/>
  <c r="E61" i="25" l="1"/>
  <c r="E67" i="25" l="1"/>
  <c r="V96" i="31" l="1"/>
  <c r="V53" i="31"/>
  <c r="V31" i="31"/>
  <c r="V64" i="31"/>
  <c r="V16" i="31"/>
  <c r="V97" i="31"/>
  <c r="V108" i="31"/>
  <c r="V60" i="31"/>
  <c r="V27" i="31"/>
  <c r="V38" i="31"/>
  <c r="V86" i="31"/>
  <c r="V44" i="31"/>
  <c r="V75" i="31"/>
  <c r="V17" i="31"/>
  <c r="V121" i="31"/>
  <c r="V39" i="31"/>
  <c r="V49" i="31"/>
  <c r="V61" i="31"/>
  <c r="V37" i="31"/>
  <c r="V63" i="31"/>
  <c r="V20" i="31"/>
  <c r="V132" i="31"/>
  <c r="V88" i="31"/>
  <c r="V29" i="31"/>
  <c r="V65" i="31"/>
  <c r="V26" i="31"/>
  <c r="V54" i="31"/>
  <c r="V52" i="31"/>
  <c r="V72" i="31"/>
  <c r="V109" i="31"/>
  <c r="V84" i="31"/>
  <c r="V43" i="31"/>
  <c r="V51" i="31"/>
  <c r="V110" i="31"/>
  <c r="V22" i="31"/>
  <c r="V77" i="31"/>
  <c r="V62" i="31"/>
  <c r="V98" i="31"/>
  <c r="V87" i="31"/>
  <c r="V50" i="31"/>
  <c r="V28" i="31"/>
  <c r="V33" i="31"/>
  <c r="V40" i="31"/>
  <c r="V73" i="31"/>
  <c r="V120" i="31"/>
  <c r="V24" i="31"/>
  <c r="V32" i="31"/>
  <c r="V41" i="31"/>
  <c r="V13" i="31"/>
  <c r="V18" i="31"/>
  <c r="V14" i="31"/>
  <c r="V66" i="31"/>
  <c r="V30" i="31"/>
  <c r="V55" i="31"/>
  <c r="V85" i="31"/>
  <c r="V25" i="31"/>
  <c r="V99" i="31"/>
  <c r="V15" i="31"/>
  <c r="V76" i="31"/>
  <c r="V36" i="31"/>
  <c r="V21" i="31"/>
  <c r="V74" i="31"/>
  <c r="V48" i="31"/>
  <c r="V19" i="31"/>
  <c r="V42" i="31"/>
  <c r="V89" i="31" l="1"/>
  <c r="V34" i="31"/>
  <c r="V100" i="31"/>
  <c r="V23" i="31"/>
  <c r="S16" i="31" s="1"/>
  <c r="V78" i="31"/>
  <c r="V45" i="31"/>
  <c r="V144" i="31"/>
  <c r="V67" i="31"/>
  <c r="V56" i="31"/>
  <c r="V111" i="31"/>
  <c r="V133" i="31"/>
  <c r="V122" i="31"/>
  <c r="V12" i="31"/>
  <c r="Q41" i="31" l="1"/>
  <c r="K4" i="31"/>
  <c r="K5" i="31"/>
  <c r="K6" i="31" s="1"/>
  <c r="V57" i="31"/>
  <c r="V79" i="31"/>
  <c r="V134" i="31"/>
  <c r="V112" i="31"/>
  <c r="V90" i="31"/>
  <c r="V101" i="31"/>
  <c r="V68" i="31"/>
  <c r="V35" i="31"/>
  <c r="S17" i="31" s="1"/>
  <c r="V145" i="31"/>
  <c r="V46" i="31"/>
  <c r="V123" i="31"/>
  <c r="V156" i="31"/>
  <c r="K3" i="25" l="1"/>
  <c r="B5" i="31"/>
  <c r="A54" i="25"/>
  <c r="M8" i="31"/>
  <c r="G9" i="25" s="1"/>
  <c r="V80" i="31"/>
  <c r="V58" i="31"/>
  <c r="V91" i="31"/>
  <c r="V113" i="31"/>
  <c r="V135" i="31"/>
  <c r="V69" i="31"/>
  <c r="V102" i="31"/>
  <c r="V124" i="31"/>
  <c r="V168" i="31"/>
  <c r="V157" i="31"/>
  <c r="V47" i="31"/>
  <c r="V146" i="31"/>
  <c r="G41" i="25"/>
  <c r="E39" i="25"/>
  <c r="E40" i="25"/>
  <c r="E41" i="25"/>
  <c r="B5" i="25" l="1"/>
  <c r="V103" i="31"/>
  <c r="V70" i="31"/>
  <c r="V114" i="31"/>
  <c r="V92" i="31"/>
  <c r="V181" i="31"/>
  <c r="V59" i="31"/>
  <c r="V81" i="31"/>
  <c r="V158" i="31"/>
  <c r="V169" i="31"/>
  <c r="V147" i="31"/>
  <c r="V136" i="31"/>
  <c r="V125" i="31"/>
  <c r="V180" i="31"/>
  <c r="G39" i="25"/>
  <c r="G40" i="25"/>
  <c r="E38" i="25"/>
  <c r="B5" i="28" l="1"/>
  <c r="B4" i="31"/>
  <c r="B5" i="66"/>
  <c r="V159" i="31"/>
  <c r="V115" i="31"/>
  <c r="V104" i="31"/>
  <c r="V126" i="31"/>
  <c r="V137" i="31"/>
  <c r="V71" i="31"/>
  <c r="D12" i="31"/>
  <c r="G12" i="31" s="1"/>
  <c r="V170" i="31"/>
  <c r="V148" i="31"/>
  <c r="V93" i="31"/>
  <c r="V182" i="31"/>
  <c r="V82" i="31"/>
  <c r="V160" i="31" l="1"/>
  <c r="V183" i="31"/>
  <c r="V138" i="31"/>
  <c r="V171" i="31"/>
  <c r="V149" i="31"/>
  <c r="V83" i="31"/>
  <c r="V127" i="31"/>
  <c r="V105" i="31"/>
  <c r="V94" i="31"/>
  <c r="V116" i="31"/>
  <c r="V117" i="31" l="1"/>
  <c r="V106" i="31"/>
  <c r="V139" i="31"/>
  <c r="V95" i="31"/>
  <c r="V128" i="31"/>
  <c r="V161" i="31"/>
  <c r="V150" i="31"/>
  <c r="V184" i="31"/>
  <c r="V172" i="31"/>
  <c r="V151" i="31" l="1"/>
  <c r="V185" i="31"/>
  <c r="V162" i="31"/>
  <c r="V118" i="31"/>
  <c r="V173" i="31"/>
  <c r="V129" i="31"/>
  <c r="V107" i="31"/>
  <c r="V140" i="31"/>
  <c r="V130" i="31" l="1"/>
  <c r="V119" i="31"/>
  <c r="V141" i="31"/>
  <c r="V163" i="31"/>
  <c r="V186" i="31"/>
  <c r="V174" i="31"/>
  <c r="V152" i="31"/>
  <c r="V187" i="31" l="1"/>
  <c r="V175" i="31"/>
  <c r="V164" i="31"/>
  <c r="V131" i="31"/>
  <c r="V153" i="31"/>
  <c r="V142" i="31"/>
  <c r="V165" i="31" l="1"/>
  <c r="V188" i="31"/>
  <c r="V154" i="31"/>
  <c r="V143" i="31"/>
  <c r="V176" i="31"/>
  <c r="V155" i="31" l="1"/>
  <c r="V177" i="31"/>
  <c r="V189" i="31"/>
  <c r="V166" i="31"/>
  <c r="V190" i="31" l="1"/>
  <c r="V178" i="31"/>
  <c r="V167" i="31"/>
  <c r="V191" i="31" l="1"/>
  <c r="V179" i="31"/>
  <c r="E22" i="25"/>
  <c r="E20" i="25"/>
  <c r="E21" i="25"/>
  <c r="E24" i="25"/>
  <c r="E14" i="25"/>
  <c r="E15" i="25"/>
  <c r="E16" i="25"/>
  <c r="E13" i="25"/>
  <c r="E19" i="25"/>
  <c r="E17" i="25"/>
  <c r="E18" i="25"/>
  <c r="E23" i="25"/>
  <c r="S20" i="31" l="1"/>
  <c r="S22" i="31"/>
  <c r="S21" i="31"/>
  <c r="S25" i="31"/>
  <c r="S24" i="31"/>
  <c r="S18" i="31"/>
  <c r="S19" i="31"/>
  <c r="S27" i="31"/>
  <c r="S26" i="31"/>
  <c r="S23" i="31"/>
  <c r="S29" i="31"/>
  <c r="S28" i="31"/>
  <c r="Q17" i="31"/>
  <c r="Q20" i="31"/>
  <c r="Q25" i="31"/>
  <c r="Q21" i="31"/>
  <c r="Q23" i="31"/>
  <c r="Q19" i="31"/>
  <c r="Q22" i="31"/>
  <c r="Q26" i="31"/>
  <c r="Q18" i="31"/>
  <c r="Q24" i="31"/>
  <c r="E25" i="25"/>
  <c r="Q27" i="31" l="1"/>
  <c r="E26" i="25"/>
  <c r="E27" i="25"/>
  <c r="Q28" i="31" l="1"/>
  <c r="Q30" i="31" l="1"/>
  <c r="Q29" i="31"/>
  <c r="BA17" i="25" l="1"/>
  <c r="AY16" i="25"/>
  <c r="AX30" i="25"/>
  <c r="BF30" i="25"/>
  <c r="AX16" i="25"/>
  <c r="AZ17" i="25"/>
  <c r="AZ30" i="25"/>
  <c r="BF20" i="25"/>
  <c r="BG28" i="25"/>
  <c r="BG22" i="25"/>
  <c r="BG30" i="25"/>
  <c r="BG31" i="25"/>
  <c r="BG21" i="25"/>
  <c r="BG20" i="25"/>
  <c r="BG27" i="25"/>
  <c r="BG17" i="25"/>
  <c r="BG15" i="25"/>
  <c r="BG29" i="25"/>
  <c r="BG23" i="25"/>
  <c r="BG18" i="25"/>
  <c r="BG16" i="25"/>
  <c r="BG14" i="25"/>
  <c r="BG24" i="25"/>
  <c r="BG25" i="25"/>
  <c r="BG26" i="25"/>
  <c r="BG19" i="25"/>
  <c r="BF28" i="25"/>
  <c r="BF17" i="25"/>
  <c r="BF23" i="25"/>
  <c r="BF18" i="25"/>
  <c r="BF19" i="25"/>
  <c r="BF14" i="25"/>
  <c r="BF22" i="25"/>
  <c r="BF24" i="25"/>
  <c r="BF15" i="25"/>
  <c r="BF21" i="25"/>
  <c r="BF29" i="25"/>
  <c r="BF16" i="25"/>
  <c r="BF31" i="25"/>
  <c r="BF25" i="25"/>
  <c r="BF27" i="25"/>
  <c r="BF26" i="25"/>
  <c r="BE23" i="25"/>
  <c r="BE27" i="25"/>
  <c r="BE18" i="25"/>
  <c r="BE26" i="25"/>
  <c r="BE24" i="25"/>
  <c r="BE30" i="25"/>
  <c r="BE29" i="25"/>
  <c r="BE21" i="25"/>
  <c r="BE31" i="25"/>
  <c r="BE19" i="25"/>
  <c r="BE22" i="25"/>
  <c r="BE28" i="25"/>
  <c r="BE17" i="25"/>
  <c r="BE16" i="25"/>
  <c r="BE25" i="25"/>
  <c r="BE15" i="25"/>
  <c r="BE14" i="25"/>
  <c r="BE20" i="25"/>
  <c r="BD21" i="25"/>
  <c r="BD22" i="25"/>
  <c r="BD20" i="25"/>
  <c r="BD30" i="25"/>
  <c r="BD16" i="25"/>
  <c r="BD29" i="25"/>
  <c r="BD27" i="25"/>
  <c r="BD28" i="25"/>
  <c r="BD24" i="25"/>
  <c r="BD19" i="25"/>
  <c r="BD31" i="25"/>
  <c r="BD17" i="25"/>
  <c r="BD18" i="25"/>
  <c r="BD23" i="25"/>
  <c r="BD26" i="25"/>
  <c r="BD14" i="25"/>
  <c r="BD15" i="25"/>
  <c r="BD25" i="25"/>
  <c r="BC29" i="25"/>
  <c r="BC31" i="25"/>
  <c r="BC26" i="25"/>
  <c r="BC19" i="25"/>
  <c r="BC15" i="25"/>
  <c r="BC24" i="25"/>
  <c r="BC14" i="25"/>
  <c r="BC30" i="25"/>
  <c r="BC28" i="25"/>
  <c r="BC16" i="25"/>
  <c r="BC25" i="25"/>
  <c r="BC20" i="25"/>
  <c r="BC17" i="25"/>
  <c r="BC22" i="25"/>
  <c r="BC21" i="25"/>
  <c r="BC23" i="25"/>
  <c r="BC18" i="25"/>
  <c r="BC27" i="25"/>
  <c r="AX13" i="25"/>
  <c r="BA22" i="25"/>
  <c r="BA23" i="25"/>
  <c r="BA16" i="25"/>
  <c r="BA15" i="25"/>
  <c r="BA21" i="25"/>
  <c r="BA18" i="25"/>
  <c r="BA30" i="25"/>
  <c r="BA14" i="25"/>
  <c r="BA19" i="25"/>
  <c r="BA25" i="25"/>
  <c r="BA24" i="25"/>
  <c r="BA26" i="25"/>
  <c r="BA31" i="25"/>
  <c r="BA20" i="25"/>
  <c r="BA28" i="25"/>
  <c r="BA29" i="25"/>
  <c r="BA27" i="25"/>
  <c r="AY30" i="25"/>
  <c r="AY28" i="25"/>
  <c r="AY20" i="25"/>
  <c r="AY19" i="25"/>
  <c r="AY18" i="25"/>
  <c r="AY29" i="25"/>
  <c r="AY27" i="25"/>
  <c r="AY26" i="25"/>
  <c r="AY31" i="25"/>
  <c r="AY23" i="25"/>
  <c r="AY21" i="25"/>
  <c r="AY22" i="25"/>
  <c r="AY25" i="25"/>
  <c r="AY24" i="25"/>
  <c r="AY14" i="25"/>
  <c r="AY15" i="25"/>
  <c r="AY17" i="25"/>
  <c r="AX15" i="25"/>
  <c r="AX24" i="25"/>
  <c r="AX19" i="25"/>
  <c r="AX22" i="25"/>
  <c r="AX29" i="25"/>
  <c r="AX33" i="25"/>
  <c r="AX27" i="25"/>
  <c r="AX26" i="25"/>
  <c r="AX18" i="25"/>
  <c r="AX31" i="25"/>
  <c r="AX28" i="25"/>
  <c r="AX23" i="25"/>
  <c r="AX14" i="25"/>
  <c r="AX17" i="25"/>
  <c r="AX20" i="25"/>
  <c r="AX32" i="25"/>
  <c r="AX25" i="25"/>
  <c r="AX21" i="25"/>
  <c r="BG13" i="25"/>
  <c r="AY13" i="25"/>
  <c r="BB22" i="25"/>
  <c r="BB25" i="25"/>
  <c r="BB24" i="25"/>
  <c r="BB31" i="25"/>
  <c r="BB14" i="25"/>
  <c r="BB17" i="25"/>
  <c r="BB20" i="25"/>
  <c r="BB23" i="25"/>
  <c r="BB19" i="25"/>
  <c r="BB21" i="25"/>
  <c r="BB27" i="25"/>
  <c r="BB15" i="25"/>
  <c r="BB28" i="25"/>
  <c r="BB29" i="25"/>
  <c r="BB26" i="25"/>
  <c r="BB16" i="25"/>
  <c r="BB30" i="25"/>
  <c r="BB18" i="25"/>
  <c r="BF13" i="25"/>
  <c r="BB13" i="25"/>
  <c r="DV13" i="25"/>
  <c r="AZ16" i="25"/>
  <c r="AZ25" i="25"/>
  <c r="AZ21" i="25"/>
  <c r="AZ24" i="25"/>
  <c r="AZ23" i="25"/>
  <c r="AZ14" i="25"/>
  <c r="AZ29" i="25"/>
  <c r="AZ18" i="25"/>
  <c r="AZ27" i="25"/>
  <c r="AZ26" i="25"/>
  <c r="AZ19" i="25"/>
  <c r="AZ20" i="25"/>
  <c r="AZ28" i="25"/>
  <c r="AZ15" i="25"/>
  <c r="AZ31" i="25"/>
  <c r="AZ22" i="25"/>
  <c r="BE13" i="25"/>
  <c r="BD13" i="25"/>
  <c r="BA13" i="25"/>
  <c r="BC13" i="25"/>
  <c r="AZ13" i="25"/>
  <c r="DX35" i="25" l="1"/>
  <c r="DX36" i="25"/>
  <c r="DX37" i="25"/>
  <c r="DX38" i="25"/>
  <c r="DX39" i="25"/>
  <c r="DX40" i="25"/>
  <c r="DX41" i="25"/>
  <c r="DX13" i="25"/>
  <c r="DX14" i="25"/>
  <c r="DY18" i="25"/>
  <c r="DY35" i="25"/>
  <c r="DY36" i="25"/>
  <c r="DY37" i="25"/>
  <c r="DY38" i="25"/>
  <c r="DY39" i="25"/>
  <c r="DY40" i="25"/>
  <c r="DY41" i="25"/>
  <c r="DT29" i="25"/>
  <c r="DR35" i="25"/>
  <c r="DR36" i="25"/>
  <c r="DR37" i="25"/>
  <c r="DR38" i="25"/>
  <c r="DR39" i="25"/>
  <c r="DR40" i="25"/>
  <c r="DR41" i="25"/>
  <c r="DZ35" i="25"/>
  <c r="DZ36" i="25"/>
  <c r="DZ37" i="25"/>
  <c r="DZ38" i="25"/>
  <c r="DZ39" i="25"/>
  <c r="DZ40" i="25"/>
  <c r="DZ41" i="25"/>
  <c r="DV35" i="25"/>
  <c r="DV36" i="25"/>
  <c r="DV37" i="25"/>
  <c r="DV38" i="25"/>
  <c r="DV39" i="25"/>
  <c r="DV40" i="25"/>
  <c r="DV41" i="25"/>
  <c r="DW35" i="25"/>
  <c r="DW36" i="25"/>
  <c r="DW37" i="25"/>
  <c r="DW38" i="25"/>
  <c r="DW39" i="25"/>
  <c r="DW40" i="25"/>
  <c r="DW41" i="25"/>
  <c r="DS35" i="25"/>
  <c r="DS36" i="25"/>
  <c r="DS37" i="25"/>
  <c r="DS38" i="25"/>
  <c r="DS39" i="25"/>
  <c r="DS40" i="25"/>
  <c r="DS41" i="25"/>
  <c r="DU35" i="25"/>
  <c r="DU36" i="25"/>
  <c r="DU37" i="25"/>
  <c r="DU38" i="25"/>
  <c r="DU39" i="25"/>
  <c r="DU40" i="25"/>
  <c r="DU41" i="25"/>
  <c r="DT35" i="25"/>
  <c r="DT36" i="25"/>
  <c r="DT37" i="25"/>
  <c r="DT38" i="25"/>
  <c r="DT39" i="25"/>
  <c r="DT40" i="25"/>
  <c r="DT41" i="25"/>
  <c r="EA35" i="25"/>
  <c r="EA36" i="25"/>
  <c r="EA37" i="25"/>
  <c r="EA38" i="25"/>
  <c r="EA39" i="25"/>
  <c r="EA40" i="25"/>
  <c r="EA41" i="25"/>
  <c r="DX34" i="25"/>
  <c r="DX30" i="25"/>
  <c r="DX28" i="25"/>
  <c r="DX33" i="25"/>
  <c r="DX16" i="25"/>
  <c r="DX24" i="25"/>
  <c r="DX19" i="25"/>
  <c r="DR21" i="25"/>
  <c r="DV26" i="25"/>
  <c r="DZ33" i="25"/>
  <c r="DZ25" i="25"/>
  <c r="DZ19" i="25"/>
  <c r="DZ21" i="25"/>
  <c r="DZ28" i="25"/>
  <c r="DZ29" i="25"/>
  <c r="DZ27" i="25"/>
  <c r="DZ26" i="25"/>
  <c r="DZ34" i="25"/>
  <c r="DZ20" i="25"/>
  <c r="DZ24" i="25"/>
  <c r="DZ30" i="25"/>
  <c r="DZ15" i="25"/>
  <c r="DZ31" i="25"/>
  <c r="DZ14" i="25"/>
  <c r="DZ18" i="25"/>
  <c r="DZ13" i="25"/>
  <c r="DZ16" i="25"/>
  <c r="DZ32" i="25"/>
  <c r="DZ22" i="25"/>
  <c r="DZ23" i="25"/>
  <c r="DZ17" i="25"/>
  <c r="DY20" i="25"/>
  <c r="DY14" i="25"/>
  <c r="DY25" i="25"/>
  <c r="DY19" i="25"/>
  <c r="DY24" i="25"/>
  <c r="DY29" i="25"/>
  <c r="DY32" i="25"/>
  <c r="DV21" i="25"/>
  <c r="DV33" i="25"/>
  <c r="DV18" i="25"/>
  <c r="DV25" i="25"/>
  <c r="DV20" i="25"/>
  <c r="DV15" i="25"/>
  <c r="DV34" i="25"/>
  <c r="DV30" i="25"/>
  <c r="DV28" i="25"/>
  <c r="DV29" i="25"/>
  <c r="DV17" i="25"/>
  <c r="EA29" i="25"/>
  <c r="EA18" i="25"/>
  <c r="EA27" i="25"/>
  <c r="EA28" i="25"/>
  <c r="EA32" i="25"/>
  <c r="EA33" i="25"/>
  <c r="EA30" i="25"/>
  <c r="EA26" i="25"/>
  <c r="EA24" i="25"/>
  <c r="EA21" i="25"/>
  <c r="EA17" i="25"/>
  <c r="EA22" i="25"/>
  <c r="EA31" i="25"/>
  <c r="EA25" i="25"/>
  <c r="EA34" i="25"/>
  <c r="EA23" i="25"/>
  <c r="EA14" i="25"/>
  <c r="EA19" i="25"/>
  <c r="EA20" i="25"/>
  <c r="EA15" i="25"/>
  <c r="EA13" i="25"/>
  <c r="EA16" i="25"/>
  <c r="DT27" i="25"/>
  <c r="DR34" i="25"/>
  <c r="DR26" i="25"/>
  <c r="DR31" i="25"/>
  <c r="DR16" i="25"/>
  <c r="DW19" i="25"/>
  <c r="DW18" i="25"/>
  <c r="DW25" i="25"/>
  <c r="DW16" i="25"/>
  <c r="DW29" i="25"/>
  <c r="DW17" i="25"/>
  <c r="DW15" i="25"/>
  <c r="DW30" i="25"/>
  <c r="DW14" i="25"/>
  <c r="DW26" i="25"/>
  <c r="DW28" i="25"/>
  <c r="DW33" i="25"/>
  <c r="DW22" i="25"/>
  <c r="DW13" i="25"/>
  <c r="DW32" i="25"/>
  <c r="DW24" i="25"/>
  <c r="DW34" i="25"/>
  <c r="DW21" i="25"/>
  <c r="DW20" i="25"/>
  <c r="DW23" i="25"/>
  <c r="DW27" i="25"/>
  <c r="DW31" i="25"/>
  <c r="DU29" i="25"/>
  <c r="DU31" i="25"/>
  <c r="DU14" i="25"/>
  <c r="DU32" i="25"/>
  <c r="DU13" i="25"/>
  <c r="DU22" i="25"/>
  <c r="DU17" i="25"/>
  <c r="DU25" i="25"/>
  <c r="DU28" i="25"/>
  <c r="DU15" i="25"/>
  <c r="DU19" i="25"/>
  <c r="DU30" i="25"/>
  <c r="DU16" i="25"/>
  <c r="DU34" i="25"/>
  <c r="DU21" i="25"/>
  <c r="DU26" i="25"/>
  <c r="DU18" i="25"/>
  <c r="DU24" i="25"/>
  <c r="DU27" i="25"/>
  <c r="DU33" i="25"/>
  <c r="DU23" i="25"/>
  <c r="DU20" i="25"/>
  <c r="DS19" i="25"/>
  <c r="DS18" i="25"/>
  <c r="DS14" i="25"/>
  <c r="DS30" i="25"/>
  <c r="DS16" i="25"/>
  <c r="DS23" i="25"/>
  <c r="DS34" i="25"/>
  <c r="DS31" i="25"/>
  <c r="DS28" i="25"/>
  <c r="DS15" i="25"/>
  <c r="DS20" i="25"/>
  <c r="DS22" i="25"/>
  <c r="DS32" i="25"/>
  <c r="DS27" i="25"/>
  <c r="DS13" i="25"/>
  <c r="DS33" i="25"/>
  <c r="DS17" i="25"/>
  <c r="DS21" i="25"/>
  <c r="DS25" i="25"/>
  <c r="DS29" i="25"/>
  <c r="DS24" i="25"/>
  <c r="DS26" i="25"/>
  <c r="DT16" i="25"/>
  <c r="DR22" i="25"/>
  <c r="DR23" i="25"/>
  <c r="DT15" i="25"/>
  <c r="DX18" i="25"/>
  <c r="DY16" i="25"/>
  <c r="DV22" i="25"/>
  <c r="DT19" i="25"/>
  <c r="DX29" i="25"/>
  <c r="DY15" i="25"/>
  <c r="DR20" i="25"/>
  <c r="DR29" i="25"/>
  <c r="DR24" i="25"/>
  <c r="DX21" i="25"/>
  <c r="DY28" i="25"/>
  <c r="DR28" i="25"/>
  <c r="DT34" i="25"/>
  <c r="DX27" i="25"/>
  <c r="DY30" i="25"/>
  <c r="DT14" i="25"/>
  <c r="DT32" i="25"/>
  <c r="DX25" i="25"/>
  <c r="DX22" i="25"/>
  <c r="DY31" i="25"/>
  <c r="DT17" i="25"/>
  <c r="DT25" i="25"/>
  <c r="DT20" i="25"/>
  <c r="DR30" i="25"/>
  <c r="DR27" i="25"/>
  <c r="DR19" i="25"/>
  <c r="DY34" i="25"/>
  <c r="DR14" i="25"/>
  <c r="DR18" i="25"/>
  <c r="DX17" i="25"/>
  <c r="DX32" i="25"/>
  <c r="DV32" i="25"/>
  <c r="DY13" i="25"/>
  <c r="DV24" i="25"/>
  <c r="DR13" i="25"/>
  <c r="DR15" i="25"/>
  <c r="DT22" i="25"/>
  <c r="DT21" i="25"/>
  <c r="DY33" i="25"/>
  <c r="DR33" i="25"/>
  <c r="DR17" i="25"/>
  <c r="DT30" i="25"/>
  <c r="DT18" i="25"/>
  <c r="DX23" i="25"/>
  <c r="DY23" i="25"/>
  <c r="DV14" i="25"/>
  <c r="DV23" i="25"/>
  <c r="DT13" i="25"/>
  <c r="DT24" i="25"/>
  <c r="DT26" i="25"/>
  <c r="DX20" i="25"/>
  <c r="DY27" i="25"/>
  <c r="DV31" i="25"/>
  <c r="DT23" i="25"/>
  <c r="DY26" i="25"/>
  <c r="DT31" i="25"/>
  <c r="DY22" i="25"/>
  <c r="DV27" i="25"/>
  <c r="DT33" i="25"/>
  <c r="DX31" i="25"/>
  <c r="DY17" i="25"/>
  <c r="DV19" i="25"/>
  <c r="DR32" i="25"/>
  <c r="DT28" i="25"/>
  <c r="DX15" i="25"/>
  <c r="DY21" i="25"/>
  <c r="DX26" i="25"/>
  <c r="DV16" i="25"/>
  <c r="DR25" i="25"/>
  <c r="FA41" i="25" l="1"/>
  <c r="C41" i="25" s="1"/>
  <c r="FA40" i="25"/>
  <c r="C40" i="25" s="1"/>
  <c r="FA39" i="25"/>
  <c r="C39" i="25" s="1"/>
  <c r="FA38" i="25"/>
  <c r="C38" i="25" s="1"/>
  <c r="FA37" i="25"/>
  <c r="C37" i="25" s="1"/>
  <c r="FA33" i="25"/>
  <c r="C33" i="25" s="1"/>
  <c r="FA36" i="25"/>
  <c r="C36" i="25" s="1"/>
  <c r="FA35" i="25"/>
  <c r="C35" i="25" s="1"/>
  <c r="FA34" i="25"/>
  <c r="C34" i="25" s="1"/>
  <c r="FA32" i="25"/>
  <c r="C32" i="25" s="1"/>
  <c r="FA28" i="25"/>
  <c r="C28" i="25" s="1"/>
  <c r="FA14" i="25"/>
  <c r="C14" i="25" s="1"/>
  <c r="FA16" i="25"/>
  <c r="C16" i="25" s="1"/>
  <c r="FA29" i="25"/>
  <c r="C29" i="25" s="1"/>
  <c r="FA24" i="25"/>
  <c r="C24" i="25" s="1"/>
  <c r="FA26" i="25"/>
  <c r="C26" i="25" s="1"/>
  <c r="FA19" i="25"/>
  <c r="C19" i="25" s="1"/>
  <c r="FA25" i="25"/>
  <c r="C25" i="25" s="1"/>
  <c r="FA20" i="25"/>
  <c r="C20" i="25" s="1"/>
  <c r="FA31" i="25"/>
  <c r="C31" i="25" s="1"/>
  <c r="FA18" i="25"/>
  <c r="C18" i="25" s="1"/>
  <c r="FA27" i="25"/>
  <c r="C27" i="25" s="1"/>
  <c r="FA30" i="25"/>
  <c r="C30" i="25" s="1"/>
  <c r="FA21" i="25"/>
  <c r="C21" i="25" s="1"/>
  <c r="FA17" i="25"/>
  <c r="C17" i="25" s="1"/>
  <c r="FA23" i="25"/>
  <c r="C23" i="25" s="1"/>
  <c r="FA22" i="25"/>
  <c r="C22" i="25" s="1"/>
  <c r="FA15" i="25"/>
  <c r="C15" i="25" s="1"/>
  <c r="FA13" i="25"/>
  <c r="C13" i="25" s="1"/>
  <c r="D175" i="31" l="1"/>
  <c r="E175" i="31" s="1"/>
  <c r="D178" i="31"/>
  <c r="E178" i="31" s="1"/>
  <c r="D176" i="31"/>
  <c r="E176" i="31" s="1"/>
  <c r="D177" i="31"/>
  <c r="E177" i="31" s="1"/>
  <c r="D174" i="31"/>
  <c r="E174" i="31" s="1"/>
  <c r="D170" i="31"/>
  <c r="E170" i="31" s="1"/>
  <c r="D169" i="31"/>
  <c r="E169" i="31" s="1"/>
  <c r="G169" i="31" s="1"/>
  <c r="D173" i="31"/>
  <c r="E173" i="31" s="1"/>
  <c r="G173" i="31" s="1"/>
  <c r="D171" i="31"/>
  <c r="E171" i="31" s="1"/>
  <c r="D179" i="31"/>
  <c r="E179" i="31" s="1"/>
  <c r="G179" i="31" s="1"/>
  <c r="D180" i="31"/>
  <c r="E180" i="31" s="1"/>
  <c r="G180" i="31" s="1"/>
  <c r="D172" i="31"/>
  <c r="E172" i="31" s="1"/>
  <c r="G172" i="31" s="1"/>
  <c r="D250" i="31"/>
  <c r="E250" i="31" s="1"/>
  <c r="D242" i="31"/>
  <c r="E242" i="31" s="1"/>
  <c r="D247" i="31"/>
  <c r="E247" i="31" s="1"/>
  <c r="D241" i="31"/>
  <c r="E241" i="31" s="1"/>
  <c r="D243" i="31"/>
  <c r="E243" i="31" s="1"/>
  <c r="D252" i="31"/>
  <c r="E252" i="31" s="1"/>
  <c r="D245" i="31"/>
  <c r="E245" i="31" s="1"/>
  <c r="D248" i="31"/>
  <c r="E248" i="31" s="1"/>
  <c r="D246" i="31"/>
  <c r="E246" i="31" s="1"/>
  <c r="D249" i="31"/>
  <c r="E249" i="31" s="1"/>
  <c r="D251" i="31"/>
  <c r="E251" i="31" s="1"/>
  <c r="D244" i="31"/>
  <c r="E244" i="31" s="1"/>
  <c r="D237" i="31"/>
  <c r="E237" i="31" s="1"/>
  <c r="D234" i="31"/>
  <c r="E234" i="31" s="1"/>
  <c r="D232" i="31"/>
  <c r="E232" i="31" s="1"/>
  <c r="D229" i="31"/>
  <c r="E229" i="31" s="1"/>
  <c r="D236" i="31"/>
  <c r="E236" i="31" s="1"/>
  <c r="D239" i="31"/>
  <c r="E239" i="31" s="1"/>
  <c r="D238" i="31"/>
  <c r="E238" i="31" s="1"/>
  <c r="D240" i="31"/>
  <c r="E240" i="31" s="1"/>
  <c r="D230" i="31"/>
  <c r="E230" i="31" s="1"/>
  <c r="D231" i="31"/>
  <c r="E231" i="31" s="1"/>
  <c r="D233" i="31"/>
  <c r="E233" i="31" s="1"/>
  <c r="D235" i="31"/>
  <c r="E235" i="31" s="1"/>
  <c r="D262" i="31"/>
  <c r="E262" i="31" s="1"/>
  <c r="D254" i="31"/>
  <c r="E254" i="31" s="1"/>
  <c r="D258" i="31"/>
  <c r="E258" i="31" s="1"/>
  <c r="D261" i="31"/>
  <c r="E261" i="31" s="1"/>
  <c r="D260" i="31"/>
  <c r="E260" i="31" s="1"/>
  <c r="D257" i="31"/>
  <c r="E257" i="31" s="1"/>
  <c r="D264" i="31"/>
  <c r="E264" i="31" s="1"/>
  <c r="D256" i="31"/>
  <c r="E256" i="31" s="1"/>
  <c r="D259" i="31"/>
  <c r="E259" i="31" s="1"/>
  <c r="D255" i="31"/>
  <c r="E255" i="31" s="1"/>
  <c r="D253" i="31"/>
  <c r="E253" i="31" s="1"/>
  <c r="D263" i="31"/>
  <c r="E263" i="31" s="1"/>
  <c r="D102" i="31"/>
  <c r="E102" i="31" s="1"/>
  <c r="G102" i="31" s="1"/>
  <c r="D105" i="31"/>
  <c r="E105" i="31" s="1"/>
  <c r="G105" i="31" s="1"/>
  <c r="D107" i="31"/>
  <c r="E107" i="31" s="1"/>
  <c r="G107" i="31" s="1"/>
  <c r="D98" i="31"/>
  <c r="E98" i="31" s="1"/>
  <c r="G98" i="31" s="1"/>
  <c r="D106" i="31"/>
  <c r="E106" i="31" s="1"/>
  <c r="D104" i="31"/>
  <c r="E104" i="31" s="1"/>
  <c r="G104" i="31" s="1"/>
  <c r="D103" i="31"/>
  <c r="E103" i="31" s="1"/>
  <c r="G103" i="31" s="1"/>
  <c r="D108" i="31"/>
  <c r="E108" i="31" s="1"/>
  <c r="G108" i="31" s="1"/>
  <c r="D101" i="31"/>
  <c r="E101" i="31" s="1"/>
  <c r="G101" i="31" s="1"/>
  <c r="D97" i="31"/>
  <c r="E97" i="31" s="1"/>
  <c r="G97" i="31" s="1"/>
  <c r="D100" i="31"/>
  <c r="E100" i="31" s="1"/>
  <c r="G100" i="31" s="1"/>
  <c r="D99" i="31"/>
  <c r="E99" i="31" s="1"/>
  <c r="G99" i="31" s="1"/>
  <c r="D56" i="31"/>
  <c r="E56" i="31" s="1"/>
  <c r="G56" i="31" s="1"/>
  <c r="D50" i="31"/>
  <c r="E50" i="31" s="1"/>
  <c r="G50" i="31" s="1"/>
  <c r="D49" i="31"/>
  <c r="E49" i="31" s="1"/>
  <c r="G49" i="31" s="1"/>
  <c r="D59" i="31"/>
  <c r="E59" i="31" s="1"/>
  <c r="G59" i="31" s="1"/>
  <c r="D58" i="31"/>
  <c r="E58" i="31" s="1"/>
  <c r="G58" i="31" s="1"/>
  <c r="D60" i="31"/>
  <c r="E60" i="31" s="1"/>
  <c r="G60" i="31" s="1"/>
  <c r="D55" i="31"/>
  <c r="E55" i="31" s="1"/>
  <c r="G55" i="31" s="1"/>
  <c r="D51" i="31"/>
  <c r="E51" i="31" s="1"/>
  <c r="G51" i="31" s="1"/>
  <c r="D52" i="31"/>
  <c r="E52" i="31" s="1"/>
  <c r="D57" i="31"/>
  <c r="E57" i="31" s="1"/>
  <c r="D54" i="31"/>
  <c r="E54" i="31" s="1"/>
  <c r="G54" i="31" s="1"/>
  <c r="D53" i="31"/>
  <c r="E53" i="31" s="1"/>
  <c r="G53" i="31" s="1"/>
  <c r="D216" i="31"/>
  <c r="E216" i="31" s="1"/>
  <c r="D213" i="31"/>
  <c r="E213" i="31" s="1"/>
  <c r="D205" i="31"/>
  <c r="E205" i="31" s="1"/>
  <c r="D212" i="31"/>
  <c r="E212" i="31" s="1"/>
  <c r="D215" i="31"/>
  <c r="E215" i="31" s="1"/>
  <c r="D206" i="31"/>
  <c r="E206" i="31" s="1"/>
  <c r="D214" i="31"/>
  <c r="E214" i="31" s="1"/>
  <c r="D207" i="31"/>
  <c r="E207" i="31" s="1"/>
  <c r="D211" i="31"/>
  <c r="E211" i="31" s="1"/>
  <c r="D210" i="31"/>
  <c r="E210" i="31" s="1"/>
  <c r="D209" i="31"/>
  <c r="E209" i="31" s="1"/>
  <c r="D208" i="31"/>
  <c r="E208" i="31" s="1"/>
  <c r="D47" i="31"/>
  <c r="E47" i="31" s="1"/>
  <c r="G47" i="31" s="1"/>
  <c r="D46" i="31"/>
  <c r="E46" i="31" s="1"/>
  <c r="G46" i="31" s="1"/>
  <c r="D42" i="31"/>
  <c r="E42" i="31" s="1"/>
  <c r="G42" i="31" s="1"/>
  <c r="D44" i="31"/>
  <c r="E44" i="31" s="1"/>
  <c r="G44" i="31" s="1"/>
  <c r="D39" i="31"/>
  <c r="E39" i="31" s="1"/>
  <c r="G39" i="31" s="1"/>
  <c r="D45" i="31"/>
  <c r="E45" i="31" s="1"/>
  <c r="G45" i="31" s="1"/>
  <c r="D38" i="31"/>
  <c r="E38" i="31" s="1"/>
  <c r="G38" i="31" s="1"/>
  <c r="D40" i="31"/>
  <c r="E40" i="31" s="1"/>
  <c r="G40" i="31" s="1"/>
  <c r="D37" i="31"/>
  <c r="D41" i="31"/>
  <c r="E41" i="31" s="1"/>
  <c r="G41" i="31" s="1"/>
  <c r="D48" i="31"/>
  <c r="E48" i="31" s="1"/>
  <c r="G48" i="31" s="1"/>
  <c r="D43" i="31"/>
  <c r="E43" i="31" s="1"/>
  <c r="G43" i="31" s="1"/>
  <c r="D160" i="31"/>
  <c r="E160" i="31" s="1"/>
  <c r="G160" i="31" s="1"/>
  <c r="D162" i="31"/>
  <c r="E162" i="31" s="1"/>
  <c r="G162" i="31" s="1"/>
  <c r="D161" i="31"/>
  <c r="E161" i="31" s="1"/>
  <c r="G161" i="31" s="1"/>
  <c r="D163" i="31"/>
  <c r="E163" i="31" s="1"/>
  <c r="G163" i="31" s="1"/>
  <c r="D159" i="31"/>
  <c r="E159" i="31" s="1"/>
  <c r="G159" i="31" s="1"/>
  <c r="D158" i="31"/>
  <c r="E158" i="31" s="1"/>
  <c r="G158" i="31" s="1"/>
  <c r="D164" i="31"/>
  <c r="E164" i="31" s="1"/>
  <c r="G164" i="31" s="1"/>
  <c r="D167" i="31"/>
  <c r="E167" i="31" s="1"/>
  <c r="G167" i="31" s="1"/>
  <c r="D157" i="31"/>
  <c r="E157" i="31" s="1"/>
  <c r="G157" i="31" s="1"/>
  <c r="D168" i="31"/>
  <c r="E168" i="31" s="1"/>
  <c r="G168" i="31" s="1"/>
  <c r="D165" i="31"/>
  <c r="E165" i="31" s="1"/>
  <c r="G165" i="31" s="1"/>
  <c r="D166" i="31"/>
  <c r="E166" i="31" s="1"/>
  <c r="G166" i="31" s="1"/>
  <c r="D202" i="31"/>
  <c r="E202" i="31" s="1"/>
  <c r="G202" i="31" s="1"/>
  <c r="D200" i="31"/>
  <c r="E200" i="31" s="1"/>
  <c r="G200" i="31" s="1"/>
  <c r="D194" i="31"/>
  <c r="E194" i="31" s="1"/>
  <c r="G194" i="31" s="1"/>
  <c r="D196" i="31"/>
  <c r="E196" i="31" s="1"/>
  <c r="G196" i="31" s="1"/>
  <c r="D199" i="31"/>
  <c r="E199" i="31" s="1"/>
  <c r="G199" i="31" s="1"/>
  <c r="D204" i="31"/>
  <c r="E204" i="31" s="1"/>
  <c r="G204" i="31" s="1"/>
  <c r="D195" i="31"/>
  <c r="E195" i="31" s="1"/>
  <c r="G195" i="31" s="1"/>
  <c r="D193" i="31"/>
  <c r="E193" i="31" s="1"/>
  <c r="G193" i="31" s="1"/>
  <c r="D201" i="31"/>
  <c r="E201" i="31" s="1"/>
  <c r="G201" i="31" s="1"/>
  <c r="D197" i="31"/>
  <c r="E197" i="31" s="1"/>
  <c r="G197" i="31" s="1"/>
  <c r="D203" i="31"/>
  <c r="E203" i="31" s="1"/>
  <c r="G203" i="31" s="1"/>
  <c r="D198" i="31"/>
  <c r="E198" i="31" s="1"/>
  <c r="G198" i="31" s="1"/>
  <c r="D228" i="31"/>
  <c r="E228" i="31" s="1"/>
  <c r="D217" i="31"/>
  <c r="E217" i="31" s="1"/>
  <c r="D219" i="31"/>
  <c r="E219" i="31" s="1"/>
  <c r="D226" i="31"/>
  <c r="E226" i="31" s="1"/>
  <c r="D225" i="31"/>
  <c r="E225" i="31" s="1"/>
  <c r="D221" i="31"/>
  <c r="E221" i="31" s="1"/>
  <c r="D222" i="31"/>
  <c r="E222" i="31" s="1"/>
  <c r="D227" i="31"/>
  <c r="E227" i="31" s="1"/>
  <c r="D218" i="31"/>
  <c r="E218" i="31" s="1"/>
  <c r="D224" i="31"/>
  <c r="E224" i="31" s="1"/>
  <c r="D223" i="31"/>
  <c r="E223" i="31" s="1"/>
  <c r="D220" i="31"/>
  <c r="E220" i="31" s="1"/>
  <c r="D146" i="31"/>
  <c r="E146" i="31" s="1"/>
  <c r="G146" i="31" s="1"/>
  <c r="D148" i="31"/>
  <c r="E148" i="31" s="1"/>
  <c r="G148" i="31" s="1"/>
  <c r="D156" i="31"/>
  <c r="E156" i="31" s="1"/>
  <c r="G156" i="31" s="1"/>
  <c r="D147" i="31"/>
  <c r="E147" i="31" s="1"/>
  <c r="G147" i="31" s="1"/>
  <c r="D153" i="31"/>
  <c r="E153" i="31" s="1"/>
  <c r="G153" i="31" s="1"/>
  <c r="D154" i="31"/>
  <c r="E154" i="31" s="1"/>
  <c r="G154" i="31" s="1"/>
  <c r="D145" i="31"/>
  <c r="E145" i="31" s="1"/>
  <c r="G145" i="31" s="1"/>
  <c r="D152" i="31"/>
  <c r="E152" i="31" s="1"/>
  <c r="G152" i="31" s="1"/>
  <c r="D149" i="31"/>
  <c r="E149" i="31" s="1"/>
  <c r="G149" i="31" s="1"/>
  <c r="D155" i="31"/>
  <c r="E155" i="31" s="1"/>
  <c r="G155" i="31" s="1"/>
  <c r="D150" i="31"/>
  <c r="E150" i="31" s="1"/>
  <c r="G150" i="31" s="1"/>
  <c r="D151" i="31"/>
  <c r="E151" i="31" s="1"/>
  <c r="G151" i="31" s="1"/>
  <c r="D272" i="31"/>
  <c r="E272" i="31" s="1"/>
  <c r="D266" i="31"/>
  <c r="E266" i="31" s="1"/>
  <c r="D274" i="31"/>
  <c r="E274" i="31" s="1"/>
  <c r="D269" i="31"/>
  <c r="E269" i="31" s="1"/>
  <c r="D276" i="31"/>
  <c r="E276" i="31" s="1"/>
  <c r="D268" i="31"/>
  <c r="E268" i="31" s="1"/>
  <c r="D273" i="31"/>
  <c r="E273" i="31" s="1"/>
  <c r="D271" i="31"/>
  <c r="E271" i="31" s="1"/>
  <c r="D265" i="31"/>
  <c r="E265" i="31" s="1"/>
  <c r="D270" i="31"/>
  <c r="E270" i="31" s="1"/>
  <c r="D275" i="31"/>
  <c r="E275" i="31" s="1"/>
  <c r="D267" i="31"/>
  <c r="E267" i="31" s="1"/>
  <c r="D137" i="31"/>
  <c r="E137" i="31" s="1"/>
  <c r="G137" i="31" s="1"/>
  <c r="D143" i="31"/>
  <c r="E143" i="31" s="1"/>
  <c r="G143" i="31" s="1"/>
  <c r="D142" i="31"/>
  <c r="E142" i="31" s="1"/>
  <c r="G142" i="31" s="1"/>
  <c r="D140" i="31"/>
  <c r="E140" i="31" s="1"/>
  <c r="G140" i="31" s="1"/>
  <c r="D138" i="31"/>
  <c r="E138" i="31" s="1"/>
  <c r="G138" i="31" s="1"/>
  <c r="D144" i="31"/>
  <c r="E144" i="31" s="1"/>
  <c r="G144" i="31" s="1"/>
  <c r="D134" i="31"/>
  <c r="E134" i="31" s="1"/>
  <c r="G134" i="31" s="1"/>
  <c r="D141" i="31"/>
  <c r="E141" i="31" s="1"/>
  <c r="G141" i="31" s="1"/>
  <c r="D139" i="31"/>
  <c r="E139" i="31" s="1"/>
  <c r="G139" i="31" s="1"/>
  <c r="D136" i="31"/>
  <c r="E136" i="31" s="1"/>
  <c r="G136" i="31" s="1"/>
  <c r="D133" i="31"/>
  <c r="E133" i="31" s="1"/>
  <c r="G133" i="31" s="1"/>
  <c r="D135" i="31"/>
  <c r="E135" i="31" s="1"/>
  <c r="G135" i="31" s="1"/>
  <c r="D62" i="31"/>
  <c r="E62" i="31" s="1"/>
  <c r="G62" i="31" s="1"/>
  <c r="D71" i="31"/>
  <c r="E71" i="31" s="1"/>
  <c r="G71" i="31" s="1"/>
  <c r="D63" i="31"/>
  <c r="E63" i="31" s="1"/>
  <c r="G63" i="31" s="1"/>
  <c r="D66" i="31"/>
  <c r="E66" i="31" s="1"/>
  <c r="G66" i="31" s="1"/>
  <c r="D72" i="31"/>
  <c r="E72" i="31" s="1"/>
  <c r="G72" i="31" s="1"/>
  <c r="D68" i="31"/>
  <c r="E68" i="31" s="1"/>
  <c r="G68" i="31" s="1"/>
  <c r="D67" i="31"/>
  <c r="E67" i="31" s="1"/>
  <c r="G67" i="31" s="1"/>
  <c r="D64" i="31"/>
  <c r="E64" i="31" s="1"/>
  <c r="G64" i="31" s="1"/>
  <c r="D69" i="31"/>
  <c r="E69" i="31" s="1"/>
  <c r="G69" i="31" s="1"/>
  <c r="D61" i="31"/>
  <c r="E61" i="31" s="1"/>
  <c r="G61" i="31" s="1"/>
  <c r="D65" i="31"/>
  <c r="E65" i="31" s="1"/>
  <c r="G65" i="31" s="1"/>
  <c r="D70" i="31"/>
  <c r="E70" i="31" s="1"/>
  <c r="G70" i="31" s="1"/>
  <c r="D183" i="31"/>
  <c r="E183" i="31" s="1"/>
  <c r="G183" i="31" s="1"/>
  <c r="D184" i="31"/>
  <c r="E184" i="31" s="1"/>
  <c r="G184" i="31" s="1"/>
  <c r="D182" i="31"/>
  <c r="E182" i="31" s="1"/>
  <c r="G182" i="31" s="1"/>
  <c r="D190" i="31"/>
  <c r="E190" i="31" s="1"/>
  <c r="G190" i="31" s="1"/>
  <c r="D192" i="31"/>
  <c r="E192" i="31" s="1"/>
  <c r="G192" i="31" s="1"/>
  <c r="D189" i="31"/>
  <c r="E189" i="31" s="1"/>
  <c r="G189" i="31" s="1"/>
  <c r="D188" i="31"/>
  <c r="E188" i="31" s="1"/>
  <c r="G188" i="31" s="1"/>
  <c r="D181" i="31"/>
  <c r="E181" i="31" s="1"/>
  <c r="G181" i="31" s="1"/>
  <c r="D187" i="31"/>
  <c r="E187" i="31" s="1"/>
  <c r="G187" i="31" s="1"/>
  <c r="D191" i="31"/>
  <c r="E191" i="31" s="1"/>
  <c r="G191" i="31" s="1"/>
  <c r="D185" i="31"/>
  <c r="E185" i="31" s="1"/>
  <c r="G185" i="31" s="1"/>
  <c r="D186" i="31"/>
  <c r="E186" i="31" s="1"/>
  <c r="G186" i="31" s="1"/>
  <c r="D94" i="31"/>
  <c r="E94" i="31" s="1"/>
  <c r="G94" i="31" s="1"/>
  <c r="D88" i="31"/>
  <c r="E88" i="31" s="1"/>
  <c r="G88" i="31" s="1"/>
  <c r="D86" i="31"/>
  <c r="E86" i="31" s="1"/>
  <c r="G86" i="31" s="1"/>
  <c r="D96" i="31"/>
  <c r="E96" i="31" s="1"/>
  <c r="G96" i="31" s="1"/>
  <c r="D92" i="31"/>
  <c r="E92" i="31" s="1"/>
  <c r="G92" i="31" s="1"/>
  <c r="D90" i="31"/>
  <c r="E90" i="31" s="1"/>
  <c r="G90" i="31" s="1"/>
  <c r="D95" i="31"/>
  <c r="E95" i="31" s="1"/>
  <c r="G95" i="31" s="1"/>
  <c r="D89" i="31"/>
  <c r="E89" i="31" s="1"/>
  <c r="G89" i="31" s="1"/>
  <c r="D91" i="31"/>
  <c r="E91" i="31" s="1"/>
  <c r="G91" i="31" s="1"/>
  <c r="D87" i="31"/>
  <c r="E87" i="31" s="1"/>
  <c r="G87" i="31" s="1"/>
  <c r="D93" i="31"/>
  <c r="E93" i="31" s="1"/>
  <c r="G93" i="31" s="1"/>
  <c r="D85" i="31"/>
  <c r="E85" i="31" s="1"/>
  <c r="G85" i="31" s="1"/>
  <c r="D34" i="31"/>
  <c r="E34" i="31" s="1"/>
  <c r="G34" i="31" s="1"/>
  <c r="D35" i="31"/>
  <c r="E35" i="31" s="1"/>
  <c r="G35" i="31" s="1"/>
  <c r="D33" i="31"/>
  <c r="E33" i="31" s="1"/>
  <c r="G33" i="31" s="1"/>
  <c r="D29" i="31"/>
  <c r="E29" i="31" s="1"/>
  <c r="G29" i="31" s="1"/>
  <c r="D36" i="31"/>
  <c r="E36" i="31" s="1"/>
  <c r="D30" i="31"/>
  <c r="E30" i="31" s="1"/>
  <c r="D27" i="31"/>
  <c r="E27" i="31" s="1"/>
  <c r="G27" i="31" s="1"/>
  <c r="D26" i="31"/>
  <c r="E26" i="31" s="1"/>
  <c r="G26" i="31" s="1"/>
  <c r="D32" i="31"/>
  <c r="E32" i="31" s="1"/>
  <c r="G32" i="31" s="1"/>
  <c r="D31" i="31"/>
  <c r="E31" i="31" s="1"/>
  <c r="G31" i="31" s="1"/>
  <c r="D25" i="31"/>
  <c r="D28" i="31"/>
  <c r="E28" i="31" s="1"/>
  <c r="G28" i="31" s="1"/>
  <c r="D23" i="31"/>
  <c r="E23" i="31" s="1"/>
  <c r="G23" i="31" s="1"/>
  <c r="D24" i="31"/>
  <c r="E24" i="31" s="1"/>
  <c r="G24" i="31" s="1"/>
  <c r="D15" i="31"/>
  <c r="E15" i="31" s="1"/>
  <c r="G15" i="31" s="1"/>
  <c r="D19" i="31"/>
  <c r="E19" i="31" s="1"/>
  <c r="G19" i="31" s="1"/>
  <c r="D16" i="31"/>
  <c r="E16" i="31" s="1"/>
  <c r="G16" i="31" s="1"/>
  <c r="D17" i="31"/>
  <c r="E17" i="31" s="1"/>
  <c r="G17" i="31" s="1"/>
  <c r="D18" i="31"/>
  <c r="E18" i="31" s="1"/>
  <c r="G18" i="31" s="1"/>
  <c r="D14" i="31"/>
  <c r="E14" i="31" s="1"/>
  <c r="G14" i="31" s="1"/>
  <c r="D22" i="31"/>
  <c r="E22" i="31" s="1"/>
  <c r="G22" i="31" s="1"/>
  <c r="D21" i="31"/>
  <c r="E21" i="31" s="1"/>
  <c r="G21" i="31" s="1"/>
  <c r="D20" i="31"/>
  <c r="E20" i="31" s="1"/>
  <c r="G20" i="31" s="1"/>
  <c r="D122" i="31"/>
  <c r="E122" i="31" s="1"/>
  <c r="G122" i="31" s="1"/>
  <c r="D124" i="31"/>
  <c r="E124" i="31" s="1"/>
  <c r="G124" i="31" s="1"/>
  <c r="D126" i="31"/>
  <c r="E126" i="31" s="1"/>
  <c r="G126" i="31" s="1"/>
  <c r="D131" i="31"/>
  <c r="E131" i="31" s="1"/>
  <c r="G131" i="31" s="1"/>
  <c r="D127" i="31"/>
  <c r="E127" i="31" s="1"/>
  <c r="G127" i="31" s="1"/>
  <c r="D121" i="31"/>
  <c r="E121" i="31" s="1"/>
  <c r="G121" i="31" s="1"/>
  <c r="D129" i="31"/>
  <c r="E129" i="31" s="1"/>
  <c r="G129" i="31" s="1"/>
  <c r="D123" i="31"/>
  <c r="E123" i="31" s="1"/>
  <c r="G123" i="31" s="1"/>
  <c r="D130" i="31"/>
  <c r="E130" i="31" s="1"/>
  <c r="G130" i="31" s="1"/>
  <c r="D125" i="31"/>
  <c r="E125" i="31" s="1"/>
  <c r="G125" i="31" s="1"/>
  <c r="D132" i="31"/>
  <c r="E132" i="31" s="1"/>
  <c r="G132" i="31" s="1"/>
  <c r="D128" i="31"/>
  <c r="E128" i="31" s="1"/>
  <c r="G128" i="31" s="1"/>
  <c r="D114" i="31"/>
  <c r="E114" i="31" s="1"/>
  <c r="G114" i="31" s="1"/>
  <c r="D113" i="31"/>
  <c r="E113" i="31" s="1"/>
  <c r="G113" i="31" s="1"/>
  <c r="D115" i="31"/>
  <c r="E115" i="31" s="1"/>
  <c r="G115" i="31" s="1"/>
  <c r="D119" i="31"/>
  <c r="E119" i="31" s="1"/>
  <c r="G119" i="31" s="1"/>
  <c r="D118" i="31"/>
  <c r="E118" i="31" s="1"/>
  <c r="G118" i="31" s="1"/>
  <c r="D112" i="31"/>
  <c r="E112" i="31" s="1"/>
  <c r="G112" i="31" s="1"/>
  <c r="D117" i="31"/>
  <c r="E117" i="31" s="1"/>
  <c r="G117" i="31" s="1"/>
  <c r="D116" i="31"/>
  <c r="E116" i="31" s="1"/>
  <c r="G116" i="31" s="1"/>
  <c r="D109" i="31"/>
  <c r="E109" i="31" s="1"/>
  <c r="G109" i="31" s="1"/>
  <c r="D120" i="31"/>
  <c r="E120" i="31" s="1"/>
  <c r="G120" i="31" s="1"/>
  <c r="D111" i="31"/>
  <c r="E111" i="31" s="1"/>
  <c r="G111" i="31" s="1"/>
  <c r="D110" i="31"/>
  <c r="E110" i="31" s="1"/>
  <c r="G110" i="31" s="1"/>
  <c r="D81" i="31"/>
  <c r="E81" i="31" s="1"/>
  <c r="G81" i="31" s="1"/>
  <c r="D82" i="31"/>
  <c r="E82" i="31" s="1"/>
  <c r="G82" i="31" s="1"/>
  <c r="D73" i="31"/>
  <c r="E73" i="31" s="1"/>
  <c r="G73" i="31" s="1"/>
  <c r="D74" i="31"/>
  <c r="E74" i="31" s="1"/>
  <c r="G74" i="31" s="1"/>
  <c r="D83" i="31"/>
  <c r="E83" i="31" s="1"/>
  <c r="G83" i="31" s="1"/>
  <c r="D79" i="31"/>
  <c r="E79" i="31" s="1"/>
  <c r="G79" i="31" s="1"/>
  <c r="D76" i="31"/>
  <c r="E76" i="31" s="1"/>
  <c r="G76" i="31" s="1"/>
  <c r="D78" i="31"/>
  <c r="E78" i="31" s="1"/>
  <c r="G78" i="31" s="1"/>
  <c r="D77" i="31"/>
  <c r="E77" i="31" s="1"/>
  <c r="G77" i="31" s="1"/>
  <c r="D84" i="31"/>
  <c r="E84" i="31" s="1"/>
  <c r="G84" i="31" s="1"/>
  <c r="D75" i="31"/>
  <c r="E75" i="31" s="1"/>
  <c r="G75" i="31" s="1"/>
  <c r="D80" i="31"/>
  <c r="E80" i="31" s="1"/>
  <c r="G80" i="31" s="1"/>
  <c r="G177" i="31"/>
  <c r="G176" i="31"/>
  <c r="G174" i="31"/>
  <c r="G171" i="31"/>
  <c r="G170" i="31"/>
  <c r="G175" i="31"/>
  <c r="G178" i="31"/>
  <c r="G57" i="31"/>
  <c r="G52" i="31"/>
  <c r="G36" i="31"/>
  <c r="G30" i="31"/>
  <c r="D13" i="31"/>
  <c r="E13" i="31" s="1"/>
  <c r="G13" i="31" s="1"/>
  <c r="G106" i="31"/>
  <c r="G20" i="25"/>
  <c r="G22" i="25"/>
  <c r="G25" i="25"/>
  <c r="G13" i="25"/>
  <c r="G23" i="25"/>
  <c r="G16" i="25"/>
  <c r="G21" i="25"/>
  <c r="G27" i="25"/>
  <c r="G24" i="25"/>
  <c r="G26" i="25"/>
  <c r="G19" i="25"/>
  <c r="G17" i="25"/>
  <c r="D7" i="31"/>
  <c r="G18" i="25"/>
  <c r="D8" i="31"/>
  <c r="D13" i="205" l="1"/>
  <c r="J13" i="205" s="1"/>
  <c r="D23" i="205"/>
  <c r="J23" i="205" s="1"/>
  <c r="D17" i="205"/>
  <c r="J17" i="205" s="1"/>
  <c r="D18" i="205"/>
  <c r="J18" i="205" s="1"/>
  <c r="D21" i="205"/>
  <c r="J21" i="205" s="1"/>
  <c r="D20" i="205"/>
  <c r="J20" i="205" s="1"/>
  <c r="D14" i="205"/>
  <c r="J14" i="205" s="1"/>
  <c r="D22" i="205"/>
  <c r="J22" i="205" s="1"/>
  <c r="D10" i="205"/>
  <c r="J10" i="205" s="1"/>
  <c r="D15" i="205"/>
  <c r="J15" i="205" s="1"/>
  <c r="D16" i="205"/>
  <c r="J16" i="205" s="1"/>
  <c r="D24" i="205"/>
  <c r="J24" i="205" s="1"/>
  <c r="D19" i="205"/>
  <c r="J19" i="205" s="1"/>
  <c r="G8" i="31"/>
  <c r="G62" i="25" s="1"/>
  <c r="C61" i="25"/>
  <c r="G7" i="31"/>
  <c r="G67" i="25" s="1"/>
  <c r="C66" i="25"/>
  <c r="E25" i="31"/>
  <c r="G25" i="31" s="1"/>
  <c r="E37" i="31"/>
  <c r="U29" i="31"/>
  <c r="U19" i="31"/>
  <c r="U27" i="31"/>
  <c r="U18" i="31"/>
  <c r="U21" i="31"/>
  <c r="U26" i="31"/>
  <c r="N205" i="31"/>
  <c r="G213" i="31"/>
  <c r="N213" i="31"/>
  <c r="N22" i="31"/>
  <c r="X22" i="31" s="1"/>
  <c r="N24" i="31"/>
  <c r="X24" i="31" s="1"/>
  <c r="N20" i="31"/>
  <c r="X20" i="31" s="1"/>
  <c r="U23" i="31"/>
  <c r="N28" i="31"/>
  <c r="X28" i="31" s="1"/>
  <c r="U17" i="31"/>
  <c r="U24" i="31"/>
  <c r="N19" i="31"/>
  <c r="X19" i="31" s="1"/>
  <c r="N27" i="31"/>
  <c r="X27" i="31" s="1"/>
  <c r="U20" i="31"/>
  <c r="N30" i="31"/>
  <c r="X30" i="31" s="1"/>
  <c r="U30" i="31"/>
  <c r="N16" i="31"/>
  <c r="U25" i="31"/>
  <c r="N18" i="31"/>
  <c r="X18" i="31" s="1"/>
  <c r="N29" i="31"/>
  <c r="X29" i="31" s="1"/>
  <c r="U28" i="31"/>
  <c r="N26" i="31"/>
  <c r="X26" i="31" s="1"/>
  <c r="N23" i="31"/>
  <c r="X23" i="31" s="1"/>
  <c r="U16" i="31"/>
  <c r="N17" i="31"/>
  <c r="X17" i="31" s="1"/>
  <c r="N21" i="31"/>
  <c r="X21" i="31" s="1"/>
  <c r="U22" i="31"/>
  <c r="N25" i="31"/>
  <c r="X25" i="31" s="1"/>
  <c r="G14" i="25"/>
  <c r="E8" i="31"/>
  <c r="G38" i="25"/>
  <c r="E7" i="31"/>
  <c r="G15" i="25"/>
  <c r="D31" i="205" l="1"/>
  <c r="J31" i="205" s="1"/>
  <c r="J32" i="205" s="1"/>
  <c r="D12" i="205"/>
  <c r="J12" i="205" s="1"/>
  <c r="D11" i="205"/>
  <c r="J11" i="205" s="1"/>
  <c r="I86" i="25"/>
  <c r="G37" i="31"/>
  <c r="G205" i="31"/>
  <c r="P205" i="31" s="1"/>
  <c r="G206" i="31"/>
  <c r="N206" i="31"/>
  <c r="G216" i="31"/>
  <c r="N216" i="31"/>
  <c r="G208" i="31"/>
  <c r="N208" i="31"/>
  <c r="P213" i="31"/>
  <c r="G212" i="31"/>
  <c r="N212" i="31"/>
  <c r="G214" i="31"/>
  <c r="N214" i="31"/>
  <c r="G209" i="31"/>
  <c r="N209" i="31"/>
  <c r="G210" i="31"/>
  <c r="N210" i="31"/>
  <c r="G207" i="31"/>
  <c r="N207" i="31"/>
  <c r="G215" i="31"/>
  <c r="N215" i="31"/>
  <c r="G211" i="31"/>
  <c r="N211" i="31"/>
  <c r="R22" i="31"/>
  <c r="R20" i="31"/>
  <c r="P22" i="31"/>
  <c r="R28" i="31"/>
  <c r="P28" i="31"/>
  <c r="R26" i="31"/>
  <c r="P26" i="31"/>
  <c r="P17" i="31"/>
  <c r="R17" i="31"/>
  <c r="R23" i="31"/>
  <c r="P23" i="31"/>
  <c r="P20" i="31"/>
  <c r="P24" i="31"/>
  <c r="R24" i="31"/>
  <c r="R27" i="31"/>
  <c r="R19" i="31"/>
  <c r="P27" i="31"/>
  <c r="P19" i="31"/>
  <c r="R29" i="31"/>
  <c r="P30" i="31"/>
  <c r="R30" i="31"/>
  <c r="P29" i="31"/>
  <c r="R18" i="31"/>
  <c r="P18" i="31"/>
  <c r="R16" i="31"/>
  <c r="R21" i="31"/>
  <c r="R25" i="31"/>
  <c r="P25" i="31"/>
  <c r="P21" i="31"/>
  <c r="R41" i="31"/>
  <c r="P41" i="31"/>
  <c r="G225" i="31" l="1"/>
  <c r="N225" i="31"/>
  <c r="N217" i="31"/>
  <c r="G217" i="31"/>
  <c r="P215" i="31"/>
  <c r="P210" i="31"/>
  <c r="P209" i="31"/>
  <c r="P208" i="31"/>
  <c r="P214" i="31"/>
  <c r="P211" i="31"/>
  <c r="P216" i="31"/>
  <c r="P207" i="31"/>
  <c r="P212" i="31"/>
  <c r="P206" i="31"/>
  <c r="V217" i="31"/>
  <c r="V205" i="31"/>
  <c r="G223" i="31" l="1"/>
  <c r="N223" i="31"/>
  <c r="G227" i="31"/>
  <c r="N227" i="31"/>
  <c r="P217" i="31"/>
  <c r="G222" i="31"/>
  <c r="N222" i="31"/>
  <c r="G226" i="31"/>
  <c r="N226" i="31"/>
  <c r="G219" i="31"/>
  <c r="N219" i="31"/>
  <c r="G220" i="31"/>
  <c r="N220" i="31"/>
  <c r="G221" i="31"/>
  <c r="N221" i="31"/>
  <c r="G218" i="31"/>
  <c r="N218" i="31"/>
  <c r="G224" i="31"/>
  <c r="N224" i="31"/>
  <c r="G228" i="31"/>
  <c r="N228" i="31"/>
  <c r="P225" i="31"/>
  <c r="V229" i="31"/>
  <c r="P221" i="31" l="1"/>
  <c r="G229" i="31"/>
  <c r="N229" i="31"/>
  <c r="G237" i="31"/>
  <c r="N237" i="31"/>
  <c r="P222" i="31"/>
  <c r="P228" i="31"/>
  <c r="P220" i="31"/>
  <c r="P224" i="31"/>
  <c r="P219" i="31"/>
  <c r="P227" i="31"/>
  <c r="P218" i="31"/>
  <c r="P226" i="31"/>
  <c r="P223" i="31"/>
  <c r="V241" i="31"/>
  <c r="G238" i="31" l="1"/>
  <c r="N238" i="31"/>
  <c r="G234" i="31"/>
  <c r="N234" i="31"/>
  <c r="G231" i="31"/>
  <c r="N231" i="31"/>
  <c r="P237" i="31"/>
  <c r="G239" i="31"/>
  <c r="N239" i="31"/>
  <c r="G235" i="31"/>
  <c r="N235" i="31"/>
  <c r="G236" i="31"/>
  <c r="N236" i="31"/>
  <c r="G230" i="31"/>
  <c r="N230" i="31"/>
  <c r="G232" i="31"/>
  <c r="N232" i="31"/>
  <c r="P229" i="31"/>
  <c r="G240" i="31"/>
  <c r="N240" i="31"/>
  <c r="G233" i="31"/>
  <c r="N233" i="31"/>
  <c r="V253" i="31"/>
  <c r="O31" i="31"/>
  <c r="P233" i="31" l="1"/>
  <c r="P240" i="31"/>
  <c r="G249" i="31"/>
  <c r="N249" i="31"/>
  <c r="P236" i="31"/>
  <c r="P231" i="31"/>
  <c r="P230" i="31"/>
  <c r="N241" i="31"/>
  <c r="G241" i="31"/>
  <c r="P235" i="31"/>
  <c r="P234" i="31"/>
  <c r="P232" i="31"/>
  <c r="P239" i="31"/>
  <c r="P238" i="31"/>
  <c r="V265" i="31"/>
  <c r="V207" i="31"/>
  <c r="N31" i="31"/>
  <c r="R31" i="31" s="1"/>
  <c r="V212" i="31"/>
  <c r="V219" i="31"/>
  <c r="V208" i="31"/>
  <c r="V209" i="31"/>
  <c r="G247" i="31" l="1"/>
  <c r="N247" i="31"/>
  <c r="G248" i="31"/>
  <c r="N248" i="31"/>
  <c r="G250" i="31"/>
  <c r="N250" i="31"/>
  <c r="P241" i="31"/>
  <c r="P249" i="31"/>
  <c r="G242" i="31"/>
  <c r="N242" i="31"/>
  <c r="G245" i="31"/>
  <c r="N245" i="31"/>
  <c r="G251" i="31"/>
  <c r="N251" i="31"/>
  <c r="G244" i="31"/>
  <c r="N244" i="31"/>
  <c r="G252" i="31"/>
  <c r="N252" i="31"/>
  <c r="G243" i="31"/>
  <c r="N243" i="31"/>
  <c r="G246" i="31"/>
  <c r="N246" i="31"/>
  <c r="V233" i="31"/>
  <c r="V225" i="31"/>
  <c r="V227" i="31"/>
  <c r="V235" i="31"/>
  <c r="V216" i="31"/>
  <c r="V232" i="31"/>
  <c r="V218" i="31"/>
  <c r="V226" i="31"/>
  <c r="V223" i="31"/>
  <c r="O32" i="31"/>
  <c r="V204" i="31"/>
  <c r="V193" i="31"/>
  <c r="V203" i="31"/>
  <c r="V192" i="31"/>
  <c r="V197" i="31"/>
  <c r="N32" i="31"/>
  <c r="V206" i="31"/>
  <c r="V221" i="31"/>
  <c r="V195" i="31"/>
  <c r="V194" i="31"/>
  <c r="V215" i="31"/>
  <c r="V201" i="31"/>
  <c r="V213" i="31"/>
  <c r="V211" i="31"/>
  <c r="V196" i="31"/>
  <c r="V210" i="31"/>
  <c r="V199" i="31"/>
  <c r="V214" i="31"/>
  <c r="V198" i="31"/>
  <c r="V202" i="31"/>
  <c r="V200" i="31"/>
  <c r="V220" i="31"/>
  <c r="E28" i="25"/>
  <c r="U32" i="31" l="1"/>
  <c r="P251" i="31"/>
  <c r="G253" i="31"/>
  <c r="N253" i="31"/>
  <c r="P245" i="31"/>
  <c r="P242" i="31"/>
  <c r="P246" i="31"/>
  <c r="P243" i="31"/>
  <c r="P250" i="31"/>
  <c r="P252" i="31"/>
  <c r="P248" i="31"/>
  <c r="P244" i="31"/>
  <c r="G261" i="31"/>
  <c r="N261" i="31"/>
  <c r="P247" i="31"/>
  <c r="S31" i="31"/>
  <c r="R32" i="31"/>
  <c r="U31" i="31"/>
  <c r="S30" i="31"/>
  <c r="V230" i="31"/>
  <c r="M31" i="31"/>
  <c r="V239" i="31"/>
  <c r="V238" i="31"/>
  <c r="V224" i="31"/>
  <c r="V244" i="31"/>
  <c r="V237" i="31"/>
  <c r="V228" i="31"/>
  <c r="O34" i="31"/>
  <c r="V222" i="31"/>
  <c r="O33" i="31"/>
  <c r="V245" i="31"/>
  <c r="N33" i="31"/>
  <c r="V231" i="31"/>
  <c r="S32" i="31"/>
  <c r="V247" i="31"/>
  <c r="E29" i="25"/>
  <c r="G28" i="25"/>
  <c r="D25" i="205" l="1"/>
  <c r="J25" i="205" s="1"/>
  <c r="G254" i="31"/>
  <c r="N254" i="31"/>
  <c r="G259" i="31"/>
  <c r="N259" i="31"/>
  <c r="G264" i="31"/>
  <c r="N264" i="31"/>
  <c r="G262" i="31"/>
  <c r="N262" i="31"/>
  <c r="G257" i="31"/>
  <c r="N257" i="31"/>
  <c r="P261" i="31"/>
  <c r="G255" i="31"/>
  <c r="N255" i="31"/>
  <c r="G256" i="31"/>
  <c r="N256" i="31"/>
  <c r="P253" i="31"/>
  <c r="G263" i="31"/>
  <c r="N263" i="31"/>
  <c r="G260" i="31"/>
  <c r="N260" i="31"/>
  <c r="G258" i="31"/>
  <c r="N258" i="31"/>
  <c r="U33" i="31"/>
  <c r="R33" i="31"/>
  <c r="Q31" i="31"/>
  <c r="P31" i="31"/>
  <c r="X31" i="31"/>
  <c r="V259" i="31"/>
  <c r="M32" i="31"/>
  <c r="V240" i="31"/>
  <c r="O35" i="31"/>
  <c r="V234" i="31"/>
  <c r="V236" i="31"/>
  <c r="V250" i="31"/>
  <c r="N34" i="31"/>
  <c r="R34" i="31" s="1"/>
  <c r="V242" i="31"/>
  <c r="V257" i="31"/>
  <c r="V256" i="31"/>
  <c r="V249" i="31"/>
  <c r="V243" i="31"/>
  <c r="V251" i="31"/>
  <c r="E30" i="25"/>
  <c r="G29" i="25"/>
  <c r="D26" i="205" l="1"/>
  <c r="J26" i="205" s="1"/>
  <c r="P254" i="31"/>
  <c r="P262" i="31"/>
  <c r="P257" i="31"/>
  <c r="P258" i="31"/>
  <c r="P260" i="31"/>
  <c r="P264" i="31"/>
  <c r="P263" i="31"/>
  <c r="P259" i="31"/>
  <c r="P256" i="31"/>
  <c r="P255" i="31"/>
  <c r="G273" i="31"/>
  <c r="N273" i="31"/>
  <c r="G265" i="31"/>
  <c r="N265" i="31"/>
  <c r="V269" i="31"/>
  <c r="V252" i="31"/>
  <c r="O36" i="31"/>
  <c r="V261" i="31"/>
  <c r="Q32" i="31"/>
  <c r="P32" i="31"/>
  <c r="X32" i="31"/>
  <c r="V248" i="31"/>
  <c r="M33" i="31"/>
  <c r="V271" i="31"/>
  <c r="V263" i="31"/>
  <c r="V255" i="31"/>
  <c r="V246" i="31"/>
  <c r="U35" i="31" s="1"/>
  <c r="V254" i="31"/>
  <c r="V268" i="31"/>
  <c r="U34" i="31"/>
  <c r="S33" i="31"/>
  <c r="V262" i="31"/>
  <c r="G30" i="25"/>
  <c r="E31" i="25"/>
  <c r="G270" i="31" l="1"/>
  <c r="N270" i="31"/>
  <c r="G275" i="31"/>
  <c r="N275" i="31"/>
  <c r="G271" i="31"/>
  <c r="N271" i="31"/>
  <c r="P273" i="31"/>
  <c r="G269" i="31"/>
  <c r="N269" i="31"/>
  <c r="G274" i="31"/>
  <c r="N274" i="31"/>
  <c r="P265" i="31"/>
  <c r="G267" i="31"/>
  <c r="N267" i="31"/>
  <c r="G276" i="31"/>
  <c r="N276" i="31"/>
  <c r="G268" i="31"/>
  <c r="N268" i="31"/>
  <c r="G272" i="31"/>
  <c r="N272" i="31"/>
  <c r="G266" i="31"/>
  <c r="N266" i="31"/>
  <c r="M34" i="31"/>
  <c r="V273" i="31"/>
  <c r="V266" i="31"/>
  <c r="V267" i="31"/>
  <c r="S34" i="31"/>
  <c r="V274" i="31"/>
  <c r="V264" i="31"/>
  <c r="O37" i="31"/>
  <c r="X33" i="31"/>
  <c r="Q33" i="31"/>
  <c r="P33" i="31"/>
  <c r="V260" i="31"/>
  <c r="N36" i="31"/>
  <c r="R36" i="31" s="1"/>
  <c r="V275" i="31"/>
  <c r="V258" i="31"/>
  <c r="N35" i="31"/>
  <c r="R35" i="31" s="1"/>
  <c r="E32" i="25"/>
  <c r="G31" i="25"/>
  <c r="P266" i="31" l="1"/>
  <c r="P267" i="31"/>
  <c r="P272" i="31"/>
  <c r="P271" i="31"/>
  <c r="P268" i="31"/>
  <c r="P274" i="31"/>
  <c r="P275" i="31"/>
  <c r="P276" i="31"/>
  <c r="P269" i="31"/>
  <c r="P270" i="31"/>
  <c r="U36" i="31"/>
  <c r="V272" i="31"/>
  <c r="S35" i="31"/>
  <c r="N37" i="31"/>
  <c r="R37" i="31" s="1"/>
  <c r="Q34" i="31"/>
  <c r="X34" i="31"/>
  <c r="P34" i="31"/>
  <c r="M35" i="31"/>
  <c r="V270" i="31"/>
  <c r="V276" i="31"/>
  <c r="E33" i="25"/>
  <c r="G32" i="25"/>
  <c r="U37" i="31" l="1"/>
  <c r="S36" i="31"/>
  <c r="X35" i="31"/>
  <c r="P35" i="31"/>
  <c r="Q35" i="31"/>
  <c r="O39" i="31"/>
  <c r="N38" i="31"/>
  <c r="M36" i="31"/>
  <c r="O38" i="31"/>
  <c r="G33" i="25"/>
  <c r="E34" i="25"/>
  <c r="R38" i="31" l="1"/>
  <c r="S37" i="31"/>
  <c r="O40" i="31"/>
  <c r="Q36" i="31"/>
  <c r="X36" i="31"/>
  <c r="P36" i="31"/>
  <c r="M37" i="31"/>
  <c r="N39" i="31"/>
  <c r="R39" i="31" s="1"/>
  <c r="E35" i="25"/>
  <c r="G34" i="25"/>
  <c r="M16" i="31" l="1"/>
  <c r="M38" i="31"/>
  <c r="S38" i="31"/>
  <c r="Q37" i="31"/>
  <c r="X37" i="31"/>
  <c r="P37" i="31"/>
  <c r="D10" i="31"/>
  <c r="G35" i="25"/>
  <c r="E36" i="25"/>
  <c r="Q16" i="31" l="1"/>
  <c r="X16" i="31"/>
  <c r="P16" i="31"/>
  <c r="C56" i="25"/>
  <c r="M39" i="31"/>
  <c r="P38" i="31"/>
  <c r="X38" i="31"/>
  <c r="Q38" i="31"/>
  <c r="N40" i="31"/>
  <c r="R40" i="31" s="1"/>
  <c r="S39" i="31"/>
  <c r="E37" i="25"/>
  <c r="C10" i="31"/>
  <c r="G36" i="25"/>
  <c r="E57" i="25" l="1"/>
  <c r="G10" i="31"/>
  <c r="G57" i="25" s="1"/>
  <c r="S40" i="31"/>
  <c r="P39" i="31"/>
  <c r="Q39" i="31"/>
  <c r="X39" i="31"/>
  <c r="M40" i="31"/>
  <c r="E10" i="31"/>
  <c r="G37" i="25"/>
  <c r="D29" i="205" l="1"/>
  <c r="J29" i="205" s="1"/>
  <c r="J30" i="205" s="1"/>
  <c r="P40" i="31"/>
  <c r="Q40" i="31"/>
  <c r="X40" i="31"/>
  <c r="I87" i="25"/>
  <c r="K24" i="205" l="1"/>
  <c r="K14" i="205"/>
  <c r="K15" i="205"/>
  <c r="K10" i="205"/>
  <c r="K13" i="205"/>
  <c r="K19" i="205"/>
  <c r="K22" i="205"/>
  <c r="K20" i="205"/>
  <c r="K18" i="205"/>
  <c r="K23" i="205"/>
  <c r="K16" i="205"/>
  <c r="K17" i="205"/>
  <c r="K21" i="205"/>
  <c r="K31" i="205" l="1"/>
  <c r="K32" i="205" s="1"/>
  <c r="K11" i="205"/>
  <c r="K12" i="205"/>
  <c r="K25" i="205" l="1"/>
  <c r="K26" i="205" l="1"/>
  <c r="K29" i="205" l="1"/>
  <c r="K30" i="20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PacifiCorp</author>
  </authors>
  <commentList>
    <comment ref="H5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PacifiCorp:</t>
        </r>
        <r>
          <rPr>
            <sz val="8"/>
            <color indexed="81"/>
            <rFont val="Tahoma"/>
            <family val="2"/>
          </rPr>
          <t xml:space="preserve">
Date that deal is evaluated.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<sst xmlns="http://schemas.openxmlformats.org/spreadsheetml/2006/main" count="4423" uniqueCount="371">
  <si>
    <t>Year</t>
  </si>
  <si>
    <t>(a)</t>
  </si>
  <si>
    <t>(b)</t>
  </si>
  <si>
    <t>(c)</t>
  </si>
  <si>
    <t>(d)</t>
  </si>
  <si>
    <t>(e)</t>
  </si>
  <si>
    <t>Capacity</t>
  </si>
  <si>
    <t>(f)</t>
  </si>
  <si>
    <t>$/kW</t>
  </si>
  <si>
    <t>$/kW-yr</t>
  </si>
  <si>
    <t>Estimated Capital Cost</t>
  </si>
  <si>
    <t>Fixed Capital Cost at Real Levelized Rate</t>
  </si>
  <si>
    <t>Fixed O&amp;M</t>
  </si>
  <si>
    <t>Variable O&amp;M</t>
  </si>
  <si>
    <t>Total Price @</t>
  </si>
  <si>
    <t>Capacity Factor</t>
  </si>
  <si>
    <t xml:space="preserve"> $/kW-yr</t>
  </si>
  <si>
    <t>Avoided Cost Prices</t>
  </si>
  <si>
    <t>Energy</t>
  </si>
  <si>
    <t>Only Price</t>
  </si>
  <si>
    <t>Table 1</t>
  </si>
  <si>
    <t>Fuel Cost</t>
  </si>
  <si>
    <t>(g)</t>
  </si>
  <si>
    <t>(h)</t>
  </si>
  <si>
    <t>(i)</t>
  </si>
  <si>
    <t>Sources, Inputs and Assumptions</t>
  </si>
  <si>
    <t>PacifiCorp</t>
  </si>
  <si>
    <t>Delivered</t>
  </si>
  <si>
    <t>Peak Type:</t>
  </si>
  <si>
    <t>Quote Date</t>
  </si>
  <si>
    <t>Burnertip Natural Gas Price Forecast</t>
  </si>
  <si>
    <t>$/MWh</t>
  </si>
  <si>
    <t>MW</t>
  </si>
  <si>
    <t>CF</t>
  </si>
  <si>
    <t>Appendix B</t>
  </si>
  <si>
    <t xml:space="preserve">  Capacity Factor</t>
  </si>
  <si>
    <t>Start</t>
  </si>
  <si>
    <t>Resource Capacity</t>
  </si>
  <si>
    <t>Nominal Avoided Costs Calculated Monthly</t>
  </si>
  <si>
    <t>End</t>
  </si>
  <si>
    <t>Capacity $</t>
  </si>
  <si>
    <t>Total</t>
  </si>
  <si>
    <t>Month</t>
  </si>
  <si>
    <t>Avoided $</t>
  </si>
  <si>
    <t>MWH</t>
  </si>
  <si>
    <t>Offset</t>
  </si>
  <si>
    <t>Date Test</t>
  </si>
  <si>
    <t>Dollars</t>
  </si>
  <si>
    <t>AC Price</t>
  </si>
  <si>
    <t>Total Resource Costs</t>
  </si>
  <si>
    <r>
      <t>$/MWh</t>
    </r>
    <r>
      <rPr>
        <vertAlign val="superscript"/>
        <sz val="9"/>
        <rFont val="Times New Roman"/>
        <family val="1"/>
      </rPr>
      <t xml:space="preserve"> (2)</t>
    </r>
  </si>
  <si>
    <t>Study_Name:</t>
  </si>
  <si>
    <t>Table 4</t>
  </si>
  <si>
    <t>Table 3</t>
  </si>
  <si>
    <t>&lt;---- Calculated Monthly</t>
  </si>
  <si>
    <t>Capacity Contribution</t>
  </si>
  <si>
    <t>IRP - Utah Greenfield</t>
  </si>
  <si>
    <t>IRP West Side</t>
  </si>
  <si>
    <t>IRP - Wyo NE</t>
  </si>
  <si>
    <t>Fixed Costs</t>
  </si>
  <si>
    <t>Source:</t>
  </si>
  <si>
    <t>(c)(f)</t>
  </si>
  <si>
    <t xml:space="preserve">  Plant capacity cost</t>
  </si>
  <si>
    <t>energy</t>
  </si>
  <si>
    <t>capacity</t>
  </si>
  <si>
    <t>Total Resource Cost</t>
  </si>
  <si>
    <t>Deferral (Nameplate MW)</t>
  </si>
  <si>
    <t>Resource Cost ($/kw-year)</t>
  </si>
  <si>
    <t>Deferred Cost (Millions $/year)</t>
  </si>
  <si>
    <t>Total Capacity Deferral</t>
  </si>
  <si>
    <t>$/kw-year</t>
  </si>
  <si>
    <t>Millions $/year</t>
  </si>
  <si>
    <t xml:space="preserve">start </t>
  </si>
  <si>
    <t>end</t>
  </si>
  <si>
    <t>Transmission Deferral (MW)</t>
  </si>
  <si>
    <t>West Side</t>
  </si>
  <si>
    <t>Network Upgrade</t>
  </si>
  <si>
    <t>Year of deferral</t>
  </si>
  <si>
    <t>Table 2</t>
  </si>
  <si>
    <t>Avoided Energy Costs - Scheduled Hours ($/MWh)</t>
  </si>
  <si>
    <t>Winter Season</t>
  </si>
  <si>
    <t>Summer Season</t>
  </si>
  <si>
    <t>Energy Only</t>
  </si>
  <si>
    <t>COD</t>
  </si>
  <si>
    <t>Naughton</t>
  </si>
  <si>
    <t>Burner tip</t>
  </si>
  <si>
    <t>Network Upgrade ($/kw-yr)</t>
  </si>
  <si>
    <t>Total Fixed Cost</t>
  </si>
  <si>
    <t>if Deferred 1</t>
  </si>
  <si>
    <t>Collection</t>
  </si>
  <si>
    <t>Parent Object</t>
  </si>
  <si>
    <t>Child Object</t>
  </si>
  <si>
    <t>Property</t>
  </si>
  <si>
    <t>Value</t>
  </si>
  <si>
    <t>Data File</t>
  </si>
  <si>
    <t>Units</t>
  </si>
  <si>
    <t>Band</t>
  </si>
  <si>
    <t>Date From</t>
  </si>
  <si>
    <t>Date To</t>
  </si>
  <si>
    <t>Timeslice</t>
  </si>
  <si>
    <t>Action</t>
  </si>
  <si>
    <t>Expression</t>
  </si>
  <si>
    <t>Scenario</t>
  </si>
  <si>
    <t>Memo</t>
  </si>
  <si>
    <t>Category</t>
  </si>
  <si>
    <t>Variables</t>
  </si>
  <si>
    <t>System</t>
  </si>
  <si>
    <t>Inflation</t>
  </si>
  <si>
    <t>Profile</t>
  </si>
  <si>
    <t>-</t>
  </si>
  <si>
    <t>=</t>
  </si>
  <si>
    <t>Solar</t>
  </si>
  <si>
    <t>100% PTC</t>
  </si>
  <si>
    <t>110% PTC</t>
  </si>
  <si>
    <t>WIND</t>
  </si>
  <si>
    <t>Annual</t>
  </si>
  <si>
    <t>Levelized Capital Carrying Rate</t>
  </si>
  <si>
    <t>Total Net Power Cost ($ 000)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</si>
  <si>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</si>
  <si>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</si>
  <si>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</si>
  <si>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</si>
  <si>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</si>
  <si>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</si>
  <si>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</si>
  <si>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</si>
  <si>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</si>
  <si>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</si>
  <si>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</si>
  <si>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</si>
  <si>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PTC Variables</t>
  </si>
  <si>
    <t>FO&amp;M Charge</t>
  </si>
  <si>
    <t xml:space="preserve">Summer </t>
  </si>
  <si>
    <t>Generators</t>
  </si>
  <si>
    <t>PV_.PX.COR._.PTC.Utility_Scale</t>
  </si>
  <si>
    <t>Build Cost</t>
  </si>
  <si>
    <t>×</t>
  </si>
  <si>
    <t>IRPPVESC</t>
  </si>
  <si>
    <t>New Solar</t>
  </si>
  <si>
    <t>PV_.PX.SOR._.PTC.Utility_Scale</t>
  </si>
  <si>
    <t>PV_.PX.SUM._.PTC.Utility_Scale</t>
  </si>
  <si>
    <t>PV_.PX.UTS._.PTC.Utility_Scale</t>
  </si>
  <si>
    <t>PV_.PX.WMV._.PTC.Utility_Scale</t>
  </si>
  <si>
    <t>PV_.PX.YAK._.PTC.Utility_Scale</t>
  </si>
  <si>
    <t>WD_.PX.BDG._.PTC.Utility_Scale</t>
  </si>
  <si>
    <t>IRPWDESC</t>
  </si>
  <si>
    <t>New Wind</t>
  </si>
  <si>
    <t>WD_.PX.DJW._.PTC.Utility_Scale</t>
  </si>
  <si>
    <t>WD_.PX.WMV._.PTC.Utility_Scale</t>
  </si>
  <si>
    <t>WD_.PX.WYC._.PTC.Small_Scale</t>
  </si>
  <si>
    <t>IRPWDESC_Small</t>
  </si>
  <si>
    <t>WD_.PX.WYE._.PTC.Small_Scale</t>
  </si>
  <si>
    <t>WD_.PX.WYE._.PTC.Utility_Scale</t>
  </si>
  <si>
    <t>Batteries</t>
  </si>
  <si>
    <t>BAT.PX.UTS._.ITC.Li_ion_4hr</t>
  </si>
  <si>
    <t>25IRPBATESC</t>
  </si>
  <si>
    <t>New Battery</t>
  </si>
  <si>
    <t>BAT.PX.CHE._.ITC.Li_ion_4hr</t>
  </si>
  <si>
    <t>BAT.PX.COR._.ITC.Li_ion_4hr</t>
  </si>
  <si>
    <t>BAT.PX.COR._.ITC.Li_ion_4hr_Local</t>
  </si>
  <si>
    <t>BAT.PX.HTG._.ITC.Li_ion_4hr</t>
  </si>
  <si>
    <t>BAT.PX.PNC._.ITC.Li_ion_4hr_Local</t>
  </si>
  <si>
    <t>BAT.PX.SOR._.ITC.Li_ion_4hr_Local</t>
  </si>
  <si>
    <t>BAT.PX.WMV._.ITC.Li_ion_4hr</t>
  </si>
  <si>
    <t>BAT.PX.WWA._.ITC.Li_ion_4hr</t>
  </si>
  <si>
    <t>BAT.PX.WWA._.ITC.Li_ion_4hr_Local</t>
  </si>
  <si>
    <t>BAT.PX.YAK._.ITC.Li_ion_4hr</t>
  </si>
  <si>
    <t>BAT.PX.YAK._.ITC.Li_ion_4hr_Local</t>
  </si>
  <si>
    <t>BAT.PX.DJW._.ITC.Li_ion_8hr</t>
  </si>
  <si>
    <t>New Long Duration Storage</t>
  </si>
  <si>
    <t>BAT.PX.WSF._.ITC.IronAir_100hr</t>
  </si>
  <si>
    <t>$/kW/yr</t>
  </si>
  <si>
    <t>25IRP LI BAT 200 FOM</t>
  </si>
  <si>
    <t>25IRP LI BAT 200 8HR FOM</t>
  </si>
  <si>
    <t>25IRP 100HR BAT FOM</t>
  </si>
  <si>
    <t>Economic Life</t>
  </si>
  <si>
    <t>yr</t>
  </si>
  <si>
    <t>Added NTC Econ life</t>
  </si>
  <si>
    <t>%</t>
  </si>
  <si>
    <t>Escalation Rates</t>
  </si>
  <si>
    <t>H:\2025 IRP\03. Assumptions\04. Financial\Inflation\25IRP Plexos Inflation inputs 3Q 092024 CONF.xlsb</t>
  </si>
  <si>
    <t>IRPPVESC_Small</t>
  </si>
  <si>
    <t>2025 IRP Discount Rate</t>
  </si>
  <si>
    <t>2024 $</t>
  </si>
  <si>
    <t>Plant Costs  - 2025 IRP - Table 7.1 &amp; 7.2</t>
  </si>
  <si>
    <t>VO&amp;M Charge</t>
  </si>
  <si>
    <t>PV_.PX.WWA._.PTC.Utility_Scale</t>
  </si>
  <si>
    <t>MW Built</t>
  </si>
  <si>
    <t>Discount Rate - 2025 IRP</t>
  </si>
  <si>
    <t>Inflation rate</t>
  </si>
  <si>
    <t>PV_.PX.WMV._.PTC.Utility_Scale2032</t>
  </si>
  <si>
    <t>PV_.PX.WMV._.PTC.Utility_Scale2036</t>
  </si>
  <si>
    <t>WD_.PX.DJW._.PTC.Utility_Scale2029</t>
  </si>
  <si>
    <t>Wind Sorted by $/kW-yr_CC_Adj</t>
  </si>
  <si>
    <t>Solar Sorted by $/kW-yr_CC_Adj</t>
  </si>
  <si>
    <t xml:space="preserve">  Payment Factor, 0% ITC</t>
  </si>
  <si>
    <t>\\pacificorp.us\dfs\PDXCO\PaR\2025 IRP\03. Assumptions\12. New Resources (SSR)\Levelized\2025 IRP LFC_GM_2024E 2024.09.25 0% ITC.xlsb</t>
  </si>
  <si>
    <t>15 uear nominal levelized</t>
  </si>
  <si>
    <t>GSC.PX.BDG._.___.Frame</t>
  </si>
  <si>
    <t>New Gas</t>
  </si>
  <si>
    <t>First Year Fixed Capital Cost at Real Levelized Rate</t>
  </si>
  <si>
    <t>Fixed O&amp;M + Pipeline</t>
  </si>
  <si>
    <t>Total Resource Fixed Costs</t>
  </si>
  <si>
    <t>Total Resource Energy Cost</t>
  </si>
  <si>
    <t>$/MMBtu</t>
  </si>
  <si>
    <t>Statistics</t>
  </si>
  <si>
    <t>Percent</t>
  </si>
  <si>
    <t>Cap Cost</t>
  </si>
  <si>
    <t>Fixed</t>
  </si>
  <si>
    <t>Capacity Weighted</t>
  </si>
  <si>
    <t>aMW</t>
  </si>
  <si>
    <t>Variable</t>
  </si>
  <si>
    <t>Heat Rate</t>
  </si>
  <si>
    <t>Energy Weighted</t>
  </si>
  <si>
    <t>Rounded</t>
  </si>
  <si>
    <t>SCCT</t>
  </si>
  <si>
    <t xml:space="preserve">  MW Plant Capacity</t>
  </si>
  <si>
    <t>SCCT Frame "J" X1, Natural Gas</t>
  </si>
  <si>
    <t xml:space="preserve">  Fixed O&amp;M &amp; Capitalized O&amp;M ($/kW-Yr)</t>
  </si>
  <si>
    <t xml:space="preserve">  Fixed Pipeline ($/kW-Yr)</t>
  </si>
  <si>
    <t>$/MMBTU-Day</t>
  </si>
  <si>
    <t xml:space="preserve">  Fixed O&amp;M Including Fixed Pipeline &amp; Capitalized O&amp;M ($/kW-Yr)</t>
  </si>
  <si>
    <t xml:space="preserve">  Variable O&amp;M Costs &amp; Capitalized Variable O&amp;M ($/MWh)</t>
  </si>
  <si>
    <t xml:space="preserve">  Heat Rate in btu/kWh</t>
  </si>
  <si>
    <t>Assumed ITC</t>
  </si>
  <si>
    <t xml:space="preserve">  Energy Weighted Capacity Factor</t>
  </si>
  <si>
    <t>H:\2023 IRP\3 - Assumptions\12 - New Resources (SSR)\[23 IRP Nat Gas_2023 02 10.xlsx]</t>
  </si>
  <si>
    <t>2025 IRP SCCT Frame -Wyoming East Brownfield</t>
  </si>
  <si>
    <t>Wyoming East Brownfield SCCT Frame "F" x1 (6,130')</t>
  </si>
  <si>
    <t>SCCT Frame "F" x1 (6,130')</t>
  </si>
  <si>
    <t>Fuel Cost ($/mmBtu )</t>
  </si>
  <si>
    <t>Fuel Cost ($/MWH)</t>
  </si>
  <si>
    <t>Plant Costs  - 2025 IRP</t>
  </si>
  <si>
    <t xml:space="preserve"> Gas Price Forecast (Sept 2024 MM)</t>
  </si>
  <si>
    <t>First year real levelized costs</t>
  </si>
  <si>
    <t>Source: (a)(d)(e)(g)</t>
  </si>
  <si>
    <t>Nominal 40 year Levelized</t>
  </si>
  <si>
    <t>CC at COD</t>
  </si>
  <si>
    <t>llokup</t>
  </si>
  <si>
    <t>mapping to CC_LOLP</t>
  </si>
  <si>
    <t>PV_.PX.YAK._.PTC.Utility_Scale2032</t>
  </si>
  <si>
    <t>Cluster 2/3 - Willamette Valley - Fry-Full Circle 230 kV</t>
  </si>
  <si>
    <t>PV_.PX.BDG._.PTC.Utility_Scale</t>
  </si>
  <si>
    <t>PV_.PX.BOR._.PTC.Utility_Scale</t>
  </si>
  <si>
    <t>PV_.PX.CLV._.PTC.Small_Scale</t>
  </si>
  <si>
    <t>PV_.PX.COR._.PTC.Small_Scale</t>
  </si>
  <si>
    <t>PV_.PX.DJW._.PTC.Utility_Scale</t>
  </si>
  <si>
    <t>PV_.PX.GOE._.PTC.Small_Scale</t>
  </si>
  <si>
    <t>PV_.PX.GOE._.PTC.Utility_Scale</t>
  </si>
  <si>
    <t>PV_.PX.HTG._.PTC.Utility_Scale</t>
  </si>
  <si>
    <t>PV_.PX.NTN._.PTC.Utility_Scale</t>
  </si>
  <si>
    <t>PV_.PX.NUT._.PTC.Small_Scale</t>
  </si>
  <si>
    <t>PV_.PX.NUT._.PTC.Utility_Scale</t>
  </si>
  <si>
    <t>PV_.PX.SOR._.PTC.Small_Scale</t>
  </si>
  <si>
    <t>PV_.PX.UTS._.PTC.Small_Scale</t>
  </si>
  <si>
    <t>PV_.PX.WMV._.PTC.Small_Scale</t>
  </si>
  <si>
    <t>PV_.PX.WSF._.PTC.Small_Scale</t>
  </si>
  <si>
    <t>PV_.PX.WWA._.PTC.Small_Scale</t>
  </si>
  <si>
    <t>PV_.PX.WYC._.PTC.Small_Scale</t>
  </si>
  <si>
    <t>PV_.PX.WYE._.PTC.Small_Scale</t>
  </si>
  <si>
    <t>PV_.PX.WYE._.PTC.Utility_Scale</t>
  </si>
  <si>
    <t>PV_.PX.WYN._.PTC.Small_Scale</t>
  </si>
  <si>
    <t>PV_.PX.YAK._.PTC.Small_Scale</t>
  </si>
  <si>
    <t>WD_.PX.BOR._.PTC.Utility_Scale</t>
  </si>
  <si>
    <t>WD_.PX.CLV._.PTC.Small_Scale</t>
  </si>
  <si>
    <t>WD_.PX.COR._.PTC.Small_Scale</t>
  </si>
  <si>
    <t>WD_.PX.COR._.PTC.Utility_Scale</t>
  </si>
  <si>
    <t>WD_.PX.GOE._.PTC.Small_Scale</t>
  </si>
  <si>
    <t>WD_.PX.GOE._.PTC.Utility_Scale</t>
  </si>
  <si>
    <t>WD_.PX.HTG._.PTC.Utility_Scale</t>
  </si>
  <si>
    <t>WD_.PX.NTN._.PTC.Utility_Scale</t>
  </si>
  <si>
    <t>WD_.PX.NUT._.PTC.Small_Scale</t>
  </si>
  <si>
    <t>WD_.PX.NUT._.PTC.Utility_Scale</t>
  </si>
  <si>
    <t>WD_.PX.SOR._.PTC.Offshore</t>
  </si>
  <si>
    <t>IRPWDESC_Offshore</t>
  </si>
  <si>
    <t>WD_.PX.SOR._.PTC.Small_Scale</t>
  </si>
  <si>
    <t>WD_.PX.SOR._.PTC.Utility_Scale</t>
  </si>
  <si>
    <t>WD_.PX.SUM._.PTC.Utility_Scale</t>
  </si>
  <si>
    <t>WD_.PX.UTS._.PTC.Small_Scale</t>
  </si>
  <si>
    <t>WD_.PX.UTS._.PTC.Utility_Scale</t>
  </si>
  <si>
    <t>WD_.PX.WMV._.PTC.Small_Scale</t>
  </si>
  <si>
    <t>WD_.PX.WSF._.PTC.Small_Scale</t>
  </si>
  <si>
    <t>WD_.PX.WWA._.PTC.Small_Scale</t>
  </si>
  <si>
    <t>WD_.PX.WWA._.PTC.Utility_Scale</t>
  </si>
  <si>
    <t>WD_.PX.WYN._.PTC.Small_Scale</t>
  </si>
  <si>
    <t>WD_.PX.YAK._.PTC.Small_Scale</t>
  </si>
  <si>
    <t>WD_.PX.YAK._.PTC.Utility_Scale</t>
  </si>
  <si>
    <t>Post 25 IRP Escalation Rates</t>
  </si>
  <si>
    <t>H:\_Projects\2025\DJ Analysis\Assumptions\25 IRP Escalation Rates v2 Updated 04212025.xlsx</t>
  </si>
  <si>
    <t>WD_.PX.BDG._.PTC.Utility_Scale2029</t>
  </si>
  <si>
    <t>WD_.PX.BDG._.PTC.Utility_Scale2030</t>
  </si>
  <si>
    <t>WD_.PX.BDG._.PTC.Utility_Scale2031</t>
  </si>
  <si>
    <t>WD_.PX.DJW._.PTC.Utility_Scale2030</t>
  </si>
  <si>
    <t>WD_.PX.DJW._.PTC.Utility_Scale2031</t>
  </si>
  <si>
    <t>CC</t>
  </si>
  <si>
    <t>PV_.PX.BDG._.PTC.Utility_Scale2031</t>
  </si>
  <si>
    <t>PV_.PX.HTG._.PTC.Utility_Scale2031</t>
  </si>
  <si>
    <t>PV_.PX.NTN._.PTC.Utility_Scale2031</t>
  </si>
  <si>
    <t>PV_.PX.UTS._.PTC.Utility_Scale2031</t>
  </si>
  <si>
    <t>$/kw-yr</t>
  </si>
  <si>
    <t>Nominal PTC 2028$</t>
  </si>
  <si>
    <t>Real Discount Rate</t>
  </si>
  <si>
    <t>% PTC</t>
  </si>
  <si>
    <t>NPV</t>
  </si>
  <si>
    <t>NPV chck</t>
  </si>
  <si>
    <t>Levelized PTC  Offset</t>
  </si>
  <si>
    <t>Nominal PTC 2029$</t>
  </si>
  <si>
    <t>Nominal PTC 2030$</t>
  </si>
  <si>
    <t>TransCapRecovFct</t>
  </si>
  <si>
    <t>OATT</t>
  </si>
  <si>
    <t>Build Investment $/kW-yr of Interconnect</t>
  </si>
  <si>
    <t>Degradation for Adj beyond 2046</t>
  </si>
  <si>
    <t>15 Year Starting 2027</t>
  </si>
  <si>
    <t>15 Year Starting 2026</t>
  </si>
  <si>
    <t>15 Year Starting 2028</t>
  </si>
  <si>
    <t>laST Plexos Model Year</t>
  </si>
  <si>
    <t>Resource type</t>
  </si>
  <si>
    <t>Thermal</t>
  </si>
  <si>
    <t>Avoided Cost Prices $/MWh</t>
  </si>
  <si>
    <t>Utah 2025.Q3 Sch 38</t>
  </si>
  <si>
    <t>Solar Tracking</t>
  </si>
  <si>
    <t>Wind</t>
  </si>
  <si>
    <t>UT 2025.Q3</t>
  </si>
  <si>
    <t>100% CF (2)</t>
  </si>
  <si>
    <t>32.25% CF (2)</t>
  </si>
  <si>
    <t>29.5% CF (2)</t>
  </si>
  <si>
    <t>Difference</t>
  </si>
  <si>
    <t>15-Year Levelized Prices (Nominal) @ 6.38% Discount Rate (1) (3)</t>
  </si>
  <si>
    <t>2026-2040</t>
  </si>
  <si>
    <t>2027-2041</t>
  </si>
  <si>
    <t>Footnotes:</t>
  </si>
  <si>
    <t>(1)   Discount Rate - 2025 IRP</t>
  </si>
  <si>
    <t>Appendix D</t>
  </si>
  <si>
    <t>Final 2025 IRP Preferred Portfolio (OFPC Jun 2025)  (Non-Routine)</t>
  </si>
  <si>
    <r>
      <t xml:space="preserve">Final 2025 IRP Preferred Portfolio (OFPC Sep 2025) (Non-Routine) </t>
    </r>
    <r>
      <rPr>
        <u/>
        <sz val="9"/>
        <rFont val="Times New Roman"/>
        <family val="1"/>
      </rPr>
      <t>No Displacement</t>
    </r>
    <r>
      <rPr>
        <sz val="10"/>
        <rFont val="Times New Roman"/>
        <family val="1"/>
      </rPr>
      <t xml:space="preserve"> of Proxy Resource</t>
    </r>
  </si>
  <si>
    <t>Non-Routine -Without Dislacement of Proxy Resource</t>
  </si>
  <si>
    <t>QF - Sch38 - UT - Solar T</t>
  </si>
  <si>
    <t>PV_QF_UTN_QF_Sch38_UT</t>
  </si>
  <si>
    <t xml:space="preserve"> Export (MW)</t>
  </si>
  <si>
    <t xml:space="preserve"> Import (MW)</t>
  </si>
  <si>
    <t xml:space="preserve"> Interconnect (MW)</t>
  </si>
  <si>
    <t>Build Investment ($m)</t>
  </si>
  <si>
    <t xml:space="preserve"> Build (%)</t>
  </si>
  <si>
    <t>From</t>
  </si>
  <si>
    <t>To</t>
  </si>
  <si>
    <t>Utah South - Wasatch Front: 138 kV reinforcement #1</t>
  </si>
  <si>
    <t>Utah South</t>
  </si>
  <si>
    <t>Wasatch Front</t>
  </si>
  <si>
    <t>Cluster 1 Area 11: Willamette Valley</t>
  </si>
  <si>
    <t>n/a</t>
  </si>
  <si>
    <t>Cluster 1 Area 14: Summer Lake</t>
  </si>
  <si>
    <t>Summer Lake</t>
  </si>
  <si>
    <t>Hemingway</t>
  </si>
  <si>
    <t>Cluster 1/2/3: Walla Walla</t>
  </si>
  <si>
    <t>Serial queue: Central Oregon</t>
  </si>
  <si>
    <t>Serial/Cluster 1/2: Yakima</t>
  </si>
  <si>
    <t>Utah South - Wasatch Front: 138 kV reinforcement #2</t>
  </si>
  <si>
    <t>Cluster 2 Area 23: Willamette Valley</t>
  </si>
  <si>
    <t>Cluster 2 Area 19: Summer Lake to Central Oregon 500 kV</t>
  </si>
  <si>
    <t>Central OR</t>
  </si>
  <si>
    <t>Walla Walla - Yakima 230 kV</t>
  </si>
  <si>
    <t>Walla Walla</t>
  </si>
  <si>
    <t>Yakima</t>
  </si>
  <si>
    <t>Serial through Cluster 1 Area 13: Southern Oregon</t>
  </si>
  <si>
    <t>Cluster 1 Area 12: Southern Oregon</t>
  </si>
  <si>
    <t>Cluster 2 Area 18: Central Oregon 500 kV Substation</t>
  </si>
  <si>
    <t>Walla Walla - Central Oregon 500 kV</t>
  </si>
  <si>
    <t>Grand Total</t>
  </si>
  <si>
    <t/>
  </si>
  <si>
    <t>Include</t>
  </si>
  <si>
    <t>Appendix E.2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</si>
</sst>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  <numFmt numFmtId="167" formatCode="0.0%"/>
    <numFmt numFmtId="168" formatCode="_(* #,##0.00_);_(* \(#,##0.00\);_(* &quot;-&quot;_);_(@_)"/>
    <numFmt numFmtId="169" formatCode="_(&quot;$&quot;* #,##0_);_(&quot;$&quot;* \(#,##0\);_(&quot;$&quot;* &quot;-&quot;??_);_(@_)"/>
    <numFmt numFmtId="170" formatCode="mmm\ yyyy&quot;   &quot;"/>
    <numFmt numFmtId="171" formatCode="_(* #,##0_);[Red]_(* \(#,##0\);_(* &quot;-&quot;_);_(@_)"/>
    <numFmt numFmtId="172" formatCode="_(* #,##0.00_);[Red]_(* \(#,##0.00\);_(* &quot;-&quot;_);_(@_)"/>
    <numFmt numFmtId="173" formatCode="_(* #,##0.0_);[Red]_(* \(#,##0.0\);_(* &quot;-&quot;_);_(@_)"/>
    <numFmt numFmtId="174" formatCode="0.000%"/>
    <numFmt numFmtId="175" formatCode="&quot;$&quot;###0;[Red]\(&quot;$&quot;###0\)"/>
    <numFmt numFmtId="176" formatCode="0.0"/>
    <numFmt numFmtId="177" formatCode="&quot;$&quot;#,##0.00_)\(\5\)"/>
    <numFmt numFmtId="178" formatCode="&quot;$&quot;#,##0.00_)"/>
    <numFmt numFmtId="179" formatCode="#,##0.0000_);\(#,##0.0000\)"/>
    <numFmt numFmtId="180" formatCode="m/d/yyyy\ h:mm:ss"/>
    <numFmt numFmtId="181" formatCode="_(* #,##0.0000_);[Red]_(* \(#,##0.0000\);_(* &quot;-&quot;_);_(@_)"/>
    <numFmt numFmtId="182" formatCode="_(* #,##0.00000_);[Red]_(* \(#,##0.00000\);_(* &quot;-&quot;_);_(@_)"/>
    <numFmt numFmtId="183" formatCode="_(* #,##0.000_);[Red]_(* \(#,##0.000\);_(* &quot;-&quot;_);_(@_)"/>
    <numFmt numFmtId="184" formatCode="_(* #,##0.000_);_(* \(#,##0.000\);_(* &quot;-&quot;_);_(@_)"/>
    <numFmt numFmtId="185" formatCode="_(* #,##0.0_);_(* \(#,##0.0\);_(* &quot;-&quot;??_);_(@_)"/>
    <numFmt numFmtId="186" formatCode="_(* #,##0.0000_);_(* \(#,##0.0000\);_(* &quot;-&quot;??_);_(@_)"/>
    <numFmt numFmtId="187" formatCode="_(* #,##0.000000000_);[Red]_(* \(#,##0.000000000\);_(* &quot;-&quot;_);_(@_)"/>
    <numFmt numFmtId="188" formatCode="0.00000"/>
    <numFmt numFmtId="189" formatCode="0.0000%"/>
  </numFmts>
  <fonts count="42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b/>
      <i/>
      <sz val="8"/>
      <color indexed="18"/>
      <name val="Helv"/>
    </font>
    <font>
      <vertAlign val="superscript"/>
      <sz val="9"/>
      <name val="Times New Roman"/>
      <family val="1"/>
    </font>
    <font>
      <b/>
      <sz val="8"/>
      <name val="Times New Roman"/>
      <family val="1"/>
    </font>
    <font>
      <sz val="6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u/>
      <sz val="12"/>
      <name val="Times New Roman"/>
      <family val="1"/>
    </font>
    <font>
      <sz val="8"/>
      <color indexed="12"/>
      <name val="Arial"/>
      <family val="2"/>
    </font>
    <font>
      <sz val="8"/>
      <color indexed="48"/>
      <name val="Arial"/>
      <family val="2"/>
    </font>
    <font>
      <sz val="9"/>
      <name val="Times New Roman"/>
      <family val="1"/>
    </font>
    <font>
      <sz val="8"/>
      <name val="Helv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rgb="FFFF0000"/>
      <name val="Arial"/>
      <family val="2"/>
    </font>
    <font>
      <u/>
      <sz val="7.5"/>
      <color indexed="12"/>
      <name val="Arial"/>
      <family val="2"/>
    </font>
    <font>
      <sz val="9"/>
      <color indexed="12"/>
      <name val="CS Times"/>
    </font>
    <font>
      <sz val="10"/>
      <color rgb="FFFF000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7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theme="0"/>
      <name val="Calibri"/>
      <family val="2"/>
      <scheme val="minor"/>
    </font>
    <font>
      <u/>
      <sz val="10"/>
      <name val="Times New Roman"/>
      <family val="1"/>
    </font>
    <font>
      <sz val="10"/>
      <name val="Geneva"/>
      <family val="2"/>
    </font>
    <font>
      <b/>
      <sz val="9"/>
      <name val="Calibri"/>
      <family val="2"/>
      <scheme val="minor"/>
    </font>
    <font>
      <u/>
      <sz val="9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5">
    <xf numFmtId="171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2" fillId="0" borderId="0" applyNumberFormat="0" applyFill="0" applyBorder="0" applyAlignment="0">
      <protection locked="0"/>
    </xf>
    <xf numFmtId="41" fontId="7" fillId="0" borderId="0"/>
    <xf numFmtId="171" fontId="7" fillId="0" borderId="0"/>
    <xf numFmtId="0" fontId="5" fillId="0" borderId="0"/>
    <xf numFmtId="0" fontId="7" fillId="0" borderId="0"/>
    <xf numFmtId="9" fontId="5" fillId="0" borderId="0" applyFont="0" applyFill="0" applyBorder="0" applyAlignment="0" applyProtection="0"/>
    <xf numFmtId="167" fontId="5" fillId="0" borderId="0"/>
    <xf numFmtId="167" fontId="5" fillId="0" borderId="0"/>
    <xf numFmtId="41" fontId="7" fillId="0" borderId="0"/>
    <xf numFmtId="171" fontId="7" fillId="0" borderId="0"/>
    <xf numFmtId="171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5" fontId="25" fillId="0" borderId="0" applyFont="0" applyFill="0" applyBorder="0" applyProtection="0">
      <alignment horizontal="right"/>
    </xf>
    <xf numFmtId="176" fontId="18" fillId="0" borderId="0" applyNumberFormat="0" applyFill="0" applyBorder="0" applyAlignment="0" applyProtection="0"/>
    <xf numFmtId="0" fontId="16" fillId="0" borderId="20" applyNumberFormat="0" applyBorder="0" applyAlignment="0"/>
    <xf numFmtId="12" fontId="26" fillId="7" borderId="19">
      <alignment horizontal="left"/>
    </xf>
    <xf numFmtId="37" fontId="16" fillId="8" borderId="0" applyNumberFormat="0" applyBorder="0" applyAlignment="0" applyProtection="0"/>
    <xf numFmtId="37" fontId="16" fillId="0" borderId="0"/>
    <xf numFmtId="3" fontId="22" fillId="9" borderId="21" applyProtection="0"/>
    <xf numFmtId="9" fontId="5" fillId="0" borderId="0" applyFont="0" applyFill="0" applyBorder="0" applyAlignment="0" applyProtection="0"/>
    <xf numFmtId="171" fontId="7" fillId="0" borderId="0"/>
    <xf numFmtId="171" fontId="5" fillId="0" borderId="0"/>
    <xf numFmtId="0" fontId="29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9" fillId="0" borderId="0"/>
    <xf numFmtId="0" fontId="5" fillId="0" borderId="0"/>
  </cellStyleXfs>
  <cellXfs count="428">
    <xf numFmtId="171" fontId="0" fillId="0" borderId="0" xfId="0"/>
    <xf numFmtId="171" fontId="8" fillId="0" borderId="0" xfId="0" applyFont="1" applyAlignment="1">
      <alignment horizontal="centerContinuous"/>
    </xf>
    <xf numFmtId="171" fontId="11" fillId="0" borderId="0" xfId="0" applyFont="1" applyAlignment="1">
      <alignment horizontal="centerContinuous"/>
    </xf>
    <xf numFmtId="171" fontId="7" fillId="0" borderId="0" xfId="0" applyFont="1"/>
    <xf numFmtId="171" fontId="9" fillId="0" borderId="0" xfId="0" applyFont="1" applyAlignment="1">
      <alignment horizontal="centerContinuous"/>
    </xf>
    <xf numFmtId="171" fontId="7" fillId="0" borderId="0" xfId="0" applyFont="1" applyAlignment="1">
      <alignment horizontal="center"/>
    </xf>
    <xf numFmtId="8" fontId="7" fillId="0" borderId="0" xfId="0" applyNumberFormat="1" applyFont="1"/>
    <xf numFmtId="8" fontId="7" fillId="0" borderId="2" xfId="0" applyNumberFormat="1" applyFont="1" applyBorder="1" applyAlignment="1">
      <alignment horizontal="center"/>
    </xf>
    <xf numFmtId="8" fontId="7" fillId="0" borderId="0" xfId="0" applyNumberFormat="1" applyFont="1" applyAlignment="1">
      <alignment horizontal="center"/>
    </xf>
    <xf numFmtId="171" fontId="7" fillId="0" borderId="0" xfId="0" quotePrefix="1" applyFont="1"/>
    <xf numFmtId="171" fontId="7" fillId="0" borderId="0" xfId="0" applyFont="1" applyAlignment="1">
      <alignment horizontal="centerContinuous"/>
    </xf>
    <xf numFmtId="8" fontId="7" fillId="0" borderId="8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171" fontId="6" fillId="0" borderId="5" xfId="0" applyFont="1" applyBorder="1" applyAlignment="1">
      <alignment horizontal="center"/>
    </xf>
    <xf numFmtId="171" fontId="6" fillId="0" borderId="5" xfId="0" applyFont="1" applyBorder="1" applyAlignment="1">
      <alignment horizontal="center" wrapText="1"/>
    </xf>
    <xf numFmtId="171" fontId="14" fillId="0" borderId="6" xfId="0" quotePrefix="1" applyFont="1" applyBorder="1" applyAlignment="1">
      <alignment horizontal="center" wrapText="1"/>
    </xf>
    <xf numFmtId="171" fontId="14" fillId="0" borderId="6" xfId="0" applyFont="1" applyBorder="1" applyAlignment="1">
      <alignment horizontal="center" wrapText="1"/>
    </xf>
    <xf numFmtId="171" fontId="6" fillId="0" borderId="0" xfId="0" applyFont="1" applyAlignment="1">
      <alignment horizontal="centerContinuous"/>
    </xf>
    <xf numFmtId="171" fontId="6" fillId="0" borderId="5" xfId="0" applyFont="1" applyBorder="1"/>
    <xf numFmtId="171" fontId="6" fillId="0" borderId="13" xfId="0" applyFont="1" applyBorder="1" applyAlignment="1">
      <alignment horizontal="center"/>
    </xf>
    <xf numFmtId="171" fontId="6" fillId="0" borderId="6" xfId="0" applyFont="1" applyBorder="1"/>
    <xf numFmtId="171" fontId="6" fillId="0" borderId="6" xfId="0" applyFont="1" applyBorder="1" applyAlignment="1">
      <alignment horizontal="center"/>
    </xf>
    <xf numFmtId="8" fontId="15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171" fontId="9" fillId="0" borderId="7" xfId="0" applyFont="1" applyBorder="1" applyAlignment="1">
      <alignment horizontal="centerContinuous"/>
    </xf>
    <xf numFmtId="171" fontId="16" fillId="2" borderId="0" xfId="0" applyFont="1" applyFill="1" applyAlignment="1">
      <alignment horizontal="centerContinuous"/>
    </xf>
    <xf numFmtId="171" fontId="18" fillId="2" borderId="0" xfId="0" applyFont="1" applyFill="1" applyAlignment="1">
      <alignment horizontal="centerContinuous"/>
    </xf>
    <xf numFmtId="170" fontId="16" fillId="2" borderId="0" xfId="1" applyNumberFormat="1" applyFont="1" applyFill="1" applyAlignment="1">
      <alignment horizontal="centerContinuous"/>
    </xf>
    <xf numFmtId="171" fontId="16" fillId="0" borderId="0" xfId="0" applyFont="1"/>
    <xf numFmtId="171" fontId="18" fillId="0" borderId="0" xfId="0" applyFont="1" applyAlignment="1">
      <alignment wrapText="1"/>
    </xf>
    <xf numFmtId="171" fontId="16" fillId="0" borderId="0" xfId="0" applyFont="1" applyAlignment="1">
      <alignment horizontal="center"/>
    </xf>
    <xf numFmtId="168" fontId="16" fillId="0" borderId="0" xfId="0" applyNumberFormat="1" applyFont="1"/>
    <xf numFmtId="2" fontId="7" fillId="0" borderId="0" xfId="0" applyNumberFormat="1" applyFont="1" applyAlignment="1">
      <alignment horizontal="center"/>
    </xf>
    <xf numFmtId="39" fontId="7" fillId="0" borderId="0" xfId="0" applyNumberFormat="1" applyFont="1" applyAlignment="1">
      <alignment horizontal="center"/>
    </xf>
    <xf numFmtId="171" fontId="6" fillId="0" borderId="0" xfId="0" applyFont="1" applyAlignment="1">
      <alignment horizontal="center"/>
    </xf>
    <xf numFmtId="167" fontId="0" fillId="0" borderId="0" xfId="8" applyNumberFormat="1" applyFont="1" applyFill="1"/>
    <xf numFmtId="171" fontId="6" fillId="0" borderId="16" xfId="5" applyFont="1" applyBorder="1" applyAlignment="1">
      <alignment horizontal="centerContinuous"/>
    </xf>
    <xf numFmtId="171" fontId="21" fillId="0" borderId="0" xfId="5" applyFont="1"/>
    <xf numFmtId="171" fontId="16" fillId="0" borderId="0" xfId="0" applyFont="1" applyAlignment="1">
      <alignment horizontal="centerContinuous"/>
    </xf>
    <xf numFmtId="171" fontId="7" fillId="0" borderId="0" xfId="0" applyFont="1" applyAlignment="1">
      <alignment horizontal="left" indent="1"/>
    </xf>
    <xf numFmtId="43" fontId="0" fillId="0" borderId="0" xfId="1" applyFont="1" applyFill="1"/>
    <xf numFmtId="171" fontId="0" fillId="0" borderId="0" xfId="0" quotePrefix="1"/>
    <xf numFmtId="41" fontId="7" fillId="0" borderId="0" xfId="11"/>
    <xf numFmtId="0" fontId="0" fillId="0" borderId="0" xfId="11" applyNumberFormat="1" applyFont="1" applyAlignment="1">
      <alignment horizontal="left"/>
    </xf>
    <xf numFmtId="172" fontId="0" fillId="0" borderId="0" xfId="0" applyNumberFormat="1"/>
    <xf numFmtId="171" fontId="10" fillId="0" borderId="0" xfId="0" applyFont="1"/>
    <xf numFmtId="171" fontId="18" fillId="2" borderId="0" xfId="0" applyFont="1" applyFill="1" applyAlignment="1">
      <alignment horizontal="center"/>
    </xf>
    <xf numFmtId="14" fontId="22" fillId="3" borderId="7" xfId="0" applyNumberFormat="1" applyFont="1" applyFill="1" applyBorder="1" applyAlignment="1">
      <alignment horizontal="center"/>
    </xf>
    <xf numFmtId="14" fontId="23" fillId="2" borderId="0" xfId="0" applyNumberFormat="1" applyFont="1" applyFill="1" applyAlignment="1">
      <alignment horizontal="centerContinuous" vertical="center"/>
    </xf>
    <xf numFmtId="171" fontId="10" fillId="0" borderId="0" xfId="0" applyFont="1" applyAlignment="1">
      <alignment horizontal="center"/>
    </xf>
    <xf numFmtId="171" fontId="16" fillId="2" borderId="0" xfId="0" applyFont="1" applyFill="1" applyAlignment="1">
      <alignment horizontal="centerContinuous" wrapText="1"/>
    </xf>
    <xf numFmtId="171" fontId="16" fillId="0" borderId="15" xfId="0" applyFont="1" applyBorder="1" applyAlignment="1">
      <alignment horizontal="center"/>
    </xf>
    <xf numFmtId="0" fontId="10" fillId="0" borderId="0" xfId="0" applyNumberFormat="1" applyFont="1" applyAlignment="1">
      <alignment horizontal="center"/>
    </xf>
    <xf numFmtId="171" fontId="10" fillId="4" borderId="14" xfId="0" applyFont="1" applyFill="1" applyBorder="1"/>
    <xf numFmtId="0" fontId="6" fillId="0" borderId="0" xfId="0" applyNumberFormat="1" applyFont="1"/>
    <xf numFmtId="177" fontId="7" fillId="0" borderId="0" xfId="0" applyNumberFormat="1" applyFont="1" applyAlignment="1">
      <alignment horizontal="center"/>
    </xf>
    <xf numFmtId="10" fontId="0" fillId="5" borderId="0" xfId="8" applyNumberFormat="1" applyFont="1" applyFill="1"/>
    <xf numFmtId="9" fontId="27" fillId="0" borderId="0" xfId="8" applyFont="1"/>
    <xf numFmtId="171" fontId="8" fillId="0" borderId="0" xfId="24" applyFont="1" applyAlignment="1">
      <alignment horizontal="centerContinuous"/>
    </xf>
    <xf numFmtId="171" fontId="7" fillId="0" borderId="0" xfId="24" applyAlignment="1">
      <alignment horizontal="centerContinuous"/>
    </xf>
    <xf numFmtId="171" fontId="7" fillId="0" borderId="0" xfId="24"/>
    <xf numFmtId="171" fontId="6" fillId="0" borderId="5" xfId="24" applyFont="1" applyBorder="1" applyAlignment="1">
      <alignment horizontal="center"/>
    </xf>
    <xf numFmtId="171" fontId="6" fillId="0" borderId="5" xfId="24" applyFont="1" applyBorder="1" applyAlignment="1">
      <alignment horizontal="center" wrapText="1"/>
    </xf>
    <xf numFmtId="171" fontId="11" fillId="0" borderId="6" xfId="24" applyFont="1" applyBorder="1" applyAlignment="1">
      <alignment horizontal="centerContinuous"/>
    </xf>
    <xf numFmtId="171" fontId="14" fillId="0" borderId="6" xfId="24" quotePrefix="1" applyFont="1" applyBorder="1" applyAlignment="1">
      <alignment horizontal="center" wrapText="1"/>
    </xf>
    <xf numFmtId="171" fontId="14" fillId="0" borderId="6" xfId="24" applyFont="1" applyBorder="1" applyAlignment="1">
      <alignment horizontal="center" wrapText="1"/>
    </xf>
    <xf numFmtId="171" fontId="10" fillId="0" borderId="0" xfId="24" quotePrefix="1" applyFont="1" applyAlignment="1">
      <alignment horizontal="center"/>
    </xf>
    <xf numFmtId="0" fontId="7" fillId="0" borderId="0" xfId="24" applyNumberFormat="1"/>
    <xf numFmtId="8" fontId="7" fillId="0" borderId="0" xfId="24" applyNumberFormat="1" applyAlignment="1">
      <alignment horizontal="right"/>
    </xf>
    <xf numFmtId="8" fontId="7" fillId="0" borderId="0" xfId="24" applyNumberFormat="1"/>
    <xf numFmtId="165" fontId="7" fillId="0" borderId="0" xfId="24" applyNumberFormat="1" applyAlignment="1">
      <alignment horizontal="center"/>
    </xf>
    <xf numFmtId="14" fontId="7" fillId="0" borderId="0" xfId="25" applyNumberFormat="1" applyFont="1"/>
    <xf numFmtId="8" fontId="7" fillId="0" borderId="0" xfId="24" applyNumberFormat="1" applyAlignment="1">
      <alignment horizontal="center"/>
    </xf>
    <xf numFmtId="171" fontId="9" fillId="0" borderId="0" xfId="24" applyFont="1" applyAlignment="1">
      <alignment horizontal="centerContinuous"/>
    </xf>
    <xf numFmtId="171" fontId="6" fillId="0" borderId="0" xfId="24" applyFont="1" applyAlignment="1">
      <alignment horizontal="centerContinuous"/>
    </xf>
    <xf numFmtId="171" fontId="7" fillId="0" borderId="0" xfId="24" applyAlignment="1">
      <alignment horizontal="center"/>
    </xf>
    <xf numFmtId="8" fontId="7" fillId="0" borderId="0" xfId="2" applyNumberFormat="1" applyFont="1" applyFill="1"/>
    <xf numFmtId="1" fontId="7" fillId="0" borderId="0" xfId="6" applyNumberFormat="1" applyFont="1" applyAlignment="1" applyProtection="1">
      <alignment horizontal="center"/>
      <protection locked="0"/>
    </xf>
    <xf numFmtId="172" fontId="7" fillId="0" borderId="0" xfId="24" applyNumberFormat="1"/>
    <xf numFmtId="167" fontId="7" fillId="0" borderId="0" xfId="8" applyNumberFormat="1" applyFont="1" applyFill="1"/>
    <xf numFmtId="44" fontId="27" fillId="0" borderId="0" xfId="2" applyFont="1" applyFill="1"/>
    <xf numFmtId="174" fontId="30" fillId="0" borderId="0" xfId="0" applyNumberFormat="1" applyFont="1" applyProtection="1">
      <protection locked="0"/>
    </xf>
    <xf numFmtId="171" fontId="6" fillId="0" borderId="0" xfId="0" applyFont="1" applyAlignment="1">
      <alignment horizontal="left"/>
    </xf>
    <xf numFmtId="167" fontId="0" fillId="0" borderId="0" xfId="8" applyNumberFormat="1" applyFont="1"/>
    <xf numFmtId="171" fontId="7" fillId="0" borderId="1" xfId="0" applyFont="1" applyBorder="1" applyAlignment="1">
      <alignment horizontal="center"/>
    </xf>
    <xf numFmtId="173" fontId="0" fillId="0" borderId="0" xfId="0" applyNumberFormat="1"/>
    <xf numFmtId="171" fontId="6" fillId="0" borderId="0" xfId="0" applyFont="1" applyAlignment="1">
      <alignment vertical="top" wrapText="1"/>
    </xf>
    <xf numFmtId="171" fontId="6" fillId="0" borderId="0" xfId="0" applyFont="1" applyAlignment="1">
      <alignment horizontal="left" vertical="top" wrapText="1"/>
    </xf>
    <xf numFmtId="171" fontId="7" fillId="0" borderId="0" xfId="0" applyFont="1" applyAlignment="1">
      <alignment horizontal="left" vertical="top" wrapText="1"/>
    </xf>
    <xf numFmtId="178" fontId="7" fillId="0" borderId="0" xfId="0" applyNumberFormat="1" applyFont="1" applyAlignment="1">
      <alignment horizontal="center"/>
    </xf>
    <xf numFmtId="171" fontId="0" fillId="0" borderId="0" xfId="0" applyAlignment="1">
      <alignment wrapText="1"/>
    </xf>
    <xf numFmtId="171" fontId="7" fillId="0" borderId="0" xfId="0" applyFont="1" applyAlignment="1">
      <alignment wrapText="1"/>
    </xf>
    <xf numFmtId="171" fontId="7" fillId="0" borderId="0" xfId="0" applyFont="1" applyAlignment="1">
      <alignment horizontal="center" wrapText="1"/>
    </xf>
    <xf numFmtId="171" fontId="6" fillId="0" borderId="0" xfId="0" applyFont="1" applyAlignment="1">
      <alignment horizontal="center" wrapText="1"/>
    </xf>
    <xf numFmtId="167" fontId="7" fillId="0" borderId="0" xfId="8" applyNumberFormat="1" applyFont="1" applyFill="1" applyAlignment="1">
      <alignment horizontal="center" wrapText="1"/>
    </xf>
    <xf numFmtId="2" fontId="7" fillId="0" borderId="0" xfId="0" applyNumberFormat="1" applyFont="1" applyAlignment="1">
      <alignment horizontal="center" wrapText="1"/>
    </xf>
    <xf numFmtId="179" fontId="0" fillId="0" borderId="0" xfId="1" applyNumberFormat="1" applyFont="1"/>
    <xf numFmtId="167" fontId="24" fillId="0" borderId="0" xfId="8" applyNumberFormat="1" applyFont="1" applyFill="1" applyAlignment="1">
      <alignment wrapText="1"/>
    </xf>
    <xf numFmtId="171" fontId="6" fillId="0" borderId="0" xfId="0" applyFont="1" applyAlignment="1">
      <alignment wrapText="1"/>
    </xf>
    <xf numFmtId="171" fontId="7" fillId="0" borderId="0" xfId="24" applyAlignment="1">
      <alignment wrapText="1"/>
    </xf>
    <xf numFmtId="171" fontId="0" fillId="10" borderId="0" xfId="0" applyFill="1" applyAlignment="1">
      <alignment wrapText="1"/>
    </xf>
    <xf numFmtId="171" fontId="32" fillId="0" borderId="0" xfId="0" applyFont="1" applyAlignment="1">
      <alignment horizontal="centerContinuous"/>
    </xf>
    <xf numFmtId="171" fontId="33" fillId="0" borderId="0" xfId="0" applyFont="1" applyAlignment="1">
      <alignment horizontal="centerContinuous"/>
    </xf>
    <xf numFmtId="171" fontId="32" fillId="0" borderId="0" xfId="0" applyFont="1"/>
    <xf numFmtId="171" fontId="33" fillId="0" borderId="0" xfId="0" applyFont="1"/>
    <xf numFmtId="171" fontId="7" fillId="0" borderId="0" xfId="0" quotePrefix="1" applyFont="1" applyAlignment="1">
      <alignment horizontal="center"/>
    </xf>
    <xf numFmtId="8" fontId="34" fillId="0" borderId="0" xfId="0" applyNumberFormat="1" applyFont="1" applyAlignment="1">
      <alignment horizontal="center"/>
    </xf>
    <xf numFmtId="8" fontId="34" fillId="0" borderId="0" xfId="0" applyNumberFormat="1" applyFont="1" applyAlignment="1">
      <alignment horizontal="left"/>
    </xf>
    <xf numFmtId="171" fontId="7" fillId="0" borderId="22" xfId="0" applyFont="1" applyBorder="1" applyAlignment="1">
      <alignment horizontal="center"/>
    </xf>
    <xf numFmtId="171" fontId="7" fillId="0" borderId="5" xfId="0" applyFont="1" applyBorder="1" applyAlignment="1">
      <alignment horizontal="centerContinuous"/>
    </xf>
    <xf numFmtId="171" fontId="7" fillId="0" borderId="5" xfId="0" quotePrefix="1" applyFont="1" applyBorder="1" applyAlignment="1">
      <alignment horizontal="centerContinuous"/>
    </xf>
    <xf numFmtId="171" fontId="7" fillId="0" borderId="4" xfId="0" applyFont="1" applyBorder="1" applyAlignment="1">
      <alignment horizontal="centerContinuous"/>
    </xf>
    <xf numFmtId="171" fontId="7" fillId="0" borderId="7" xfId="0" applyFont="1" applyBorder="1" applyAlignment="1">
      <alignment horizontal="centerContinuous"/>
    </xf>
    <xf numFmtId="171" fontId="7" fillId="0" borderId="3" xfId="0" applyFont="1" applyBorder="1" applyAlignment="1">
      <alignment horizontal="centerContinuous"/>
    </xf>
    <xf numFmtId="171" fontId="7" fillId="0" borderId="22" xfId="0" applyFont="1" applyBorder="1" applyAlignment="1">
      <alignment horizontal="centerContinuous"/>
    </xf>
    <xf numFmtId="171" fontId="7" fillId="0" borderId="2" xfId="0" applyFont="1" applyBorder="1" applyAlignment="1">
      <alignment horizontal="centerContinuous"/>
    </xf>
    <xf numFmtId="171" fontId="7" fillId="0" borderId="8" xfId="0" applyFont="1" applyBorder="1" applyAlignment="1">
      <alignment horizontal="centerContinuous"/>
    </xf>
    <xf numFmtId="171" fontId="7" fillId="0" borderId="23" xfId="0" applyFont="1" applyBorder="1" applyAlignment="1">
      <alignment horizontal="center"/>
    </xf>
    <xf numFmtId="171" fontId="7" fillId="0" borderId="3" xfId="0" applyFont="1" applyBorder="1" applyAlignment="1">
      <alignment horizontal="center"/>
    </xf>
    <xf numFmtId="171" fontId="7" fillId="0" borderId="9" xfId="0" applyFont="1" applyBorder="1" applyAlignment="1">
      <alignment horizontal="center"/>
    </xf>
    <xf numFmtId="171" fontId="7" fillId="0" borderId="4" xfId="0" applyFont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8" fontId="7" fillId="0" borderId="5" xfId="0" applyNumberFormat="1" applyFont="1" applyBorder="1"/>
    <xf numFmtId="8" fontId="7" fillId="11" borderId="22" xfId="0" applyNumberFormat="1" applyFont="1" applyFill="1" applyBorder="1" applyAlignment="1">
      <alignment horizontal="center"/>
    </xf>
    <xf numFmtId="8" fontId="7" fillId="11" borderId="2" xfId="0" applyNumberFormat="1" applyFont="1" applyFill="1" applyBorder="1" applyAlignment="1">
      <alignment horizontal="center"/>
    </xf>
    <xf numFmtId="8" fontId="7" fillId="11" borderId="8" xfId="0" applyNumberFormat="1" applyFont="1" applyFill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43" fontId="7" fillId="0" borderId="13" xfId="0" applyNumberFormat="1" applyFont="1" applyBorder="1"/>
    <xf numFmtId="43" fontId="7" fillId="0" borderId="0" xfId="0" applyNumberFormat="1" applyFont="1" applyAlignment="1">
      <alignment horizontal="center"/>
    </xf>
    <xf numFmtId="43" fontId="7" fillId="0" borderId="11" xfId="0" applyNumberFormat="1" applyFont="1" applyBorder="1" applyAlignment="1">
      <alignment horizontal="center"/>
    </xf>
    <xf numFmtId="43" fontId="7" fillId="0" borderId="10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43" fontId="7" fillId="0" borderId="6" xfId="0" applyNumberFormat="1" applyFont="1" applyBorder="1"/>
    <xf numFmtId="43" fontId="7" fillId="0" borderId="1" xfId="0" applyNumberFormat="1" applyFont="1" applyBorder="1" applyAlignment="1">
      <alignment horizontal="center"/>
    </xf>
    <xf numFmtId="43" fontId="7" fillId="0" borderId="12" xfId="0" applyNumberFormat="1" applyFont="1" applyBorder="1" applyAlignment="1">
      <alignment horizontal="center"/>
    </xf>
    <xf numFmtId="43" fontId="7" fillId="0" borderId="23" xfId="0" applyNumberFormat="1" applyFont="1" applyBorder="1" applyAlignment="1">
      <alignment horizontal="center"/>
    </xf>
    <xf numFmtId="171" fontId="7" fillId="0" borderId="0" xfId="0" applyFont="1" applyAlignment="1">
      <alignment horizontal="left"/>
    </xf>
    <xf numFmtId="171" fontId="7" fillId="0" borderId="0" xfId="0" quotePrefix="1" applyFont="1" applyAlignment="1">
      <alignment horizontal="left" vertical="top"/>
    </xf>
    <xf numFmtId="172" fontId="7" fillId="0" borderId="0" xfId="0" applyNumberFormat="1" applyFont="1"/>
    <xf numFmtId="1" fontId="7" fillId="0" borderId="10" xfId="0" applyNumberFormat="1" applyFont="1" applyBorder="1" applyAlignment="1">
      <alignment horizontal="center"/>
    </xf>
    <xf numFmtId="1" fontId="7" fillId="0" borderId="23" xfId="0" applyNumberFormat="1" applyFont="1" applyBorder="1" applyAlignment="1">
      <alignment horizontal="center"/>
    </xf>
    <xf numFmtId="171" fontId="7" fillId="0" borderId="0" xfId="24" applyAlignment="1">
      <alignment horizontal="center" wrapText="1"/>
    </xf>
    <xf numFmtId="173" fontId="7" fillId="0" borderId="0" xfId="24" applyNumberFormat="1"/>
    <xf numFmtId="164" fontId="7" fillId="0" borderId="0" xfId="1" applyNumberFormat="1" applyFont="1" applyFill="1"/>
    <xf numFmtId="0" fontId="0" fillId="0" borderId="0" xfId="0" applyNumberFormat="1"/>
    <xf numFmtId="41" fontId="0" fillId="0" borderId="0" xfId="4" applyFont="1"/>
    <xf numFmtId="171" fontId="6" fillId="0" borderId="0" xfId="0" applyFont="1"/>
    <xf numFmtId="171" fontId="0" fillId="6" borderId="0" xfId="0" applyFill="1"/>
    <xf numFmtId="171" fontId="0" fillId="0" borderId="0" xfId="0" applyAlignment="1">
      <alignment horizontal="right"/>
    </xf>
    <xf numFmtId="171" fontId="0" fillId="0" borderId="0" xfId="24" applyFont="1"/>
    <xf numFmtId="8" fontId="0" fillId="0" borderId="0" xfId="24" applyNumberFormat="1" applyFont="1"/>
    <xf numFmtId="8" fontId="31" fillId="0" borderId="0" xfId="24" applyNumberFormat="1" applyFont="1"/>
    <xf numFmtId="6" fontId="7" fillId="0" borderId="0" xfId="2" applyNumberFormat="1" applyFont="1" applyFill="1"/>
    <xf numFmtId="174" fontId="7" fillId="0" borderId="0" xfId="24" applyNumberFormat="1"/>
    <xf numFmtId="167" fontId="7" fillId="0" borderId="0" xfId="24" applyNumberFormat="1"/>
    <xf numFmtId="171" fontId="31" fillId="0" borderId="0" xfId="24" applyFont="1"/>
    <xf numFmtId="165" fontId="7" fillId="10" borderId="0" xfId="24" applyNumberFormat="1" applyFill="1" applyAlignment="1">
      <alignment horizontal="center"/>
    </xf>
    <xf numFmtId="166" fontId="7" fillId="0" borderId="0" xfId="24" applyNumberFormat="1" applyAlignment="1">
      <alignment horizontal="center"/>
    </xf>
    <xf numFmtId="181" fontId="0" fillId="0" borderId="0" xfId="0" applyNumberFormat="1"/>
    <xf numFmtId="172" fontId="31" fillId="0" borderId="0" xfId="24" applyNumberFormat="1" applyFont="1"/>
    <xf numFmtId="10" fontId="7" fillId="0" borderId="0" xfId="8" applyNumberFormat="1" applyFont="1" applyFill="1"/>
    <xf numFmtId="171" fontId="7" fillId="12" borderId="0" xfId="24" applyFill="1"/>
    <xf numFmtId="171" fontId="0" fillId="0" borderId="10" xfId="0" applyBorder="1" applyAlignment="1">
      <alignment wrapText="1"/>
    </xf>
    <xf numFmtId="171" fontId="0" fillId="0" borderId="10" xfId="0" applyBorder="1"/>
    <xf numFmtId="171" fontId="0" fillId="0" borderId="11" xfId="0" applyBorder="1"/>
    <xf numFmtId="171" fontId="0" fillId="0" borderId="23" xfId="0" applyBorder="1"/>
    <xf numFmtId="171" fontId="0" fillId="0" borderId="1" xfId="0" applyBorder="1"/>
    <xf numFmtId="0" fontId="6" fillId="0" borderId="9" xfId="0" applyNumberFormat="1" applyFont="1" applyBorder="1"/>
    <xf numFmtId="171" fontId="6" fillId="6" borderId="0" xfId="0" applyFont="1" applyFill="1" applyAlignment="1">
      <alignment wrapText="1"/>
    </xf>
    <xf numFmtId="171" fontId="6" fillId="5" borderId="0" xfId="0" applyFont="1" applyFill="1" applyAlignment="1">
      <alignment wrapText="1"/>
    </xf>
    <xf numFmtId="44" fontId="6" fillId="0" borderId="0" xfId="2" applyFont="1"/>
    <xf numFmtId="44" fontId="0" fillId="0" borderId="0" xfId="2" applyFont="1" applyBorder="1"/>
    <xf numFmtId="171" fontId="0" fillId="0" borderId="0" xfId="0" applyAlignment="1">
      <alignment horizontal="center"/>
    </xf>
    <xf numFmtId="0" fontId="6" fillId="0" borderId="22" xfId="0" applyNumberFormat="1" applyFont="1" applyBorder="1"/>
    <xf numFmtId="0" fontId="6" fillId="0" borderId="2" xfId="0" applyNumberFormat="1" applyFont="1" applyBorder="1"/>
    <xf numFmtId="171" fontId="0" fillId="5" borderId="22" xfId="0" applyFill="1" applyBorder="1"/>
    <xf numFmtId="171" fontId="0" fillId="5" borderId="2" xfId="0" applyFill="1" applyBorder="1"/>
    <xf numFmtId="171" fontId="0" fillId="0" borderId="0" xfId="0" applyAlignment="1">
      <alignment horizontal="center" wrapText="1"/>
    </xf>
    <xf numFmtId="8" fontId="7" fillId="12" borderId="0" xfId="2" applyNumberFormat="1" applyFont="1" applyFill="1" applyBorder="1"/>
    <xf numFmtId="171" fontId="0" fillId="6" borderId="0" xfId="0" applyFill="1" applyAlignment="1">
      <alignment wrapText="1"/>
    </xf>
    <xf numFmtId="7" fontId="7" fillId="0" borderId="5" xfId="0" applyNumberFormat="1" applyFont="1" applyBorder="1"/>
    <xf numFmtId="7" fontId="7" fillId="0" borderId="2" xfId="0" applyNumberFormat="1" applyFont="1" applyBorder="1" applyAlignment="1">
      <alignment horizontal="center"/>
    </xf>
    <xf numFmtId="7" fontId="7" fillId="0" borderId="8" xfId="0" applyNumberFormat="1" applyFont="1" applyBorder="1" applyAlignment="1">
      <alignment horizontal="center"/>
    </xf>
    <xf numFmtId="7" fontId="7" fillId="0" borderId="22" xfId="0" applyNumberFormat="1" applyFont="1" applyBorder="1" applyAlignment="1">
      <alignment horizontal="center"/>
    </xf>
    <xf numFmtId="7" fontId="7" fillId="0" borderId="13" xfId="0" applyNumberFormat="1" applyFont="1" applyBorder="1"/>
    <xf numFmtId="7" fontId="7" fillId="0" borderId="0" xfId="0" applyNumberFormat="1" applyFont="1" applyAlignment="1">
      <alignment horizontal="center"/>
    </xf>
    <xf numFmtId="7" fontId="7" fillId="0" borderId="11" xfId="0" applyNumberFormat="1" applyFont="1" applyBorder="1" applyAlignment="1">
      <alignment horizontal="center"/>
    </xf>
    <xf numFmtId="7" fontId="7" fillId="0" borderId="10" xfId="0" applyNumberFormat="1" applyFont="1" applyBorder="1" applyAlignment="1">
      <alignment horizontal="center"/>
    </xf>
    <xf numFmtId="7" fontId="7" fillId="0" borderId="6" xfId="0" applyNumberFormat="1" applyFont="1" applyBorder="1"/>
    <xf numFmtId="7" fontId="7" fillId="0" borderId="1" xfId="0" applyNumberFormat="1" applyFont="1" applyBorder="1" applyAlignment="1">
      <alignment horizontal="center"/>
    </xf>
    <xf numFmtId="7" fontId="7" fillId="0" borderId="12" xfId="0" applyNumberFormat="1" applyFont="1" applyBorder="1" applyAlignment="1">
      <alignment horizontal="center"/>
    </xf>
    <xf numFmtId="7" fontId="7" fillId="0" borderId="23" xfId="0" applyNumberFormat="1" applyFont="1" applyBorder="1" applyAlignment="1">
      <alignment horizontal="center"/>
    </xf>
    <xf numFmtId="171" fontId="17" fillId="0" borderId="0" xfId="10" applyNumberFormat="1" applyFont="1" applyAlignment="1">
      <alignment horizontal="centerContinuous"/>
    </xf>
    <xf numFmtId="171" fontId="5" fillId="0" borderId="5" xfId="10" applyNumberFormat="1" applyBorder="1" applyAlignment="1">
      <alignment horizontal="center"/>
    </xf>
    <xf numFmtId="171" fontId="5" fillId="0" borderId="7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Continuous"/>
    </xf>
    <xf numFmtId="171" fontId="5" fillId="0" borderId="4" xfId="10" applyNumberFormat="1" applyBorder="1" applyAlignment="1">
      <alignment horizontal="centerContinuous"/>
    </xf>
    <xf numFmtId="171" fontId="5" fillId="0" borderId="6" xfId="10" applyNumberFormat="1" applyBorder="1" applyAlignment="1">
      <alignment horizontal="center"/>
    </xf>
    <xf numFmtId="171" fontId="5" fillId="0" borderId="4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"/>
    </xf>
    <xf numFmtId="171" fontId="5" fillId="0" borderId="9" xfId="10" applyNumberFormat="1" applyBorder="1" applyAlignment="1">
      <alignment horizontal="centerContinuous"/>
    </xf>
    <xf numFmtId="17" fontId="5" fillId="0" borderId="5" xfId="10" applyNumberFormat="1" applyBorder="1" applyAlignment="1">
      <alignment horizontal="center"/>
    </xf>
    <xf numFmtId="17" fontId="5" fillId="0" borderId="13" xfId="10" applyNumberFormat="1" applyBorder="1" applyAlignment="1">
      <alignment horizontal="center"/>
    </xf>
    <xf numFmtId="17" fontId="5" fillId="0" borderId="6" xfId="10" applyNumberFormat="1" applyBorder="1" applyAlignment="1">
      <alignment horizontal="center"/>
    </xf>
    <xf numFmtId="8" fontId="7" fillId="10" borderId="0" xfId="24" applyNumberFormat="1" applyFill="1" applyAlignment="1">
      <alignment horizontal="right"/>
    </xf>
    <xf numFmtId="171" fontId="0" fillId="5" borderId="0" xfId="0" applyFill="1" applyAlignment="1">
      <alignment wrapText="1"/>
    </xf>
    <xf numFmtId="172" fontId="0" fillId="0" borderId="0" xfId="1" applyNumberFormat="1" applyFont="1"/>
    <xf numFmtId="172" fontId="7" fillId="0" borderId="0" xfId="11" applyNumberFormat="1"/>
    <xf numFmtId="0" fontId="0" fillId="0" borderId="0" xfId="7" applyFont="1" applyAlignment="1">
      <alignment horizontal="center"/>
    </xf>
    <xf numFmtId="0" fontId="7" fillId="0" borderId="0" xfId="0" applyNumberFormat="1" applyFont="1" applyAlignment="1">
      <alignment horizontal="center"/>
    </xf>
    <xf numFmtId="8" fontId="7" fillId="0" borderId="0" xfId="0" quotePrefix="1" applyNumberFormat="1" applyFont="1" applyAlignment="1">
      <alignment horizontal="center"/>
    </xf>
    <xf numFmtId="0" fontId="35" fillId="0" borderId="0" xfId="31" applyFont="1"/>
    <xf numFmtId="0" fontId="33" fillId="0" borderId="0" xfId="31" applyFont="1"/>
    <xf numFmtId="0" fontId="1" fillId="0" borderId="0" xfId="31"/>
    <xf numFmtId="180" fontId="1" fillId="0" borderId="0" xfId="31" applyNumberFormat="1"/>
    <xf numFmtId="180" fontId="33" fillId="0" borderId="0" xfId="31" applyNumberFormat="1" applyFont="1"/>
    <xf numFmtId="2" fontId="33" fillId="0" borderId="0" xfId="31" applyNumberFormat="1" applyFont="1"/>
    <xf numFmtId="43" fontId="33" fillId="0" borderId="0" xfId="32" applyFont="1" applyFill="1"/>
    <xf numFmtId="164" fontId="33" fillId="0" borderId="0" xfId="32" applyNumberFormat="1" applyFont="1" applyFill="1"/>
    <xf numFmtId="8" fontId="33" fillId="0" borderId="0" xfId="31" applyNumberFormat="1" applyFont="1"/>
    <xf numFmtId="180" fontId="35" fillId="0" borderId="0" xfId="31" applyNumberFormat="1" applyFont="1"/>
    <xf numFmtId="0" fontId="9" fillId="0" borderId="0" xfId="31" applyFont="1"/>
    <xf numFmtId="180" fontId="9" fillId="0" borderId="0" xfId="31" applyNumberFormat="1" applyFont="1"/>
    <xf numFmtId="2" fontId="9" fillId="0" borderId="0" xfId="31" applyNumberFormat="1" applyFont="1"/>
    <xf numFmtId="43" fontId="9" fillId="0" borderId="0" xfId="32" applyFont="1" applyFill="1"/>
    <xf numFmtId="164" fontId="9" fillId="0" borderId="0" xfId="32" applyNumberFormat="1" applyFont="1" applyFill="1"/>
    <xf numFmtId="8" fontId="9" fillId="0" borderId="0" xfId="31" applyNumberFormat="1" applyFont="1"/>
    <xf numFmtId="0" fontId="1" fillId="13" borderId="0" xfId="31" applyFill="1"/>
    <xf numFmtId="0" fontId="1" fillId="14" borderId="0" xfId="31" applyFill="1"/>
    <xf numFmtId="10" fontId="1" fillId="0" borderId="0" xfId="31" applyNumberFormat="1"/>
    <xf numFmtId="182" fontId="7" fillId="0" borderId="0" xfId="24" applyNumberFormat="1"/>
    <xf numFmtId="8" fontId="33" fillId="15" borderId="0" xfId="32" applyNumberFormat="1" applyFont="1" applyFill="1"/>
    <xf numFmtId="180" fontId="33" fillId="0" borderId="0" xfId="0" applyNumberFormat="1" applyFont="1"/>
    <xf numFmtId="8" fontId="33" fillId="0" borderId="0" xfId="0" applyNumberFormat="1" applyFont="1"/>
    <xf numFmtId="10" fontId="0" fillId="0" borderId="0" xfId="0" applyNumberFormat="1"/>
    <xf numFmtId="171" fontId="6" fillId="0" borderId="0" xfId="24" applyFont="1" applyAlignment="1">
      <alignment wrapText="1"/>
    </xf>
    <xf numFmtId="172" fontId="7" fillId="0" borderId="0" xfId="24" applyNumberFormat="1" applyAlignment="1">
      <alignment horizontal="right"/>
    </xf>
    <xf numFmtId="2" fontId="33" fillId="0" borderId="0" xfId="0" applyNumberFormat="1" applyFont="1"/>
    <xf numFmtId="171" fontId="37" fillId="16" borderId="0" xfId="0" applyFont="1" applyFill="1"/>
    <xf numFmtId="171" fontId="37" fillId="16" borderId="0" xfId="0" applyFont="1" applyFill="1" applyAlignment="1">
      <alignment horizontal="center" wrapText="1"/>
    </xf>
    <xf numFmtId="37" fontId="0" fillId="0" borderId="0" xfId="0" applyNumberFormat="1"/>
    <xf numFmtId="164" fontId="0" fillId="0" borderId="0" xfId="0" applyNumberFormat="1"/>
    <xf numFmtId="9" fontId="0" fillId="0" borderId="0" xfId="0" applyNumberFormat="1"/>
    <xf numFmtId="183" fontId="0" fillId="0" borderId="0" xfId="0" applyNumberFormat="1"/>
    <xf numFmtId="8" fontId="7" fillId="0" borderId="0" xfId="0" applyNumberFormat="1" applyFont="1" applyAlignment="1">
      <alignment wrapText="1"/>
    </xf>
    <xf numFmtId="171" fontId="29" fillId="0" borderId="0" xfId="26" applyNumberFormat="1" applyAlignment="1" applyProtection="1"/>
    <xf numFmtId="6" fontId="7" fillId="0" borderId="0" xfId="2" applyNumberFormat="1" applyFont="1" applyFill="1" applyBorder="1"/>
    <xf numFmtId="8" fontId="7" fillId="0" borderId="0" xfId="2" applyNumberFormat="1" applyFont="1" applyFill="1" applyBorder="1"/>
    <xf numFmtId="180" fontId="0" fillId="0" borderId="0" xfId="0" applyNumberFormat="1"/>
    <xf numFmtId="171" fontId="0" fillId="0" borderId="0" xfId="0" applyAlignment="1">
      <alignment horizontal="centerContinuous"/>
    </xf>
    <xf numFmtId="171" fontId="6" fillId="0" borderId="5" xfId="0" applyFont="1" applyBorder="1" applyAlignment="1">
      <alignment horizontal="centerContinuous" wrapText="1"/>
    </xf>
    <xf numFmtId="171" fontId="11" fillId="0" borderId="6" xfId="0" applyFont="1" applyBorder="1" applyAlignment="1">
      <alignment horizontal="centerContinuous"/>
    </xf>
    <xf numFmtId="171" fontId="10" fillId="0" borderId="0" xfId="0" quotePrefix="1" applyFont="1" applyAlignment="1">
      <alignment horizontal="center"/>
    </xf>
    <xf numFmtId="6" fontId="0" fillId="0" borderId="0" xfId="0" applyNumberFormat="1" applyAlignment="1">
      <alignment horizontal="right"/>
    </xf>
    <xf numFmtId="8" fontId="0" fillId="0" borderId="0" xfId="0" applyNumberFormat="1" applyAlignment="1">
      <alignment horizontal="right"/>
    </xf>
    <xf numFmtId="8" fontId="0" fillId="0" borderId="0" xfId="0" applyNumberFormat="1"/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0" fontId="7" fillId="0" borderId="0" xfId="8" applyNumberFormat="1" applyFont="1" applyFill="1" applyBorder="1"/>
    <xf numFmtId="171" fontId="0" fillId="0" borderId="0" xfId="5" applyFont="1"/>
    <xf numFmtId="172" fontId="0" fillId="0" borderId="0" xfId="5" applyNumberFormat="1" applyFont="1"/>
    <xf numFmtId="184" fontId="0" fillId="0" borderId="0" xfId="0" applyNumberFormat="1"/>
    <xf numFmtId="10" fontId="0" fillId="0" borderId="0" xfId="8" applyNumberFormat="1" applyFont="1"/>
    <xf numFmtId="41" fontId="0" fillId="0" borderId="0" xfId="5" applyNumberFormat="1" applyFont="1"/>
    <xf numFmtId="171" fontId="6" fillId="0" borderId="17" xfId="0" applyFont="1" applyBorder="1" applyAlignment="1">
      <alignment horizontal="centerContinuous"/>
    </xf>
    <xf numFmtId="171" fontId="6" fillId="0" borderId="24" xfId="0" applyFont="1" applyBorder="1" applyAlignment="1">
      <alignment horizontal="centerContinuous"/>
    </xf>
    <xf numFmtId="171" fontId="0" fillId="0" borderId="18" xfId="0" applyBorder="1" applyAlignment="1">
      <alignment horizontal="centerContinuous"/>
    </xf>
    <xf numFmtId="171" fontId="6" fillId="0" borderId="7" xfId="0" applyFont="1" applyBorder="1" applyAlignment="1">
      <alignment horizontal="centerContinuous"/>
    </xf>
    <xf numFmtId="171" fontId="6" fillId="0" borderId="9" xfId="0" applyFont="1" applyBorder="1" applyAlignment="1">
      <alignment horizontal="centerContinuous"/>
    </xf>
    <xf numFmtId="171" fontId="6" fillId="0" borderId="7" xfId="0" applyFont="1" applyBorder="1" applyAlignment="1">
      <alignment horizontal="center"/>
    </xf>
    <xf numFmtId="41" fontId="0" fillId="0" borderId="0" xfId="0" applyNumberFormat="1"/>
    <xf numFmtId="6" fontId="0" fillId="0" borderId="0" xfId="2" applyNumberFormat="1" applyFont="1" applyFill="1" applyAlignment="1">
      <alignment horizontal="center"/>
    </xf>
    <xf numFmtId="8" fontId="0" fillId="0" borderId="0" xfId="2" applyNumberFormat="1" applyFont="1" applyFill="1" applyAlignment="1">
      <alignment horizontal="center"/>
    </xf>
    <xf numFmtId="41" fontId="38" fillId="0" borderId="0" xfId="0" applyNumberFormat="1" applyFont="1"/>
    <xf numFmtId="167" fontId="38" fillId="0" borderId="0" xfId="8" applyNumberFormat="1" applyFont="1" applyFill="1"/>
    <xf numFmtId="6" fontId="38" fillId="0" borderId="0" xfId="2" applyNumberFormat="1" applyFont="1" applyFill="1" applyAlignment="1">
      <alignment horizontal="center"/>
    </xf>
    <xf numFmtId="8" fontId="38" fillId="0" borderId="0" xfId="2" applyNumberFormat="1" applyFont="1" applyFill="1" applyAlignment="1">
      <alignment horizontal="center"/>
    </xf>
    <xf numFmtId="185" fontId="7" fillId="0" borderId="0" xfId="1" applyNumberFormat="1" applyFont="1" applyFill="1"/>
    <xf numFmtId="6" fontId="0" fillId="0" borderId="0" xfId="2" applyNumberFormat="1" applyFont="1" applyFill="1"/>
    <xf numFmtId="8" fontId="0" fillId="0" borderId="0" xfId="2" applyNumberFormat="1" applyFont="1" applyFill="1"/>
    <xf numFmtId="171" fontId="6" fillId="0" borderId="7" xfId="5" applyFont="1" applyBorder="1" applyAlignment="1">
      <alignment horizontal="centerContinuous"/>
    </xf>
    <xf numFmtId="171" fontId="0" fillId="0" borderId="0" xfId="5" applyFont="1" applyAlignment="1">
      <alignment horizontal="left"/>
    </xf>
    <xf numFmtId="171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171" fontId="38" fillId="0" borderId="0" xfId="0" applyFont="1"/>
    <xf numFmtId="173" fontId="38" fillId="0" borderId="0" xfId="0" applyNumberFormat="1" applyFont="1"/>
    <xf numFmtId="43" fontId="38" fillId="0" borderId="0" xfId="2" applyNumberFormat="1" applyFont="1" applyFill="1"/>
    <xf numFmtId="164" fontId="38" fillId="0" borderId="0" xfId="0" applyNumberFormat="1" applyFont="1" applyAlignment="1">
      <alignment horizontal="center"/>
    </xf>
    <xf numFmtId="167" fontId="0" fillId="0" borderId="0" xfId="0" applyNumberFormat="1"/>
    <xf numFmtId="164" fontId="10" fillId="0" borderId="0" xfId="0" applyNumberFormat="1" applyFont="1" applyAlignment="1">
      <alignment horizontal="right"/>
    </xf>
    <xf numFmtId="171" fontId="6" fillId="0" borderId="3" xfId="5" applyFont="1" applyBorder="1" applyAlignment="1">
      <alignment horizontal="centerContinuous"/>
    </xf>
    <xf numFmtId="171" fontId="0" fillId="0" borderId="9" xfId="0" applyBorder="1" applyAlignment="1">
      <alignment horizontal="centerContinuous"/>
    </xf>
    <xf numFmtId="171" fontId="0" fillId="0" borderId="4" xfId="0" applyBorder="1" applyAlignment="1">
      <alignment horizontal="centerContinuous"/>
    </xf>
    <xf numFmtId="169" fontId="0" fillId="0" borderId="0" xfId="2" applyNumberFormat="1" applyFont="1" applyFill="1"/>
    <xf numFmtId="165" fontId="0" fillId="0" borderId="0" xfId="0" applyNumberFormat="1" applyAlignment="1">
      <alignment horizontal="right"/>
    </xf>
    <xf numFmtId="44" fontId="0" fillId="0" borderId="0" xfId="2" applyFont="1" applyFill="1"/>
    <xf numFmtId="44" fontId="38" fillId="0" borderId="0" xfId="2" applyFont="1" applyFill="1"/>
    <xf numFmtId="8" fontId="38" fillId="0" borderId="0" xfId="2" applyNumberFormat="1" applyFont="1" applyFill="1"/>
    <xf numFmtId="186" fontId="0" fillId="0" borderId="0" xfId="1" applyNumberFormat="1" applyFont="1"/>
    <xf numFmtId="9" fontId="0" fillId="0" borderId="0" xfId="8" applyFont="1"/>
    <xf numFmtId="174" fontId="0" fillId="0" borderId="0" xfId="0" applyNumberFormat="1"/>
    <xf numFmtId="174" fontId="0" fillId="0" borderId="0" xfId="8" applyNumberFormat="1" applyFont="1"/>
    <xf numFmtId="10" fontId="0" fillId="0" borderId="0" xfId="8" applyNumberFormat="1" applyFont="1" applyFill="1"/>
    <xf numFmtId="7" fontId="0" fillId="0" borderId="0" xfId="2" applyNumberFormat="1" applyFont="1" applyFill="1"/>
    <xf numFmtId="165" fontId="0" fillId="10" borderId="0" xfId="0" applyNumberFormat="1" applyFill="1" applyAlignment="1">
      <alignment horizontal="center"/>
    </xf>
    <xf numFmtId="44" fontId="7" fillId="10" borderId="0" xfId="24" applyNumberFormat="1" applyFill="1" applyAlignment="1">
      <alignment horizontal="right"/>
    </xf>
    <xf numFmtId="43" fontId="40" fillId="0" borderId="0" xfId="33" applyNumberFormat="1" applyFont="1" applyAlignment="1">
      <alignment horizontal="center" wrapText="1"/>
    </xf>
    <xf numFmtId="187" fontId="0" fillId="0" borderId="0" xfId="0" applyNumberFormat="1"/>
    <xf numFmtId="164" fontId="0" fillId="0" borderId="0" xfId="1" applyNumberFormat="1" applyFont="1" applyFill="1"/>
    <xf numFmtId="183" fontId="7" fillId="10" borderId="0" xfId="24" applyNumberFormat="1" applyFill="1" applyAlignment="1">
      <alignment horizontal="right"/>
    </xf>
    <xf numFmtId="10" fontId="7" fillId="12" borderId="0" xfId="8" applyNumberFormat="1" applyFont="1" applyFill="1"/>
    <xf numFmtId="17" fontId="5" fillId="6" borderId="5" xfId="10" applyNumberFormat="1" applyFill="1" applyBorder="1" applyAlignment="1">
      <alignment horizontal="center"/>
    </xf>
    <xf numFmtId="167" fontId="0" fillId="10" borderId="0" xfId="8" applyNumberFormat="1" applyFont="1" applyFill="1"/>
    <xf numFmtId="8" fontId="7" fillId="15" borderId="0" xfId="24" applyNumberFormat="1" applyFill="1" applyAlignment="1">
      <alignment horizontal="right"/>
    </xf>
    <xf numFmtId="173" fontId="0" fillId="0" borderId="7" xfId="0" applyNumberFormat="1" applyBorder="1"/>
    <xf numFmtId="0" fontId="0" fillId="0" borderId="1" xfId="0" applyNumberFormat="1" applyBorder="1"/>
    <xf numFmtId="166" fontId="0" fillId="0" borderId="0" xfId="2" applyNumberFormat="1" applyFont="1"/>
    <xf numFmtId="166" fontId="0" fillId="0" borderId="1" xfId="2" applyNumberFormat="1" applyFont="1" applyBorder="1"/>
    <xf numFmtId="8" fontId="7" fillId="0" borderId="0" xfId="1" applyNumberFormat="1" applyFont="1"/>
    <xf numFmtId="188" fontId="1" fillId="0" borderId="0" xfId="31" applyNumberFormat="1"/>
    <xf numFmtId="9" fontId="7" fillId="17" borderId="0" xfId="8" applyFont="1" applyFill="1"/>
    <xf numFmtId="8" fontId="33" fillId="0" borderId="0" xfId="32" applyNumberFormat="1" applyFont="1" applyFill="1"/>
    <xf numFmtId="189" fontId="7" fillId="0" borderId="0" xfId="24" applyNumberFormat="1"/>
    <xf numFmtId="0" fontId="1" fillId="0" borderId="0" xfId="31" applyAlignment="1">
      <alignment horizontal="right"/>
    </xf>
    <xf numFmtId="44" fontId="0" fillId="0" borderId="0" xfId="15" applyFont="1" applyFill="1"/>
    <xf numFmtId="0" fontId="7" fillId="0" borderId="0" xfId="24" applyNumberFormat="1" applyAlignment="1">
      <alignment horizontal="right"/>
    </xf>
    <xf numFmtId="167" fontId="33" fillId="0" borderId="0" xfId="9" applyFont="1"/>
    <xf numFmtId="2" fontId="33" fillId="0" borderId="0" xfId="9" applyNumberFormat="1" applyFont="1"/>
    <xf numFmtId="171" fontId="7" fillId="10" borderId="0" xfId="0" applyFont="1" applyFill="1" applyAlignment="1">
      <alignment horizontal="center" wrapText="1"/>
    </xf>
    <xf numFmtId="171" fontId="0" fillId="10" borderId="0" xfId="0" applyFill="1"/>
    <xf numFmtId="8" fontId="7" fillId="10" borderId="0" xfId="0" applyNumberFormat="1" applyFont="1" applyFill="1" applyAlignment="1">
      <alignment horizontal="center"/>
    </xf>
    <xf numFmtId="171" fontId="5" fillId="0" borderId="13" xfId="10" applyNumberFormat="1" applyBorder="1" applyAlignment="1">
      <alignment horizontal="center"/>
    </xf>
    <xf numFmtId="171" fontId="5" fillId="0" borderId="0" xfId="10" applyNumberFormat="1"/>
    <xf numFmtId="171" fontId="28" fillId="0" borderId="0" xfId="10" applyNumberFormat="1" applyFont="1"/>
    <xf numFmtId="17" fontId="5" fillId="0" borderId="0" xfId="10" applyNumberFormat="1"/>
    <xf numFmtId="173" fontId="5" fillId="0" borderId="0" xfId="10" applyNumberFormat="1"/>
    <xf numFmtId="171" fontId="17" fillId="0" borderId="0" xfId="10" applyNumberFormat="1" applyFont="1"/>
    <xf numFmtId="171" fontId="31" fillId="0" borderId="0" xfId="0" applyFont="1"/>
    <xf numFmtId="169" fontId="5" fillId="0" borderId="0" xfId="2" applyNumberFormat="1" applyFont="1" applyFill="1" applyAlignment="1"/>
    <xf numFmtId="37" fontId="5" fillId="0" borderId="0" xfId="2" applyNumberFormat="1" applyFont="1" applyFill="1" applyAlignment="1"/>
    <xf numFmtId="7" fontId="5" fillId="0" borderId="0" xfId="2" applyNumberFormat="1" applyFont="1" applyFill="1" applyAlignment="1"/>
    <xf numFmtId="10" fontId="5" fillId="0" borderId="0" xfId="8" applyNumberFormat="1" applyFont="1" applyFill="1" applyAlignment="1"/>
    <xf numFmtId="171" fontId="7" fillId="0" borderId="0" xfId="10" applyNumberFormat="1" applyFont="1"/>
    <xf numFmtId="10" fontId="5" fillId="0" borderId="0" xfId="10" applyNumberFormat="1"/>
    <xf numFmtId="174" fontId="5" fillId="0" borderId="0" xfId="8" applyNumberFormat="1" applyFont="1" applyFill="1" applyAlignment="1"/>
    <xf numFmtId="171" fontId="5" fillId="10" borderId="2" xfId="10" applyNumberFormat="1" applyFill="1" applyBorder="1"/>
    <xf numFmtId="41" fontId="5" fillId="0" borderId="8" xfId="10" applyNumberFormat="1" applyBorder="1"/>
    <xf numFmtId="41" fontId="5" fillId="0" borderId="0" xfId="10" applyNumberFormat="1"/>
    <xf numFmtId="171" fontId="5" fillId="10" borderId="10" xfId="10" applyNumberFormat="1" applyFill="1" applyBorder="1"/>
    <xf numFmtId="168" fontId="5" fillId="0" borderId="8" xfId="10" applyNumberFormat="1" applyBorder="1"/>
    <xf numFmtId="171" fontId="28" fillId="6" borderId="5" xfId="10" applyNumberFormat="1" applyFont="1" applyFill="1" applyBorder="1"/>
    <xf numFmtId="0" fontId="5" fillId="0" borderId="0" xfId="10" applyNumberFormat="1"/>
    <xf numFmtId="167" fontId="0" fillId="0" borderId="0" xfId="8" applyNumberFormat="1" applyFont="1" applyFill="1" applyAlignment="1"/>
    <xf numFmtId="189" fontId="5" fillId="0" borderId="0" xfId="8" applyNumberFormat="1" applyAlignment="1"/>
    <xf numFmtId="171" fontId="5" fillId="10" borderId="0" xfId="10" applyNumberFormat="1" applyFill="1"/>
    <xf numFmtId="41" fontId="5" fillId="0" borderId="11" xfId="10" applyNumberFormat="1" applyBorder="1"/>
    <xf numFmtId="168" fontId="5" fillId="0" borderId="11" xfId="10" applyNumberFormat="1" applyBorder="1"/>
    <xf numFmtId="171" fontId="5" fillId="0" borderId="13" xfId="10" applyNumberFormat="1" applyBorder="1"/>
    <xf numFmtId="171" fontId="36" fillId="0" borderId="0" xfId="10" applyNumberFormat="1" applyFont="1"/>
    <xf numFmtId="43" fontId="5" fillId="0" borderId="0" xfId="10" applyNumberFormat="1"/>
    <xf numFmtId="172" fontId="5" fillId="0" borderId="0" xfId="10" applyNumberFormat="1"/>
    <xf numFmtId="171" fontId="5" fillId="10" borderId="1" xfId="10" applyNumberFormat="1" applyFill="1" applyBorder="1"/>
    <xf numFmtId="41" fontId="5" fillId="0" borderId="12" xfId="10" applyNumberFormat="1" applyBorder="1"/>
    <xf numFmtId="168" fontId="5" fillId="0" borderId="12" xfId="10" applyNumberFormat="1" applyBorder="1"/>
    <xf numFmtId="171" fontId="5" fillId="0" borderId="6" xfId="10" applyNumberFormat="1" applyBorder="1"/>
    <xf numFmtId="171" fontId="5" fillId="0" borderId="5" xfId="10" applyNumberFormat="1" applyBorder="1"/>
    <xf numFmtId="167" fontId="5" fillId="0" borderId="0" xfId="8" applyNumberFormat="1" applyAlignment="1"/>
    <xf numFmtId="41" fontId="5" fillId="10" borderId="8" xfId="10" applyNumberFormat="1" applyFill="1" applyBorder="1"/>
    <xf numFmtId="168" fontId="5" fillId="10" borderId="8" xfId="10" applyNumberFormat="1" applyFill="1" applyBorder="1"/>
    <xf numFmtId="41" fontId="5" fillId="10" borderId="11" xfId="10" applyNumberFormat="1" applyFill="1" applyBorder="1"/>
    <xf numFmtId="168" fontId="5" fillId="10" borderId="11" xfId="10" applyNumberFormat="1" applyFill="1" applyBorder="1"/>
    <xf numFmtId="41" fontId="5" fillId="10" borderId="12" xfId="10" applyNumberFormat="1" applyFill="1" applyBorder="1"/>
    <xf numFmtId="168" fontId="5" fillId="10" borderId="12" xfId="10" applyNumberFormat="1" applyFill="1" applyBorder="1"/>
    <xf numFmtId="41" fontId="8" fillId="0" borderId="0" xfId="11" applyFont="1" applyAlignment="1">
      <alignment horizontal="centerContinuous"/>
    </xf>
    <xf numFmtId="41" fontId="11" fillId="0" borderId="0" xfId="11" applyFont="1" applyAlignment="1">
      <alignment horizontal="centerContinuous"/>
    </xf>
    <xf numFmtId="41" fontId="7" fillId="0" borderId="0" xfId="11" applyAlignment="1">
      <alignment horizontal="centerContinuous"/>
    </xf>
    <xf numFmtId="41" fontId="9" fillId="0" borderId="0" xfId="11" applyFont="1" applyAlignment="1">
      <alignment horizontal="centerContinuous"/>
    </xf>
    <xf numFmtId="41" fontId="7" fillId="0" borderId="22" xfId="11" applyBorder="1" applyAlignment="1">
      <alignment horizontal="center"/>
    </xf>
    <xf numFmtId="41" fontId="7" fillId="0" borderId="2" xfId="11" applyBorder="1" applyAlignment="1">
      <alignment horizontal="center"/>
    </xf>
    <xf numFmtId="41" fontId="7" fillId="0" borderId="8" xfId="11" applyBorder="1" applyAlignment="1">
      <alignment horizontal="center" wrapText="1"/>
    </xf>
    <xf numFmtId="41" fontId="7" fillId="0" borderId="0" xfId="11" applyAlignment="1">
      <alignment wrapText="1"/>
    </xf>
    <xf numFmtId="41" fontId="7" fillId="0" borderId="0" xfId="11" applyAlignment="1">
      <alignment horizontal="center"/>
    </xf>
    <xf numFmtId="17" fontId="0" fillId="0" borderId="10" xfId="11" applyNumberFormat="1" applyFont="1" applyBorder="1" applyAlignment="1">
      <alignment horizontal="center"/>
    </xf>
    <xf numFmtId="17" fontId="0" fillId="0" borderId="11" xfId="11" applyNumberFormat="1" applyFont="1" applyBorder="1" applyAlignment="1">
      <alignment horizontal="center"/>
    </xf>
    <xf numFmtId="9" fontId="7" fillId="0" borderId="10" xfId="8" applyFont="1" applyFill="1" applyBorder="1" applyAlignment="1">
      <alignment horizontal="center"/>
    </xf>
    <xf numFmtId="9" fontId="7" fillId="0" borderId="0" xfId="8" applyFont="1" applyFill="1" applyBorder="1" applyAlignment="1">
      <alignment horizontal="center"/>
    </xf>
    <xf numFmtId="9" fontId="7" fillId="0" borderId="11" xfId="8" applyFont="1" applyFill="1" applyBorder="1" applyAlignment="1">
      <alignment horizontal="center"/>
    </xf>
    <xf numFmtId="0" fontId="7" fillId="0" borderId="23" xfId="7" applyBorder="1" applyAlignment="1">
      <alignment horizontal="center"/>
    </xf>
    <xf numFmtId="0" fontId="7" fillId="0" borderId="1" xfId="7" applyBorder="1" applyAlignment="1">
      <alignment horizontal="center"/>
    </xf>
    <xf numFmtId="0" fontId="0" fillId="0" borderId="12" xfId="7" applyFont="1" applyBorder="1" applyAlignment="1">
      <alignment horizontal="center"/>
    </xf>
    <xf numFmtId="41" fontId="7" fillId="0" borderId="23" xfId="11" applyBorder="1" applyAlignment="1">
      <alignment horizontal="center"/>
    </xf>
    <xf numFmtId="41" fontId="7" fillId="0" borderId="1" xfId="11" applyBorder="1" applyAlignment="1">
      <alignment horizontal="center"/>
    </xf>
    <xf numFmtId="41" fontId="7" fillId="0" borderId="12" xfId="11" applyBorder="1" applyAlignment="1">
      <alignment horizontal="center"/>
    </xf>
    <xf numFmtId="0" fontId="7" fillId="0" borderId="22" xfId="11" applyNumberFormat="1" applyBorder="1" applyAlignment="1">
      <alignment horizontal="center"/>
    </xf>
    <xf numFmtId="8" fontId="7" fillId="0" borderId="22" xfId="11" applyNumberFormat="1" applyBorder="1" applyAlignment="1">
      <alignment horizontal="center"/>
    </xf>
    <xf numFmtId="8" fontId="7" fillId="0" borderId="2" xfId="11" applyNumberFormat="1" applyBorder="1" applyAlignment="1">
      <alignment horizontal="center"/>
    </xf>
    <xf numFmtId="8" fontId="7" fillId="0" borderId="8" xfId="11" applyNumberFormat="1" applyBorder="1" applyAlignment="1">
      <alignment horizontal="center"/>
    </xf>
    <xf numFmtId="8" fontId="7" fillId="0" borderId="0" xfId="11" applyNumberFormat="1" applyAlignment="1">
      <alignment horizontal="center"/>
    </xf>
    <xf numFmtId="0" fontId="7" fillId="0" borderId="10" xfId="11" applyNumberFormat="1" applyBorder="1" applyAlignment="1">
      <alignment horizontal="center"/>
    </xf>
    <xf numFmtId="8" fontId="7" fillId="0" borderId="10" xfId="11" applyNumberFormat="1" applyBorder="1" applyAlignment="1">
      <alignment horizontal="center"/>
    </xf>
    <xf numFmtId="8" fontId="7" fillId="0" borderId="11" xfId="11" applyNumberFormat="1" applyBorder="1" applyAlignment="1">
      <alignment horizontal="center"/>
    </xf>
    <xf numFmtId="0" fontId="7" fillId="0" borderId="23" xfId="11" applyNumberFormat="1" applyBorder="1" applyAlignment="1">
      <alignment horizontal="center"/>
    </xf>
    <xf numFmtId="8" fontId="7" fillId="0" borderId="23" xfId="11" applyNumberFormat="1" applyBorder="1" applyAlignment="1">
      <alignment horizontal="center"/>
    </xf>
    <xf numFmtId="8" fontId="7" fillId="0" borderId="1" xfId="11" applyNumberFormat="1" applyBorder="1" applyAlignment="1">
      <alignment horizontal="center"/>
    </xf>
    <xf numFmtId="8" fontId="7" fillId="0" borderId="12" xfId="11" applyNumberFormat="1" applyBorder="1" applyAlignment="1">
      <alignment horizontal="center"/>
    </xf>
    <xf numFmtId="41" fontId="7" fillId="0" borderId="0" xfId="11" applyAlignment="1">
      <alignment horizontal="left" indent="1"/>
    </xf>
    <xf numFmtId="8" fontId="7" fillId="0" borderId="0" xfId="11" applyNumberFormat="1"/>
    <xf numFmtId="10" fontId="7" fillId="0" borderId="0" xfId="8" applyNumberFormat="1" applyFont="1" applyFill="1" applyAlignment="1">
      <alignment horizontal="left" indent="1"/>
    </xf>
    <xf numFmtId="167" fontId="7" fillId="0" borderId="0" xfId="8" applyNumberFormat="1" applyFont="1" applyFill="1" applyBorder="1" applyAlignment="1">
      <alignment horizontal="center"/>
    </xf>
    <xf numFmtId="39" fontId="7" fillId="0" borderId="0" xfId="34" quotePrefix="1" applyNumberFormat="1" applyFont="1" applyAlignment="1">
      <alignment horizontal="center"/>
    </xf>
    <xf numFmtId="39" fontId="7" fillId="0" borderId="0" xfId="11" applyNumberFormat="1" applyAlignment="1">
      <alignment horizontal="center"/>
    </xf>
    <xf numFmtId="43" fontId="7" fillId="0" borderId="0" xfId="1" applyFont="1" applyFill="1"/>
    <xf numFmtId="41" fontId="7" fillId="0" borderId="10" xfId="11" applyBorder="1"/>
    <xf numFmtId="17" fontId="0" fillId="0" borderId="0" xfId="11" applyNumberFormat="1" applyFont="1" applyAlignment="1">
      <alignment horizontal="center"/>
    </xf>
    <xf numFmtId="41" fontId="7" fillId="0" borderId="23" xfId="11" applyBorder="1"/>
    <xf numFmtId="41" fontId="7" fillId="0" borderId="1" xfId="11" applyBorder="1"/>
    <xf numFmtId="41" fontId="8" fillId="0" borderId="0" xfId="11" applyFont="1" applyAlignment="1">
      <alignment horizontal="center"/>
    </xf>
    <xf numFmtId="8" fontId="0" fillId="0" borderId="3" xfId="11" applyNumberFormat="1" applyFont="1" applyBorder="1" applyAlignment="1">
      <alignment vertical="center" wrapText="1"/>
    </xf>
    <xf numFmtId="8" fontId="0" fillId="0" borderId="9" xfId="11" applyNumberFormat="1" applyFont="1" applyBorder="1" applyAlignment="1">
      <alignment vertical="center" wrapText="1"/>
    </xf>
    <xf numFmtId="8" fontId="0" fillId="0" borderId="4" xfId="11" applyNumberFormat="1" applyFont="1" applyBorder="1" applyAlignment="1">
      <alignment vertical="center" wrapText="1"/>
    </xf>
    <xf numFmtId="8" fontId="0" fillId="0" borderId="3" xfId="11" applyNumberFormat="1" applyFont="1" applyBorder="1" applyAlignment="1">
      <alignment horizontal="center" vertical="center" wrapText="1"/>
    </xf>
    <xf numFmtId="8" fontId="0" fillId="0" borderId="9" xfId="11" applyNumberFormat="1" applyFont="1" applyBorder="1" applyAlignment="1">
      <alignment horizontal="center" vertical="center" wrapText="1"/>
    </xf>
    <xf numFmtId="8" fontId="0" fillId="0" borderId="4" xfId="11" applyNumberFormat="1" applyFont="1" applyBorder="1" applyAlignment="1">
      <alignment horizontal="center" vertical="center" wrapText="1"/>
    </xf>
    <xf numFmtId="171" fontId="7" fillId="0" borderId="0" xfId="0" applyFont="1" applyAlignment="1">
      <alignment horizontal="center" vertical="top"/>
    </xf>
    <xf numFmtId="171" fontId="7" fillId="0" borderId="0" xfId="0" applyFont="1" applyAlignment="1">
      <alignment horizontal="center"/>
    </xf>
    <xf numFmtId="171" fontId="7" fillId="0" borderId="0" xfId="0" applyFont="1" applyAlignment="1">
      <alignment horizontal="center" wrapText="1"/>
    </xf>
    <xf numFmtId="171" fontId="0" fillId="0" borderId="0" xfId="0"/>
  </cellXfs>
  <cellStyles count="35">
    <cellStyle name="Comma" xfId="1" builtinId="3"/>
    <cellStyle name="Comma 2" xfId="14" xr:uid="{00000000-0005-0000-0000-000001000000}"/>
    <cellStyle name="Comma 3" xfId="27" xr:uid="{00000000-0005-0000-0000-000002000000}"/>
    <cellStyle name="Comma 4" xfId="32" xr:uid="{A3FB4B8C-4A53-4BFE-AEEA-210CBD17E4BA}"/>
    <cellStyle name="Currency" xfId="2" builtinId="4"/>
    <cellStyle name="Currency 2" xfId="15" xr:uid="{00000000-0005-0000-0000-000004000000}"/>
    <cellStyle name="Currency No Comma" xfId="16" xr:uid="{00000000-0005-0000-0000-000005000000}"/>
    <cellStyle name="Hyperlink" xfId="26" builtinId="8"/>
    <cellStyle name="Input" xfId="3" builtinId="20" customBuiltin="1"/>
    <cellStyle name="MCP" xfId="17" xr:uid="{00000000-0005-0000-0000-000008000000}"/>
    <cellStyle name="noninput" xfId="18" xr:uid="{00000000-0005-0000-0000-000009000000}"/>
    <cellStyle name="Normal" xfId="0" builtinId="0" customBuiltin="1"/>
    <cellStyle name="Normal 176" xfId="28" xr:uid="{00000000-0005-0000-0000-00000B000000}"/>
    <cellStyle name="Normal 2" xfId="9" xr:uid="{00000000-0005-0000-0000-00000C000000}"/>
    <cellStyle name="Normal 2 2" xfId="13" xr:uid="{00000000-0005-0000-0000-00000D000000}"/>
    <cellStyle name="Normal 3" xfId="10" xr:uid="{00000000-0005-0000-0000-00000E000000}"/>
    <cellStyle name="Normal 3 2" xfId="25" xr:uid="{00000000-0005-0000-0000-00000F000000}"/>
    <cellStyle name="Normal 4" xfId="29" xr:uid="{BA8DBA90-AAD7-4CA6-94F8-314B62EFEC5D}"/>
    <cellStyle name="Normal 5" xfId="12" xr:uid="{00000000-0005-0000-0000-000010000000}"/>
    <cellStyle name="Normal 6" xfId="31" xr:uid="{06ADD81D-AA05-4A1B-9F3A-93B5216B4484}"/>
    <cellStyle name="Normal_Book1" xfId="33" xr:uid="{2540E772-5D45-47B6-93DD-2DC530777622}"/>
    <cellStyle name="Normal_DRR AC Study - Utah Valley - 53 MW 90 CF (2.28.2005)" xfId="4" xr:uid="{00000000-0005-0000-0000-000011000000}"/>
    <cellStyle name="Normal_Exhibit GND-1 - 5.24.2005" xfId="34" xr:uid="{31BADD60-DA3A-41AB-8E12-7CA23201BE5A}"/>
    <cellStyle name="Normal_OR AC Sch 37 - AC  Study (Gold) _2009 06 19" xfId="5" xr:uid="{00000000-0005-0000-0000-000013000000}"/>
    <cellStyle name="Normal_T-INF-10-15-04-TEMPLATE" xfId="6" xr:uid="{00000000-0005-0000-0000-000014000000}"/>
    <cellStyle name="Normal_UT 2008.Q2 - Compliance - Appendix B - AC Study_2008 08 05" xfId="11" xr:uid="{00000000-0005-0000-0000-000015000000}"/>
    <cellStyle name="Normal_UT AC 2004 - AC Study (As Ordered by Commission)" xfId="7" xr:uid="{00000000-0005-0000-0000-000016000000}"/>
    <cellStyle name="Normal_WY AC 2009 - AC Study (Wind Study)_2009 08 11" xfId="24" xr:uid="{00000000-0005-0000-0000-000017000000}"/>
    <cellStyle name="Password" xfId="19" xr:uid="{00000000-0005-0000-0000-000018000000}"/>
    <cellStyle name="Percent" xfId="8" builtinId="5"/>
    <cellStyle name="Percent 2" xfId="23" xr:uid="{00000000-0005-0000-0000-00001A000000}"/>
    <cellStyle name="Percent 3" xfId="30" xr:uid="{2FD40A0F-9507-4F56-B751-0CD871CA965A}"/>
    <cellStyle name="Unprot" xfId="20" xr:uid="{00000000-0005-0000-0000-00001B000000}"/>
    <cellStyle name="Unprot$" xfId="21" xr:uid="{00000000-0005-0000-0000-00001C000000}"/>
    <cellStyle name="Unprotect" xfId="22" xr:uid="{00000000-0005-0000-0000-00001D000000}"/>
  </cellStyles>
  <dxfs count="4"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i/>
        <condense val="0"/>
        <extend val="0"/>
      </font>
      <fill>
        <patternFill>
          <bgColor indexed="42"/>
        </patternFill>
      </fill>
    </dxf>
    <dxf>
      <numFmt numFmtId="190" formatCode="&quot;$&quot;#,##0.00_)&quot;x&quot;"/>
    </dxf>
  </dxfs>
  <tableStyles count="0" defaultTableStyle="TableStyleMedium9" defaultPivotStyle="PivotStyleLight16"/>
  <colors>
    <mruColors>
      <color rgb="FFCCECFF"/>
      <color rgb="FFCCFFCC"/>
      <color rgb="FF99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voided%20Cost%20-%202025\21%20-%20UTSch38_2025Q3%20IRPMar2025%20-%20Dec%202025\Sch%2038%20Filing\10_Appendix%20E.1_UTSch38_2025Q3_Thermal_AC%20Study%20NON-CONF%20NonRoutine%20Updat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Avoided%20Cost%20-%202025\21%20-%20UTSch38_2025Q3%20IRPMar2025%20-%20Dec%202025\Sch%2038%20Filing\10_Appendix%20E.3_UTSch38_2025Q3_Wind_AC%20Study%20NON-CONF%20NonRoutine%20Update.xlsx" TargetMode="External"/><Relationship Id="rId1" Type="http://schemas.openxmlformats.org/officeDocument/2006/relationships/externalLinkPath" Target="file:///F:\Avoided%20Cost%20-%202025\21%20-%20UTSch38_2025Q3%20IRPMar2025%20-%20Dec%202025\Sch%2038%20Filing\10_Appendix%20E.3_UTSch38_2025Q3_Wind_AC%20Study%20NON-CONF%20NonRoutine%20Update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8_Appendix%20D.1_UTSch38_2025Q3_Thermal_AC%20Study%20NON-CONF%20NonRoutine%20Update.xlsx" TargetMode="External"/><Relationship Id="rId1" Type="http://schemas.openxmlformats.org/officeDocument/2006/relationships/externalLinkPath" Target="file:///F:\Avoided%20Cost%20-%202025\21%20-%20UTSch38_2025Q3%20IRPMar2025%20-%20Dec%202025\Sch%2038%20Filing\8_Appendix%20D.1_UTSch38_2025Q3_Thermal_AC%20Study%20NON-CONF%20NonRoutine%20Updat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voided%20Cost%20-%202025\21%20-%20UTSch38_2025Q3%20IRPMar2025%20-%20Dec%202025\Sch%2038%20Filing\8_Appendix%20D.2_UTSch38_2025Q3_Solar_AC%20Study%20NON-CONF%20NonRoutine%20Update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8_Appendix%20D.3_UTSch38_2025Q3_Wind_AC%20Study%20NON-CONF%20NonRoutine%20Update.xlsx" TargetMode="External"/><Relationship Id="rId1" Type="http://schemas.openxmlformats.org/officeDocument/2006/relationships/externalLinkPath" Target="file:///F:\Avoided%20Cost%20-%202025\21%20-%20UTSch38_2025Q3%20IRPMar2025%20-%20Dec%202025\Sch%2038%20Filing\8_Appendix%20D.3_UTSch38_2025Q3_Wind_AC%20Study%20NON-CONF%20NonRoutine%20Upd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ppendix D.1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2026</v>
          </cell>
          <cell r="C13">
            <v>0</v>
          </cell>
          <cell r="D13"/>
          <cell r="E13">
            <v>27.407915346386115</v>
          </cell>
          <cell r="F13"/>
          <cell r="G13">
            <v>27.407915346386115</v>
          </cell>
        </row>
        <row r="14">
          <cell r="B14">
            <v>2027</v>
          </cell>
          <cell r="C14">
            <v>0</v>
          </cell>
          <cell r="D14"/>
          <cell r="E14">
            <v>30.549249414416046</v>
          </cell>
          <cell r="F14"/>
          <cell r="G14">
            <v>30.549249414416046</v>
          </cell>
        </row>
        <row r="15">
          <cell r="B15">
            <v>2028</v>
          </cell>
          <cell r="C15">
            <v>0</v>
          </cell>
          <cell r="D15"/>
          <cell r="E15">
            <v>32.091708861572961</v>
          </cell>
          <cell r="F15"/>
          <cell r="G15">
            <v>32.091708861572961</v>
          </cell>
        </row>
        <row r="16">
          <cell r="B16">
            <v>2029</v>
          </cell>
          <cell r="C16">
            <v>0</v>
          </cell>
          <cell r="D16"/>
          <cell r="E16">
            <v>35.390984479640558</v>
          </cell>
          <cell r="F16"/>
          <cell r="G16">
            <v>35.390984479640558</v>
          </cell>
        </row>
        <row r="17">
          <cell r="B17">
            <v>2030</v>
          </cell>
          <cell r="C17">
            <v>0</v>
          </cell>
          <cell r="D17"/>
          <cell r="E17">
            <v>38.461428658875782</v>
          </cell>
          <cell r="F17"/>
          <cell r="G17">
            <v>38.461428658875782</v>
          </cell>
        </row>
        <row r="18">
          <cell r="B18">
            <v>2031</v>
          </cell>
          <cell r="C18">
            <v>0</v>
          </cell>
          <cell r="D18"/>
          <cell r="E18">
            <v>38.962032022310616</v>
          </cell>
          <cell r="F18"/>
          <cell r="G18">
            <v>38.962032022310616</v>
          </cell>
        </row>
        <row r="19">
          <cell r="B19">
            <v>2032</v>
          </cell>
          <cell r="C19">
            <v>0</v>
          </cell>
          <cell r="D19"/>
          <cell r="E19">
            <v>37.802637703219126</v>
          </cell>
          <cell r="F19"/>
          <cell r="G19">
            <v>37.802637703219126</v>
          </cell>
        </row>
        <row r="20">
          <cell r="B20">
            <v>2033</v>
          </cell>
          <cell r="C20">
            <v>0</v>
          </cell>
          <cell r="D20"/>
          <cell r="E20">
            <v>38.364413473638251</v>
          </cell>
          <cell r="F20"/>
          <cell r="G20">
            <v>38.364413473638251</v>
          </cell>
        </row>
        <row r="21">
          <cell r="B21">
            <v>2034</v>
          </cell>
          <cell r="C21">
            <v>0</v>
          </cell>
          <cell r="D21"/>
          <cell r="E21">
            <v>39.712558060242323</v>
          </cell>
          <cell r="F21"/>
          <cell r="G21">
            <v>39.712558060242323</v>
          </cell>
        </row>
        <row r="22">
          <cell r="B22">
            <v>2035</v>
          </cell>
          <cell r="C22">
            <v>0</v>
          </cell>
          <cell r="D22"/>
          <cell r="E22">
            <v>40.446077383620334</v>
          </cell>
          <cell r="F22"/>
          <cell r="G22">
            <v>40.446077383620334</v>
          </cell>
        </row>
        <row r="23">
          <cell r="B23">
            <v>2036</v>
          </cell>
          <cell r="C23">
            <v>0</v>
          </cell>
          <cell r="D23"/>
          <cell r="E23">
            <v>41.698225001756761</v>
          </cell>
          <cell r="F23"/>
          <cell r="G23">
            <v>41.698225001756761</v>
          </cell>
        </row>
        <row r="24">
          <cell r="B24">
            <v>2037</v>
          </cell>
          <cell r="C24">
            <v>0</v>
          </cell>
          <cell r="D24"/>
          <cell r="E24">
            <v>43.681556652044513</v>
          </cell>
          <cell r="F24"/>
          <cell r="G24">
            <v>43.681556652044513</v>
          </cell>
        </row>
        <row r="25">
          <cell r="B25">
            <v>2038</v>
          </cell>
          <cell r="C25">
            <v>0</v>
          </cell>
          <cell r="D25"/>
          <cell r="E25">
            <v>45.330821175727991</v>
          </cell>
          <cell r="F25"/>
          <cell r="G25">
            <v>45.330821175727991</v>
          </cell>
        </row>
        <row r="26">
          <cell r="B26">
            <v>2039</v>
          </cell>
          <cell r="C26">
            <v>0</v>
          </cell>
          <cell r="D26"/>
          <cell r="E26">
            <v>46.470047752842959</v>
          </cell>
          <cell r="F26"/>
          <cell r="G26">
            <v>46.470047752842959</v>
          </cell>
        </row>
        <row r="27">
          <cell r="B27">
            <v>2040</v>
          </cell>
          <cell r="C27">
            <v>0</v>
          </cell>
          <cell r="D27"/>
          <cell r="E27">
            <v>47.18582038457221</v>
          </cell>
          <cell r="F27"/>
          <cell r="G27">
            <v>47.18582038457221</v>
          </cell>
        </row>
        <row r="28">
          <cell r="B28">
            <v>2041</v>
          </cell>
          <cell r="C28">
            <v>0</v>
          </cell>
          <cell r="D28"/>
          <cell r="E28">
            <v>49.182183714212734</v>
          </cell>
          <cell r="F28"/>
          <cell r="G28">
            <v>49.182183714212734</v>
          </cell>
        </row>
        <row r="29">
          <cell r="B29">
            <v>2042</v>
          </cell>
          <cell r="C29">
            <v>0</v>
          </cell>
          <cell r="D29"/>
          <cell r="E29">
            <v>54.141931335827387</v>
          </cell>
          <cell r="F29"/>
          <cell r="G29">
            <v>54.141931335827387</v>
          </cell>
        </row>
        <row r="30">
          <cell r="B30">
            <v>2043</v>
          </cell>
          <cell r="C30">
            <v>0</v>
          </cell>
          <cell r="D30"/>
          <cell r="E30">
            <v>60.045014477062203</v>
          </cell>
          <cell r="F30"/>
          <cell r="G30">
            <v>60.045014477062203</v>
          </cell>
        </row>
        <row r="31">
          <cell r="B31">
            <v>2044</v>
          </cell>
          <cell r="C31">
            <v>0</v>
          </cell>
          <cell r="D31"/>
          <cell r="E31">
            <v>62.580926711975117</v>
          </cell>
          <cell r="F31"/>
          <cell r="G31">
            <v>62.580926711975117</v>
          </cell>
        </row>
        <row r="32">
          <cell r="B32">
            <v>2045</v>
          </cell>
          <cell r="C32">
            <v>0</v>
          </cell>
          <cell r="D32"/>
          <cell r="E32">
            <v>64.120383218170943</v>
          </cell>
          <cell r="F32"/>
          <cell r="G32">
            <v>64.120383218170943</v>
          </cell>
        </row>
        <row r="33">
          <cell r="B33">
            <v>2046</v>
          </cell>
          <cell r="C33">
            <v>0</v>
          </cell>
          <cell r="D33"/>
          <cell r="E33">
            <v>65.518207572327086</v>
          </cell>
          <cell r="F33"/>
          <cell r="G33">
            <v>65.518207572327086</v>
          </cell>
        </row>
        <row r="34">
          <cell r="B34">
            <v>2047</v>
          </cell>
          <cell r="C34">
            <v>0</v>
          </cell>
          <cell r="D34"/>
          <cell r="E34">
            <v>66.946504497403808</v>
          </cell>
          <cell r="F34"/>
          <cell r="G34">
            <v>66.946504497403808</v>
          </cell>
        </row>
        <row r="35">
          <cell r="B35">
            <v>2048</v>
          </cell>
          <cell r="C35">
            <v>0</v>
          </cell>
          <cell r="D35"/>
          <cell r="E35" t="e">
            <v>#DIV/0!</v>
          </cell>
          <cell r="F35"/>
          <cell r="G35" t="e">
            <v>#DIV/0!</v>
          </cell>
        </row>
        <row r="36">
          <cell r="B36">
            <v>2049</v>
          </cell>
          <cell r="C36">
            <v>0</v>
          </cell>
          <cell r="D36"/>
          <cell r="E36" t="e">
            <v>#DIV/0!</v>
          </cell>
          <cell r="F36"/>
          <cell r="G36" t="e">
            <v>#DIV/0!</v>
          </cell>
        </row>
        <row r="37">
          <cell r="B37">
            <v>2050</v>
          </cell>
          <cell r="C37">
            <v>0</v>
          </cell>
          <cell r="D37"/>
          <cell r="E37" t="e">
            <v>#DIV/0!</v>
          </cell>
          <cell r="F37"/>
          <cell r="G37" t="e">
            <v>#DIV/0!</v>
          </cell>
        </row>
        <row r="57">
          <cell r="G57">
            <v>37.404922751653388</v>
          </cell>
        </row>
        <row r="62">
          <cell r="G62">
            <v>38.95038729290053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E.3"/>
      <sheetName val="Table 1"/>
      <sheetName val="Table 2"/>
      <sheetName val="Table 4"/>
      <sheetName val="Table 5"/>
      <sheetName val="Table3Compare"/>
      <sheetName val="2025 IRP Assumptions"/>
      <sheetName val="Table 3 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NTN._.PTC.2031"/>
      <sheetName val="PV_.PX.BDG._.PTC.2031"/>
      <sheetName val="PV_.PX.HTG._.PTC.2031"/>
      <sheetName val="PV_.PX.UTS._.PTC.2031"/>
      <sheetName val="GSC.PX.BDG._.___.Frame 2030"/>
      <sheetName val="Appendix D.3"/>
    </sheetNames>
    <sheetDataSet>
      <sheetData sheetId="0" refreshError="1"/>
      <sheetData sheetId="1">
        <row r="1">
          <cell r="B1" t="str">
            <v>Appendix B</v>
          </cell>
        </row>
        <row r="13">
          <cell r="B13">
            <v>2026</v>
          </cell>
          <cell r="C13">
            <v>0</v>
          </cell>
          <cell r="D13"/>
          <cell r="E13">
            <v>21.122956052227646</v>
          </cell>
          <cell r="F13"/>
          <cell r="G13">
            <v>21.122956052227646</v>
          </cell>
        </row>
        <row r="14">
          <cell r="B14">
            <v>2027</v>
          </cell>
          <cell r="C14">
            <v>0</v>
          </cell>
          <cell r="D14"/>
          <cell r="E14">
            <v>24.179183396370561</v>
          </cell>
          <cell r="F14"/>
          <cell r="G14">
            <v>24.179183396370561</v>
          </cell>
        </row>
        <row r="15">
          <cell r="B15">
            <v>2028</v>
          </cell>
          <cell r="C15">
            <v>0</v>
          </cell>
          <cell r="D15"/>
          <cell r="E15">
            <v>25.435081309664611</v>
          </cell>
          <cell r="F15"/>
          <cell r="G15">
            <v>25.435081309664611</v>
          </cell>
        </row>
        <row r="16">
          <cell r="B16">
            <v>2029</v>
          </cell>
          <cell r="C16">
            <v>0</v>
          </cell>
          <cell r="D16"/>
          <cell r="E16">
            <v>27.886136586767041</v>
          </cell>
          <cell r="F16"/>
          <cell r="G16">
            <v>27.886136586767041</v>
          </cell>
        </row>
        <row r="17">
          <cell r="B17">
            <v>2030</v>
          </cell>
          <cell r="C17">
            <v>0</v>
          </cell>
          <cell r="D17"/>
          <cell r="E17">
            <v>29.046739909209773</v>
          </cell>
          <cell r="F17"/>
          <cell r="G17">
            <v>29.046739909209773</v>
          </cell>
        </row>
        <row r="18">
          <cell r="B18">
            <v>2031</v>
          </cell>
          <cell r="C18">
            <v>0</v>
          </cell>
          <cell r="D18"/>
          <cell r="E18">
            <v>29.778625151242498</v>
          </cell>
          <cell r="F18"/>
          <cell r="G18">
            <v>29.778625151242498</v>
          </cell>
        </row>
        <row r="19">
          <cell r="B19">
            <v>2032</v>
          </cell>
          <cell r="C19">
            <v>0</v>
          </cell>
          <cell r="D19"/>
          <cell r="E19">
            <v>27.505858405744409</v>
          </cell>
          <cell r="F19"/>
          <cell r="G19">
            <v>27.505858405744409</v>
          </cell>
        </row>
        <row r="20">
          <cell r="B20">
            <v>2033</v>
          </cell>
          <cell r="C20">
            <v>0</v>
          </cell>
          <cell r="D20"/>
          <cell r="E20">
            <v>27.704622012824927</v>
          </cell>
          <cell r="F20"/>
          <cell r="G20">
            <v>27.704622012824927</v>
          </cell>
        </row>
        <row r="21">
          <cell r="B21">
            <v>2034</v>
          </cell>
          <cell r="C21">
            <v>0</v>
          </cell>
          <cell r="D21"/>
          <cell r="E21">
            <v>29.031046327629795</v>
          </cell>
          <cell r="F21"/>
          <cell r="G21">
            <v>29.031046327629795</v>
          </cell>
        </row>
        <row r="22">
          <cell r="B22">
            <v>2035</v>
          </cell>
          <cell r="C22">
            <v>0</v>
          </cell>
          <cell r="D22"/>
          <cell r="E22">
            <v>29.73720378411398</v>
          </cell>
          <cell r="F22"/>
          <cell r="G22">
            <v>29.73720378411398</v>
          </cell>
        </row>
        <row r="23">
          <cell r="B23">
            <v>2036</v>
          </cell>
          <cell r="C23">
            <v>0</v>
          </cell>
          <cell r="D23"/>
          <cell r="E23">
            <v>30.158188319692734</v>
          </cell>
          <cell r="F23"/>
          <cell r="G23">
            <v>30.158188319692734</v>
          </cell>
        </row>
        <row r="24">
          <cell r="B24">
            <v>2037</v>
          </cell>
          <cell r="C24">
            <v>0</v>
          </cell>
          <cell r="D24"/>
          <cell r="E24">
            <v>33.178579631677046</v>
          </cell>
          <cell r="F24"/>
          <cell r="G24">
            <v>33.178579631677046</v>
          </cell>
        </row>
        <row r="25">
          <cell r="B25">
            <v>2038</v>
          </cell>
          <cell r="C25">
            <v>0</v>
          </cell>
          <cell r="D25"/>
          <cell r="E25">
            <v>33.395615936882358</v>
          </cell>
          <cell r="F25"/>
          <cell r="G25">
            <v>33.395615936882358</v>
          </cell>
        </row>
        <row r="26">
          <cell r="B26">
            <v>2039</v>
          </cell>
          <cell r="C26">
            <v>0</v>
          </cell>
          <cell r="D26"/>
          <cell r="E26">
            <v>34.589387371033432</v>
          </cell>
          <cell r="F26"/>
          <cell r="G26">
            <v>34.589387371033432</v>
          </cell>
        </row>
        <row r="27">
          <cell r="B27">
            <v>2040</v>
          </cell>
          <cell r="C27">
            <v>0</v>
          </cell>
          <cell r="D27"/>
          <cell r="E27">
            <v>34.22991003790397</v>
          </cell>
          <cell r="F27"/>
          <cell r="G27">
            <v>34.22991003790397</v>
          </cell>
        </row>
        <row r="28">
          <cell r="B28">
            <v>2041</v>
          </cell>
          <cell r="C28">
            <v>0</v>
          </cell>
          <cell r="D28"/>
          <cell r="E28">
            <v>36.817818540588178</v>
          </cell>
          <cell r="F28"/>
          <cell r="G28">
            <v>36.817818540588178</v>
          </cell>
        </row>
        <row r="29">
          <cell r="B29">
            <v>2042</v>
          </cell>
          <cell r="C29">
            <v>0</v>
          </cell>
          <cell r="D29"/>
          <cell r="E29">
            <v>43.852629345736155</v>
          </cell>
          <cell r="F29"/>
          <cell r="G29">
            <v>43.852629345736155</v>
          </cell>
        </row>
        <row r="30">
          <cell r="B30">
            <v>2043</v>
          </cell>
          <cell r="C30">
            <v>0</v>
          </cell>
          <cell r="D30"/>
          <cell r="E30">
            <v>49.278319832731917</v>
          </cell>
          <cell r="F30"/>
          <cell r="G30">
            <v>49.278319832731917</v>
          </cell>
        </row>
        <row r="31">
          <cell r="B31">
            <v>2044</v>
          </cell>
          <cell r="C31">
            <v>0</v>
          </cell>
          <cell r="D31"/>
          <cell r="E31">
            <v>50.270587448331625</v>
          </cell>
          <cell r="F31"/>
          <cell r="G31">
            <v>50.270587448331625</v>
          </cell>
        </row>
        <row r="32">
          <cell r="B32">
            <v>2045</v>
          </cell>
          <cell r="C32">
            <v>0</v>
          </cell>
          <cell r="D32"/>
          <cell r="E32">
            <v>51.527374214718904</v>
          </cell>
          <cell r="F32"/>
          <cell r="G32">
            <v>51.527374214718904</v>
          </cell>
        </row>
        <row r="33">
          <cell r="B33">
            <v>2046</v>
          </cell>
          <cell r="C33">
            <v>0</v>
          </cell>
          <cell r="D33"/>
          <cell r="E33">
            <v>52.650670972599769</v>
          </cell>
          <cell r="F33"/>
          <cell r="G33">
            <v>52.650670972599769</v>
          </cell>
        </row>
        <row r="34">
          <cell r="B34">
            <v>2047</v>
          </cell>
          <cell r="C34">
            <v>0</v>
          </cell>
          <cell r="D34"/>
          <cell r="E34">
            <v>53.798455599802445</v>
          </cell>
          <cell r="F34"/>
          <cell r="G34">
            <v>53.798455599802445</v>
          </cell>
        </row>
        <row r="35">
          <cell r="B35">
            <v>2048</v>
          </cell>
          <cell r="C35">
            <v>0</v>
          </cell>
          <cell r="D35"/>
          <cell r="E35">
            <v>54.79962085126067</v>
          </cell>
          <cell r="F35"/>
          <cell r="G35">
            <v>54.79962085126067</v>
          </cell>
        </row>
        <row r="36">
          <cell r="B36">
            <v>2049</v>
          </cell>
          <cell r="C36">
            <v>0</v>
          </cell>
          <cell r="D36"/>
          <cell r="E36">
            <v>56.169635441993094</v>
          </cell>
          <cell r="F36"/>
          <cell r="G36">
            <v>56.169635441993094</v>
          </cell>
        </row>
        <row r="37">
          <cell r="B37">
            <v>2050</v>
          </cell>
          <cell r="C37">
            <v>0</v>
          </cell>
          <cell r="D37"/>
          <cell r="E37">
            <v>57.394133494628548</v>
          </cell>
          <cell r="F37"/>
          <cell r="G37">
            <v>57.394133494628548</v>
          </cell>
        </row>
        <row r="38">
          <cell r="B38">
            <v>2051</v>
          </cell>
          <cell r="C38">
            <v>0</v>
          </cell>
          <cell r="D38"/>
          <cell r="E38" t="e">
            <v>#DIV/0!</v>
          </cell>
          <cell r="F38"/>
          <cell r="G38" t="e">
            <v>#DIV/0!</v>
          </cell>
        </row>
        <row r="39">
          <cell r="B39">
            <v>2052</v>
          </cell>
          <cell r="C39">
            <v>0</v>
          </cell>
          <cell r="D39"/>
          <cell r="E39" t="e">
            <v>#DIV/0!</v>
          </cell>
          <cell r="F39"/>
          <cell r="G39" t="e">
            <v>#DIV/0!</v>
          </cell>
        </row>
        <row r="40">
          <cell r="B40">
            <v>2053</v>
          </cell>
          <cell r="C40">
            <v>0</v>
          </cell>
          <cell r="D40"/>
          <cell r="E40" t="e">
            <v>#DIV/0!</v>
          </cell>
          <cell r="F40"/>
          <cell r="G40" t="e">
            <v>#DIV/0!</v>
          </cell>
        </row>
        <row r="41">
          <cell r="B41">
            <v>2054</v>
          </cell>
          <cell r="C41">
            <v>0</v>
          </cell>
          <cell r="D41"/>
          <cell r="E41" t="e">
            <v>#DIV/0!</v>
          </cell>
          <cell r="F41"/>
          <cell r="G41" t="e">
            <v>#DIV/0!</v>
          </cell>
        </row>
        <row r="42">
          <cell r="B42"/>
          <cell r="C42"/>
          <cell r="D42"/>
          <cell r="E42"/>
          <cell r="F42"/>
          <cell r="G42"/>
        </row>
        <row r="57">
          <cell r="G57">
            <v>28.165483902769402</v>
          </cell>
        </row>
        <row r="62">
          <cell r="G62">
            <v>29.271867506602192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1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NTN._.PTC.2031"/>
      <sheetName val="PV_.PX.BDG._.PTC.2031"/>
      <sheetName val="PV_.PX.HTG._.PTC.2031"/>
      <sheetName val="PV_.PX.UTS._.PTC.2031"/>
      <sheetName val="GSC.PX.BDG._.___.Frame 2030"/>
      <sheetName val="8_Appendix D"/>
    </sheetNames>
    <sheetDataSet>
      <sheetData sheetId="0"/>
      <sheetData sheetId="1">
        <row r="13">
          <cell r="B13">
            <v>2026</v>
          </cell>
          <cell r="C13">
            <v>0</v>
          </cell>
          <cell r="D13"/>
          <cell r="E13">
            <v>27.407915346386115</v>
          </cell>
          <cell r="F13"/>
          <cell r="G13">
            <v>27.407915346386115</v>
          </cell>
        </row>
        <row r="14">
          <cell r="B14">
            <v>2027</v>
          </cell>
          <cell r="C14">
            <v>0</v>
          </cell>
          <cell r="D14"/>
          <cell r="E14">
            <v>30.549249414416046</v>
          </cell>
          <cell r="F14"/>
          <cell r="G14">
            <v>30.549249414416046</v>
          </cell>
        </row>
        <row r="15">
          <cell r="B15">
            <v>2028</v>
          </cell>
          <cell r="C15">
            <v>0</v>
          </cell>
          <cell r="D15"/>
          <cell r="E15">
            <v>32.091708861572961</v>
          </cell>
          <cell r="F15"/>
          <cell r="G15">
            <v>32.091708861572961</v>
          </cell>
        </row>
        <row r="16">
          <cell r="B16">
            <v>2029</v>
          </cell>
          <cell r="C16">
            <v>0</v>
          </cell>
          <cell r="D16"/>
          <cell r="E16">
            <v>35.390984479640558</v>
          </cell>
          <cell r="F16"/>
          <cell r="G16">
            <v>35.390984479640558</v>
          </cell>
        </row>
        <row r="17">
          <cell r="B17">
            <v>2030</v>
          </cell>
          <cell r="C17">
            <v>0</v>
          </cell>
          <cell r="D17"/>
          <cell r="E17">
            <v>38.461428658875782</v>
          </cell>
          <cell r="F17"/>
          <cell r="G17">
            <v>38.461428658875782</v>
          </cell>
        </row>
        <row r="18">
          <cell r="B18">
            <v>2031</v>
          </cell>
          <cell r="C18">
            <v>0</v>
          </cell>
          <cell r="D18"/>
          <cell r="E18">
            <v>38.962032022310616</v>
          </cell>
          <cell r="F18"/>
          <cell r="G18">
            <v>38.962032022310616</v>
          </cell>
        </row>
        <row r="19">
          <cell r="B19">
            <v>2032</v>
          </cell>
          <cell r="C19">
            <v>0</v>
          </cell>
          <cell r="D19"/>
          <cell r="E19">
            <v>37.802637703219126</v>
          </cell>
          <cell r="F19"/>
          <cell r="G19">
            <v>37.802637703219126</v>
          </cell>
        </row>
        <row r="20">
          <cell r="B20">
            <v>2033</v>
          </cell>
          <cell r="C20">
            <v>0</v>
          </cell>
          <cell r="D20"/>
          <cell r="E20">
            <v>38.364413473638251</v>
          </cell>
          <cell r="F20"/>
          <cell r="G20">
            <v>38.364413473638251</v>
          </cell>
        </row>
        <row r="21">
          <cell r="B21">
            <v>2034</v>
          </cell>
          <cell r="C21">
            <v>0</v>
          </cell>
          <cell r="D21"/>
          <cell r="E21">
            <v>39.712558060242323</v>
          </cell>
          <cell r="F21"/>
          <cell r="G21">
            <v>39.712558060242323</v>
          </cell>
        </row>
        <row r="22">
          <cell r="B22">
            <v>2035</v>
          </cell>
          <cell r="C22">
            <v>0</v>
          </cell>
          <cell r="D22"/>
          <cell r="E22">
            <v>40.446077383620334</v>
          </cell>
          <cell r="F22"/>
          <cell r="G22">
            <v>40.446077383620334</v>
          </cell>
        </row>
        <row r="23">
          <cell r="B23">
            <v>2036</v>
          </cell>
          <cell r="C23">
            <v>0</v>
          </cell>
          <cell r="D23"/>
          <cell r="E23">
            <v>41.698225001756761</v>
          </cell>
          <cell r="F23"/>
          <cell r="G23">
            <v>41.698225001756761</v>
          </cell>
        </row>
        <row r="24">
          <cell r="B24">
            <v>2037</v>
          </cell>
          <cell r="C24">
            <v>0</v>
          </cell>
          <cell r="D24"/>
          <cell r="E24">
            <v>43.681556652044513</v>
          </cell>
          <cell r="F24"/>
          <cell r="G24">
            <v>43.681556652044513</v>
          </cell>
        </row>
        <row r="25">
          <cell r="B25">
            <v>2038</v>
          </cell>
          <cell r="C25">
            <v>0</v>
          </cell>
          <cell r="D25"/>
          <cell r="E25">
            <v>45.330821175727991</v>
          </cell>
          <cell r="F25"/>
          <cell r="G25">
            <v>45.330821175727991</v>
          </cell>
        </row>
        <row r="26">
          <cell r="B26">
            <v>2039</v>
          </cell>
          <cell r="C26">
            <v>0</v>
          </cell>
          <cell r="D26"/>
          <cell r="E26">
            <v>46.470047752842959</v>
          </cell>
          <cell r="F26"/>
          <cell r="G26">
            <v>46.470047752842959</v>
          </cell>
        </row>
        <row r="27">
          <cell r="B27">
            <v>2040</v>
          </cell>
          <cell r="C27">
            <v>0</v>
          </cell>
          <cell r="D27"/>
          <cell r="E27">
            <v>47.18582038457221</v>
          </cell>
          <cell r="F27"/>
          <cell r="G27">
            <v>47.18582038457221</v>
          </cell>
        </row>
        <row r="28">
          <cell r="B28">
            <v>2041</v>
          </cell>
          <cell r="C28">
            <v>0</v>
          </cell>
          <cell r="D28"/>
          <cell r="E28">
            <v>49.182183714212734</v>
          </cell>
          <cell r="F28"/>
          <cell r="G28">
            <v>49.182183714212734</v>
          </cell>
        </row>
        <row r="29">
          <cell r="B29">
            <v>2042</v>
          </cell>
          <cell r="C29">
            <v>0</v>
          </cell>
          <cell r="D29"/>
          <cell r="E29">
            <v>54.141931335827387</v>
          </cell>
          <cell r="F29"/>
          <cell r="G29">
            <v>54.141931335827387</v>
          </cell>
        </row>
        <row r="30">
          <cell r="B30">
            <v>2043</v>
          </cell>
          <cell r="C30">
            <v>0</v>
          </cell>
          <cell r="D30"/>
          <cell r="E30">
            <v>60.045014477062203</v>
          </cell>
          <cell r="F30"/>
          <cell r="G30">
            <v>60.045014477062203</v>
          </cell>
        </row>
        <row r="31">
          <cell r="B31">
            <v>2044</v>
          </cell>
          <cell r="C31">
            <v>0</v>
          </cell>
          <cell r="D31"/>
          <cell r="E31">
            <v>62.580926711975117</v>
          </cell>
          <cell r="F31"/>
          <cell r="G31">
            <v>62.580926711975117</v>
          </cell>
        </row>
        <row r="32">
          <cell r="B32">
            <v>2045</v>
          </cell>
          <cell r="C32">
            <v>0</v>
          </cell>
          <cell r="D32"/>
          <cell r="E32">
            <v>64.120383218170943</v>
          </cell>
          <cell r="F32"/>
          <cell r="G32">
            <v>64.120383218170943</v>
          </cell>
        </row>
        <row r="33">
          <cell r="B33">
            <v>2046</v>
          </cell>
          <cell r="C33">
            <v>0</v>
          </cell>
          <cell r="D33"/>
          <cell r="E33">
            <v>65.518207572327086</v>
          </cell>
          <cell r="F33"/>
          <cell r="G33">
            <v>65.518207572327086</v>
          </cell>
        </row>
        <row r="57">
          <cell r="G57">
            <v>37.404922751653388</v>
          </cell>
        </row>
        <row r="62">
          <cell r="G62">
            <v>38.95038729290053</v>
          </cell>
        </row>
      </sheetData>
      <sheetData sheetId="2"/>
      <sheetData sheetId="3"/>
      <sheetData sheetId="4">
        <row r="6">
          <cell r="M6">
            <v>100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ppendix D.2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2026</v>
          </cell>
          <cell r="C13">
            <v>0</v>
          </cell>
          <cell r="D13"/>
          <cell r="E13">
            <v>17.693435394804801</v>
          </cell>
          <cell r="F13"/>
          <cell r="G13">
            <v>17.693435394804801</v>
          </cell>
        </row>
        <row r="14">
          <cell r="B14">
            <v>2027</v>
          </cell>
          <cell r="C14">
            <v>0</v>
          </cell>
          <cell r="D14"/>
          <cell r="E14">
            <v>20.687543119075965</v>
          </cell>
          <cell r="F14"/>
          <cell r="G14">
            <v>20.687543119075965</v>
          </cell>
        </row>
        <row r="15">
          <cell r="B15">
            <v>2028</v>
          </cell>
          <cell r="C15">
            <v>0</v>
          </cell>
          <cell r="D15"/>
          <cell r="E15">
            <v>22.025375865581289</v>
          </cell>
          <cell r="F15"/>
          <cell r="G15">
            <v>22.025375865581289</v>
          </cell>
        </row>
        <row r="16">
          <cell r="B16">
            <v>2029</v>
          </cell>
          <cell r="C16">
            <v>0</v>
          </cell>
          <cell r="D16"/>
          <cell r="E16">
            <v>24.780866953527429</v>
          </cell>
          <cell r="F16"/>
          <cell r="G16">
            <v>24.780866953527429</v>
          </cell>
        </row>
        <row r="17">
          <cell r="B17">
            <v>2030</v>
          </cell>
          <cell r="C17">
            <v>0</v>
          </cell>
          <cell r="D17"/>
          <cell r="E17">
            <v>24.029798225878316</v>
          </cell>
          <cell r="F17"/>
          <cell r="G17">
            <v>24.029798225878316</v>
          </cell>
        </row>
        <row r="18">
          <cell r="B18">
            <v>2031</v>
          </cell>
          <cell r="C18">
            <v>97.92304792875585</v>
          </cell>
          <cell r="D18"/>
          <cell r="E18">
            <v>-49.432286647799394</v>
          </cell>
          <cell r="F18"/>
          <cell r="G18">
            <v>-11.30978116739926</v>
          </cell>
        </row>
        <row r="19">
          <cell r="B19">
            <v>2032</v>
          </cell>
          <cell r="C19">
            <v>100.05777034643907</v>
          </cell>
          <cell r="D19"/>
          <cell r="E19">
            <v>-50.233719215360111</v>
          </cell>
          <cell r="F19"/>
          <cell r="G19">
            <v>-11.121541941000713</v>
          </cell>
        </row>
        <row r="20">
          <cell r="B20">
            <v>2033</v>
          </cell>
          <cell r="C20">
            <v>102.23902974118711</v>
          </cell>
          <cell r="D20"/>
          <cell r="E20">
            <v>-51.590344383461073</v>
          </cell>
          <cell r="F20"/>
          <cell r="G20">
            <v>-11.354400687373129</v>
          </cell>
        </row>
        <row r="21">
          <cell r="B21">
            <v>2034</v>
          </cell>
          <cell r="C21">
            <v>104.46784066576485</v>
          </cell>
          <cell r="D21"/>
          <cell r="E21">
            <v>-52.838971826830793</v>
          </cell>
          <cell r="F21"/>
          <cell r="G21">
            <v>-11.56247035055431</v>
          </cell>
        </row>
        <row r="22">
          <cell r="B22">
            <v>2035</v>
          </cell>
          <cell r="C22">
            <v>106.74523956551904</v>
          </cell>
          <cell r="D22"/>
          <cell r="E22">
            <v>-54.79606031699268</v>
          </cell>
          <cell r="F22"/>
          <cell r="G22">
            <v>-12.360617421896267</v>
          </cell>
        </row>
        <row r="23">
          <cell r="B23">
            <v>2036</v>
          </cell>
          <cell r="C23">
            <v>109.0722857888052</v>
          </cell>
          <cell r="D23"/>
          <cell r="E23">
            <v>-56.39221208964485</v>
          </cell>
          <cell r="F23"/>
          <cell r="G23">
            <v>-12.84450328082918</v>
          </cell>
        </row>
        <row r="24">
          <cell r="B24">
            <v>2037</v>
          </cell>
          <cell r="C24">
            <v>111.45006158698747</v>
          </cell>
          <cell r="D24"/>
          <cell r="E24">
            <v>-58.177113419664401</v>
          </cell>
          <cell r="F24"/>
          <cell r="G24">
            <v>-13.454868752679323</v>
          </cell>
        </row>
        <row r="25">
          <cell r="B25">
            <v>2038</v>
          </cell>
          <cell r="C25">
            <v>113.87967295646115</v>
          </cell>
          <cell r="D25"/>
          <cell r="E25">
            <v>-58.731572096428806</v>
          </cell>
          <cell r="F25"/>
          <cell r="G25">
            <v>-12.764479806282628</v>
          </cell>
        </row>
        <row r="26">
          <cell r="B26">
            <v>2039</v>
          </cell>
          <cell r="C26">
            <v>116.36224980705713</v>
          </cell>
          <cell r="D26"/>
          <cell r="E26">
            <v>-59.954839662441977</v>
          </cell>
          <cell r="F26"/>
          <cell r="G26">
            <v>-12.76075328790542</v>
          </cell>
        </row>
        <row r="27">
          <cell r="B27">
            <v>2040</v>
          </cell>
          <cell r="C27">
            <v>118.89894688826641</v>
          </cell>
          <cell r="D27"/>
          <cell r="E27">
            <v>-62.610133299359177</v>
          </cell>
          <cell r="F27"/>
          <cell r="G27">
            <v>-14.257465348842977</v>
          </cell>
        </row>
        <row r="28">
          <cell r="B28">
            <v>2041</v>
          </cell>
          <cell r="C28">
            <v>121.49094387344255</v>
          </cell>
          <cell r="D28"/>
          <cell r="E28">
            <v>-1.9001796066904508</v>
          </cell>
          <cell r="F28"/>
          <cell r="G28">
            <v>47.869066078917093</v>
          </cell>
        </row>
        <row r="29">
          <cell r="B29">
            <v>2042</v>
          </cell>
          <cell r="C29">
            <v>124.1394464544305</v>
          </cell>
          <cell r="D29"/>
          <cell r="E29">
            <v>-1.9765113572177715</v>
          </cell>
          <cell r="F29"/>
          <cell r="G29">
            <v>49.088785813791404</v>
          </cell>
        </row>
        <row r="30">
          <cell r="B30">
            <v>2043</v>
          </cell>
          <cell r="C30">
            <v>126.8456864257691</v>
          </cell>
          <cell r="D30"/>
          <cell r="E30">
            <v>-1.8745643159432532</v>
          </cell>
          <cell r="F30"/>
          <cell r="G30">
            <v>50.578344083362246</v>
          </cell>
        </row>
        <row r="31">
          <cell r="B31">
            <v>2044</v>
          </cell>
          <cell r="C31">
            <v>129.6109223583087</v>
          </cell>
          <cell r="D31"/>
          <cell r="E31">
            <v>-2.2654478512558756</v>
          </cell>
          <cell r="F31"/>
          <cell r="G31">
            <v>51.585653375896719</v>
          </cell>
        </row>
        <row r="32">
          <cell r="B32">
            <v>2045</v>
          </cell>
          <cell r="C32">
            <v>132.43644052543604</v>
          </cell>
          <cell r="D32"/>
          <cell r="E32">
            <v>-2.3316110035925015</v>
          </cell>
          <cell r="F32"/>
          <cell r="G32">
            <v>53.092229436527404</v>
          </cell>
        </row>
        <row r="33">
          <cell r="B33">
            <v>2046</v>
          </cell>
          <cell r="C33">
            <v>135.32355490307413</v>
          </cell>
          <cell r="D33"/>
          <cell r="E33">
            <v>-2.394412184392781</v>
          </cell>
          <cell r="F33"/>
          <cell r="G33">
            <v>54.522251283858971</v>
          </cell>
        </row>
        <row r="57">
          <cell r="G57">
            <v>2.9251750749488328</v>
          </cell>
        </row>
        <row r="62">
          <cell r="G62">
            <v>3.1206879269463199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3"/>
      <sheetName val="Table 1"/>
      <sheetName val="Table 2"/>
      <sheetName val="Table 4"/>
      <sheetName val="Table 5"/>
      <sheetName val="Table3Compare"/>
      <sheetName val="2025 IRP Assumptions"/>
      <sheetName val="Table 3 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NTN._.PTC.2031"/>
      <sheetName val="PV_.PX.BDG._.PTC.2031"/>
      <sheetName val="PV_.PX.HTG._.PTC.2031"/>
      <sheetName val="PV_.PX.UTS._.PTC.2031"/>
      <sheetName val="GSC.PX.BDG._.___.Frame 2030"/>
      <sheetName val="8_Appendix D"/>
    </sheetNames>
    <sheetDataSet>
      <sheetData sheetId="0"/>
      <sheetData sheetId="1">
        <row r="13">
          <cell r="B13">
            <v>2026</v>
          </cell>
          <cell r="C13">
            <v>0</v>
          </cell>
          <cell r="D13"/>
          <cell r="E13">
            <v>21.172259907329156</v>
          </cell>
          <cell r="F13"/>
          <cell r="G13">
            <v>21.172259907329156</v>
          </cell>
        </row>
        <row r="14">
          <cell r="B14">
            <v>2027</v>
          </cell>
          <cell r="C14">
            <v>0</v>
          </cell>
          <cell r="D14"/>
          <cell r="E14">
            <v>24.252065928193758</v>
          </cell>
          <cell r="F14"/>
          <cell r="G14">
            <v>24.252065928193758</v>
          </cell>
        </row>
        <row r="15">
          <cell r="B15">
            <v>2028</v>
          </cell>
          <cell r="C15">
            <v>0</v>
          </cell>
          <cell r="D15"/>
          <cell r="E15">
            <v>25.381324963702042</v>
          </cell>
          <cell r="F15"/>
          <cell r="G15">
            <v>25.381324963702042</v>
          </cell>
        </row>
        <row r="16">
          <cell r="B16">
            <v>2029</v>
          </cell>
          <cell r="C16">
            <v>87.012450721802509</v>
          </cell>
          <cell r="D16"/>
          <cell r="E16">
            <v>-37.708922993989304</v>
          </cell>
          <cell r="F16"/>
          <cell r="G16">
            <v>-4.9684260347645886</v>
          </cell>
        </row>
        <row r="17">
          <cell r="B17">
            <v>2030</v>
          </cell>
          <cell r="C17">
            <v>88.909322101713684</v>
          </cell>
          <cell r="D17"/>
          <cell r="E17">
            <v>-40.182582842210557</v>
          </cell>
          <cell r="F17"/>
          <cell r="G17">
            <v>-6.7748639231400754</v>
          </cell>
        </row>
        <row r="18">
          <cell r="B18">
            <v>2031</v>
          </cell>
          <cell r="C18">
            <v>90.847545320437561</v>
          </cell>
          <cell r="D18"/>
          <cell r="E18">
            <v>-42.654597512852199</v>
          </cell>
          <cell r="F18"/>
          <cell r="G18">
            <v>-8.5522953652737517</v>
          </cell>
        </row>
        <row r="19">
          <cell r="B19">
            <v>2032</v>
          </cell>
          <cell r="C19">
            <v>92.828021783222212</v>
          </cell>
          <cell r="D19"/>
          <cell r="E19">
            <v>-45.105255605456122</v>
          </cell>
          <cell r="F19"/>
          <cell r="G19">
            <v>-10.33402792577302</v>
          </cell>
        </row>
        <row r="20">
          <cell r="B20">
            <v>2033</v>
          </cell>
          <cell r="C20">
            <v>94.851672659205718</v>
          </cell>
          <cell r="D20"/>
          <cell r="E20">
            <v>-44.736406575680633</v>
          </cell>
          <cell r="F20"/>
          <cell r="G20">
            <v>-9.0611762360626305</v>
          </cell>
        </row>
        <row r="21">
          <cell r="B21">
            <v>2034</v>
          </cell>
          <cell r="C21">
            <v>96.919439193888962</v>
          </cell>
          <cell r="D21"/>
          <cell r="E21">
            <v>-45.523676484182502</v>
          </cell>
          <cell r="F21"/>
          <cell r="G21">
            <v>-9.0786668942295758</v>
          </cell>
        </row>
        <row r="22">
          <cell r="B22">
            <v>2035</v>
          </cell>
          <cell r="C22">
            <v>99.032282943489761</v>
          </cell>
          <cell r="D22"/>
          <cell r="E22">
            <v>-46.997289095428442</v>
          </cell>
          <cell r="F22"/>
          <cell r="G22">
            <v>-9.734045367896293</v>
          </cell>
        </row>
        <row r="23">
          <cell r="B23">
            <v>2036</v>
          </cell>
          <cell r="C23">
            <v>101.19118671236092</v>
          </cell>
          <cell r="D23"/>
          <cell r="E23">
            <v>-50.507995471933391</v>
          </cell>
          <cell r="F23"/>
          <cell r="G23">
            <v>-12.509580894391352</v>
          </cell>
        </row>
        <row r="24">
          <cell r="B24">
            <v>2037</v>
          </cell>
          <cell r="C24">
            <v>103.39715455298986</v>
          </cell>
          <cell r="D24"/>
          <cell r="E24">
            <v>-49.971041676004738</v>
          </cell>
          <cell r="F24"/>
          <cell r="G24">
            <v>-11.148671820089106</v>
          </cell>
        </row>
        <row r="25">
          <cell r="B25">
            <v>2038</v>
          </cell>
          <cell r="C25">
            <v>105.65121254718035</v>
          </cell>
          <cell r="D25"/>
          <cell r="E25">
            <v>-49.489292295417329</v>
          </cell>
          <cell r="F25"/>
          <cell r="G25">
            <v>-9.7567782771803131</v>
          </cell>
        </row>
        <row r="26">
          <cell r="B26">
            <v>2039</v>
          </cell>
          <cell r="C26">
            <v>107.95440896228862</v>
          </cell>
          <cell r="D26"/>
          <cell r="E26">
            <v>4.6713652684835569</v>
          </cell>
          <cell r="F26"/>
          <cell r="G26">
            <v>45.274744185631057</v>
          </cell>
        </row>
        <row r="27">
          <cell r="B27">
            <v>2040</v>
          </cell>
          <cell r="C27">
            <v>110.30781511052302</v>
          </cell>
          <cell r="D27"/>
          <cell r="E27">
            <v>3.0723902346804306</v>
          </cell>
          <cell r="F27"/>
          <cell r="G27">
            <v>44.467979552351807</v>
          </cell>
        </row>
        <row r="28">
          <cell r="B28">
            <v>2041</v>
          </cell>
          <cell r="C28">
            <v>112.71252542706206</v>
          </cell>
          <cell r="D28"/>
          <cell r="E28">
            <v>1.7664223522655798</v>
          </cell>
          <cell r="F28"/>
          <cell r="G28">
            <v>44.118205934847794</v>
          </cell>
        </row>
        <row r="29">
          <cell r="B29">
            <v>2042</v>
          </cell>
          <cell r="C29">
            <v>115.16965848559042</v>
          </cell>
          <cell r="D29"/>
          <cell r="E29">
            <v>3.0405994414099919</v>
          </cell>
          <cell r="F29"/>
          <cell r="G29">
            <v>46.272923199369181</v>
          </cell>
        </row>
        <row r="30">
          <cell r="B30">
            <v>2043</v>
          </cell>
          <cell r="C30">
            <v>117.68035707641688</v>
          </cell>
          <cell r="D30"/>
          <cell r="E30">
            <v>5.9227246274363754</v>
          </cell>
          <cell r="F30"/>
          <cell r="G30">
            <v>50.107986465135255</v>
          </cell>
        </row>
        <row r="31">
          <cell r="B31">
            <v>2044</v>
          </cell>
          <cell r="C31">
            <v>120.24578883141972</v>
          </cell>
          <cell r="D31"/>
          <cell r="E31">
            <v>4.8453609984596495</v>
          </cell>
          <cell r="F31"/>
          <cell r="G31">
            <v>49.967842311382583</v>
          </cell>
        </row>
        <row r="32">
          <cell r="B32">
            <v>2045</v>
          </cell>
          <cell r="C32">
            <v>122.86714708334605</v>
          </cell>
          <cell r="D32"/>
          <cell r="E32">
            <v>4.9664971516325558</v>
          </cell>
          <cell r="F32"/>
          <cell r="G32">
            <v>51.217060337227011</v>
          </cell>
        </row>
        <row r="33">
          <cell r="B33">
            <v>2046</v>
          </cell>
          <cell r="C33">
            <v>125.54565086581196</v>
          </cell>
          <cell r="D33"/>
          <cell r="E33">
            <v>5.0747667895381472</v>
          </cell>
          <cell r="F33"/>
          <cell r="G33">
            <v>52.333592243562734</v>
          </cell>
        </row>
        <row r="57">
          <cell r="G57">
            <v>4.903044579417644</v>
          </cell>
        </row>
        <row r="62">
          <cell r="G62">
            <v>4.8301819641532919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E764E-35C2-46DA-837D-2BB65324F72B}">
  <sheetPr>
    <pageSetUpPr fitToPage="1"/>
  </sheetPr>
  <dimension ref="A1:M47"/>
  <sheetViews>
    <sheetView showGridLines="0" tabSelected="1" zoomScale="90" zoomScaleNormal="90" zoomScaleSheetLayoutView="80" workbookViewId="0">
      <selection activeCell="B2" sqref="B2"/>
    </sheetView>
  </sheetViews>
  <sheetFormatPr defaultColWidth="9.33203125" defaultRowHeight="12.75"/>
  <cols>
    <col min="1" max="1" width="17.6640625" style="43" customWidth="1"/>
    <col min="2" max="2" width="17.33203125" style="43" customWidth="1"/>
    <col min="3" max="3" width="13.6640625" style="43" customWidth="1"/>
    <col min="4" max="4" width="15.83203125" style="43" customWidth="1"/>
    <col min="5" max="5" width="13.83203125" style="43" customWidth="1"/>
    <col min="6" max="6" width="13.6640625" style="43" customWidth="1"/>
    <col min="7" max="7" width="15.33203125" style="43" customWidth="1"/>
    <col min="8" max="8" width="16.33203125" style="43" customWidth="1"/>
    <col min="9" max="9" width="13.6640625" style="43" customWidth="1"/>
    <col min="10" max="10" width="16" style="43" customWidth="1"/>
    <col min="11" max="11" width="20" style="43" customWidth="1"/>
    <col min="12" max="12" width="35.1640625" style="43" customWidth="1"/>
    <col min="13" max="13" width="28.6640625" style="43" customWidth="1"/>
    <col min="14" max="16384" width="9.33203125" style="43"/>
  </cols>
  <sheetData>
    <row r="1" spans="2:13" ht="15.75">
      <c r="B1" s="417" t="s">
        <v>370</v>
      </c>
      <c r="C1" s="417"/>
      <c r="D1" s="417"/>
      <c r="E1" s="417"/>
      <c r="F1" s="417"/>
      <c r="G1" s="417"/>
      <c r="H1" s="417"/>
      <c r="I1" s="417"/>
      <c r="J1" s="417"/>
      <c r="K1" s="417"/>
    </row>
    <row r="2" spans="2:13" ht="9" customHeight="1">
      <c r="B2" s="374"/>
      <c r="C2" s="375"/>
      <c r="D2" s="375"/>
      <c r="E2" s="375"/>
      <c r="F2" s="375"/>
      <c r="G2" s="375"/>
      <c r="H2" s="375"/>
      <c r="I2" s="376"/>
      <c r="J2" s="376"/>
      <c r="K2" s="376"/>
    </row>
    <row r="3" spans="2:13" ht="15.75">
      <c r="B3" s="377" t="s">
        <v>318</v>
      </c>
      <c r="C3" s="377"/>
      <c r="D3" s="377"/>
      <c r="E3" s="377"/>
      <c r="F3" s="377"/>
      <c r="G3" s="377"/>
      <c r="H3" s="377"/>
      <c r="I3" s="374"/>
      <c r="J3" s="374"/>
      <c r="K3" s="374"/>
    </row>
    <row r="4" spans="2:13" ht="15.75">
      <c r="B4" s="4" t="s">
        <v>319</v>
      </c>
      <c r="C4" s="377"/>
      <c r="D4" s="377"/>
      <c r="E4" s="377"/>
      <c r="F4" s="377"/>
      <c r="G4" s="377"/>
      <c r="H4" s="377"/>
      <c r="I4" s="374"/>
      <c r="J4" s="374"/>
      <c r="K4" s="374"/>
    </row>
    <row r="5" spans="2:13" ht="15.75">
      <c r="B5" s="4"/>
      <c r="C5" s="377"/>
      <c r="D5" s="377"/>
      <c r="E5" s="377"/>
      <c r="F5" s="377"/>
      <c r="G5" s="377"/>
      <c r="H5" s="377"/>
      <c r="I5" s="374"/>
      <c r="J5" s="374"/>
      <c r="K5" s="374"/>
    </row>
    <row r="6" spans="2:13" ht="16.5" customHeight="1">
      <c r="C6" s="378" t="s">
        <v>317</v>
      </c>
      <c r="D6" s="379" t="s">
        <v>320</v>
      </c>
      <c r="E6" s="380" t="s">
        <v>321</v>
      </c>
      <c r="F6" s="378" t="s">
        <v>317</v>
      </c>
      <c r="G6" s="379" t="s">
        <v>320</v>
      </c>
      <c r="H6" s="380" t="s">
        <v>321</v>
      </c>
      <c r="I6" s="378" t="s">
        <v>317</v>
      </c>
      <c r="J6" s="379" t="s">
        <v>320</v>
      </c>
      <c r="K6" s="380" t="s">
        <v>321</v>
      </c>
      <c r="M6" s="381"/>
    </row>
    <row r="7" spans="2:13">
      <c r="B7" s="382" t="s">
        <v>0</v>
      </c>
      <c r="C7" s="413" t="s">
        <v>322</v>
      </c>
      <c r="D7" s="43" t="s">
        <v>322</v>
      </c>
      <c r="E7" s="43" t="s">
        <v>322</v>
      </c>
      <c r="F7" s="383" t="s">
        <v>322</v>
      </c>
      <c r="G7" s="414" t="str">
        <f>F7</f>
        <v>UT 2025.Q3</v>
      </c>
      <c r="H7" s="384" t="str">
        <f>F7</f>
        <v>UT 2025.Q3</v>
      </c>
      <c r="I7" s="385"/>
      <c r="J7" s="386"/>
      <c r="K7" s="387"/>
    </row>
    <row r="8" spans="2:13">
      <c r="B8" s="382"/>
      <c r="C8" s="415" t="s">
        <v>323</v>
      </c>
      <c r="D8" s="416" t="s">
        <v>324</v>
      </c>
      <c r="E8" s="416" t="s">
        <v>325</v>
      </c>
      <c r="F8" s="388" t="s">
        <v>323</v>
      </c>
      <c r="G8" s="389" t="s">
        <v>324</v>
      </c>
      <c r="H8" s="390" t="s">
        <v>325</v>
      </c>
      <c r="I8" s="391" t="s">
        <v>326</v>
      </c>
      <c r="J8" s="392" t="s">
        <v>326</v>
      </c>
      <c r="K8" s="393" t="s">
        <v>326</v>
      </c>
    </row>
    <row r="9" spans="2:13" ht="48.75" customHeight="1">
      <c r="B9" s="394"/>
      <c r="C9" s="418" t="s">
        <v>334</v>
      </c>
      <c r="D9" s="419"/>
      <c r="E9" s="420"/>
      <c r="F9" s="418" t="s">
        <v>333</v>
      </c>
      <c r="G9" s="419"/>
      <c r="H9" s="420"/>
      <c r="I9" s="421" t="s">
        <v>335</v>
      </c>
      <c r="J9" s="422"/>
      <c r="K9" s="423"/>
    </row>
    <row r="10" spans="2:13">
      <c r="B10" s="394">
        <v>2026</v>
      </c>
      <c r="C10" s="395">
        <f>VLOOKUP($B10,'[1]Table 1'!$B$13:$G$37,6,FALSE)</f>
        <v>27.407915346386115</v>
      </c>
      <c r="D10" s="396">
        <f ca="1">VLOOKUP($B10,'Table 1'!$B$13:$G$34,6,FALSE)</f>
        <v>17.652995712482191</v>
      </c>
      <c r="E10" s="397">
        <f>VLOOKUP($B10,'[2]Table 1'!$B$13:$G$42,6,FALSE)</f>
        <v>21.122956052227646</v>
      </c>
      <c r="F10" s="395">
        <f>VLOOKUP($B10,'[3]Table 1'!$B$13:$G$33,6,FALSE)</f>
        <v>27.407915346386115</v>
      </c>
      <c r="G10" s="396">
        <f>VLOOKUP($B10,'[4]Table 1'!$B$13:$G$33,6,FALSE)</f>
        <v>17.693435394804801</v>
      </c>
      <c r="H10" s="396">
        <f>VLOOKUP($B10,'[5]Table 1'!$B$13:$G$33,6,FALSE)</f>
        <v>21.172259907329156</v>
      </c>
      <c r="I10" s="395">
        <f t="shared" ref="I10:K26" si="0">C10-F10</f>
        <v>0</v>
      </c>
      <c r="J10" s="396">
        <f t="shared" ca="1" si="0"/>
        <v>-4.0439682322610082E-2</v>
      </c>
      <c r="K10" s="397">
        <f t="shared" si="0"/>
        <v>-4.9303855101509697E-2</v>
      </c>
      <c r="L10" s="398"/>
      <c r="M10" s="398"/>
    </row>
    <row r="11" spans="2:13">
      <c r="B11" s="399">
        <f>B10+1</f>
        <v>2027</v>
      </c>
      <c r="C11" s="400">
        <f>VLOOKUP($B11,'[1]Table 1'!$B$13:$G$37,6,FALSE)</f>
        <v>30.549249414416046</v>
      </c>
      <c r="D11" s="398">
        <f ca="1">VLOOKUP($B11,'Table 1'!$B$13:$G$34,6,FALSE)</f>
        <v>20.835954233888607</v>
      </c>
      <c r="E11" s="401">
        <f>VLOOKUP($B11,'[2]Table 1'!$B$13:$G$42,6,FALSE)</f>
        <v>24.179183396370561</v>
      </c>
      <c r="F11" s="398">
        <f>VLOOKUP($B11,'[3]Table 1'!$B$13:$G$33,6,FALSE)</f>
        <v>30.549249414416046</v>
      </c>
      <c r="G11" s="398">
        <f>VLOOKUP($B11,'[4]Table 1'!$B$13:$G$33,6,FALSE)</f>
        <v>20.687543119075965</v>
      </c>
      <c r="H11" s="398">
        <f>VLOOKUP($B11,'[5]Table 1'!$B$13:$G$33,6,FALSE)</f>
        <v>24.252065928193758</v>
      </c>
      <c r="I11" s="400">
        <f t="shared" si="0"/>
        <v>0</v>
      </c>
      <c r="J11" s="398">
        <f t="shared" ca="1" si="0"/>
        <v>0.14841111481264235</v>
      </c>
      <c r="K11" s="401">
        <f t="shared" si="0"/>
        <v>-7.2882531823196928E-2</v>
      </c>
      <c r="L11" s="398"/>
      <c r="M11" s="398"/>
    </row>
    <row r="12" spans="2:13">
      <c r="B12" s="399">
        <f t="shared" ref="B12:B26" si="1">B11+1</f>
        <v>2028</v>
      </c>
      <c r="C12" s="400">
        <f>VLOOKUP($B12,'[1]Table 1'!$B$13:$G$37,6,FALSE)</f>
        <v>32.091708861572961</v>
      </c>
      <c r="D12" s="398">
        <f ca="1">VLOOKUP($B12,'Table 1'!$B$13:$G$34,6,FALSE)</f>
        <v>21.999306500721293</v>
      </c>
      <c r="E12" s="401">
        <f>VLOOKUP($B12,'[2]Table 1'!$B$13:$G$42,6,FALSE)</f>
        <v>25.435081309664611</v>
      </c>
      <c r="F12" s="398">
        <f>VLOOKUP($B12,'[3]Table 1'!$B$13:$G$33,6,FALSE)</f>
        <v>32.091708861572961</v>
      </c>
      <c r="G12" s="398">
        <f>VLOOKUP($B12,'[4]Table 1'!$B$13:$G$33,6,FALSE)</f>
        <v>22.025375865581289</v>
      </c>
      <c r="H12" s="398">
        <f>VLOOKUP($B12,'[5]Table 1'!$B$13:$G$33,6,FALSE)</f>
        <v>25.381324963702042</v>
      </c>
      <c r="I12" s="400">
        <f t="shared" si="0"/>
        <v>0</v>
      </c>
      <c r="J12" s="398">
        <f t="shared" ca="1" si="0"/>
        <v>-2.6069364859996114E-2</v>
      </c>
      <c r="K12" s="401">
        <f t="shared" si="0"/>
        <v>5.375634596256873E-2</v>
      </c>
      <c r="L12" s="398"/>
      <c r="M12" s="398"/>
    </row>
    <row r="13" spans="2:13">
      <c r="B13" s="399">
        <f t="shared" si="1"/>
        <v>2029</v>
      </c>
      <c r="C13" s="400">
        <f>VLOOKUP($B13,'[1]Table 1'!$B$13:$G$37,6,FALSE)</f>
        <v>35.390984479640558</v>
      </c>
      <c r="D13" s="398">
        <f ca="1">VLOOKUP($B13,'Table 1'!$B$13:$G$34,6,FALSE)</f>
        <v>24.623394375695792</v>
      </c>
      <c r="E13" s="401">
        <f>VLOOKUP($B13,'[2]Table 1'!$B$13:$G$42,6,FALSE)</f>
        <v>27.886136586767041</v>
      </c>
      <c r="F13" s="398">
        <f>VLOOKUP($B13,'[3]Table 1'!$B$13:$G$33,6,FALSE)</f>
        <v>35.390984479640558</v>
      </c>
      <c r="G13" s="398">
        <f>VLOOKUP($B13,'[4]Table 1'!$B$13:$G$33,6,FALSE)</f>
        <v>24.780866953527429</v>
      </c>
      <c r="H13" s="398">
        <f>VLOOKUP($B13,'[5]Table 1'!$B$13:$G$33,6,FALSE)</f>
        <v>-4.9684260347645886</v>
      </c>
      <c r="I13" s="400">
        <f t="shared" si="0"/>
        <v>0</v>
      </c>
      <c r="J13" s="398">
        <f t="shared" ca="1" si="0"/>
        <v>-0.15747257783163704</v>
      </c>
      <c r="K13" s="401">
        <f t="shared" si="0"/>
        <v>32.854562621531628</v>
      </c>
      <c r="L13" s="398"/>
      <c r="M13" s="398"/>
    </row>
    <row r="14" spans="2:13">
      <c r="B14" s="399">
        <f t="shared" si="1"/>
        <v>2030</v>
      </c>
      <c r="C14" s="400">
        <f>VLOOKUP($B14,'[1]Table 1'!$B$13:$G$37,6,FALSE)</f>
        <v>38.461428658875782</v>
      </c>
      <c r="D14" s="398">
        <f ca="1">VLOOKUP($B14,'Table 1'!$B$13:$G$34,6,FALSE)</f>
        <v>24.191341276260687</v>
      </c>
      <c r="E14" s="401">
        <f>VLOOKUP($B14,'[2]Table 1'!$B$13:$G$42,6,FALSE)</f>
        <v>29.046739909209773</v>
      </c>
      <c r="F14" s="398">
        <f>VLOOKUP($B14,'[3]Table 1'!$B$13:$G$33,6,FALSE)</f>
        <v>38.461428658875782</v>
      </c>
      <c r="G14" s="398">
        <f>VLOOKUP($B14,'[4]Table 1'!$B$13:$G$33,6,FALSE)</f>
        <v>24.029798225878316</v>
      </c>
      <c r="H14" s="398">
        <f>VLOOKUP($B14,'[5]Table 1'!$B$13:$G$33,6,FALSE)</f>
        <v>-6.7748639231400754</v>
      </c>
      <c r="I14" s="400">
        <f t="shared" si="0"/>
        <v>0</v>
      </c>
      <c r="J14" s="398">
        <f t="shared" ca="1" si="0"/>
        <v>0.16154305038237027</v>
      </c>
      <c r="K14" s="401">
        <f t="shared" si="0"/>
        <v>35.821603832349851</v>
      </c>
      <c r="L14" s="398"/>
      <c r="M14" s="398"/>
    </row>
    <row r="15" spans="2:13">
      <c r="B15" s="399">
        <f t="shared" si="1"/>
        <v>2031</v>
      </c>
      <c r="C15" s="400">
        <f>VLOOKUP($B15,'[1]Table 1'!$B$13:$G$37,6,FALSE)</f>
        <v>38.962032022310616</v>
      </c>
      <c r="D15" s="398">
        <f ca="1">VLOOKUP($B15,'Table 1'!$B$13:$G$34,6,FALSE)</f>
        <v>23.175766542120328</v>
      </c>
      <c r="E15" s="401">
        <f>VLOOKUP($B15,'[2]Table 1'!$B$13:$G$42,6,FALSE)</f>
        <v>29.778625151242498</v>
      </c>
      <c r="F15" s="398">
        <f>VLOOKUP($B15,'[3]Table 1'!$B$13:$G$33,6,FALSE)</f>
        <v>38.962032022310616</v>
      </c>
      <c r="G15" s="398">
        <f>VLOOKUP($B15,'[4]Table 1'!$B$13:$G$33,6,FALSE)</f>
        <v>-11.30978116739926</v>
      </c>
      <c r="H15" s="398">
        <f>VLOOKUP($B15,'[5]Table 1'!$B$13:$G$33,6,FALSE)</f>
        <v>-8.5522953652737517</v>
      </c>
      <c r="I15" s="400">
        <f t="shared" si="0"/>
        <v>0</v>
      </c>
      <c r="J15" s="398">
        <f t="shared" ca="1" si="0"/>
        <v>34.485547709519587</v>
      </c>
      <c r="K15" s="401">
        <f t="shared" si="0"/>
        <v>38.330920516516251</v>
      </c>
      <c r="L15" s="398"/>
      <c r="M15" s="398"/>
    </row>
    <row r="16" spans="2:13">
      <c r="B16" s="399">
        <f t="shared" si="1"/>
        <v>2032</v>
      </c>
      <c r="C16" s="400">
        <f>VLOOKUP($B16,'[1]Table 1'!$B$13:$G$37,6,FALSE)</f>
        <v>37.802637703219126</v>
      </c>
      <c r="D16" s="398">
        <f ca="1">VLOOKUP($B16,'Table 1'!$B$13:$G$34,6,FALSE)</f>
        <v>21.247472536379107</v>
      </c>
      <c r="E16" s="401">
        <f>VLOOKUP($B16,'[2]Table 1'!$B$13:$G$42,6,FALSE)</f>
        <v>27.505858405744409</v>
      </c>
      <c r="F16" s="398">
        <f>VLOOKUP($B16,'[3]Table 1'!$B$13:$G$33,6,FALSE)</f>
        <v>37.802637703219126</v>
      </c>
      <c r="G16" s="398">
        <f>VLOOKUP($B16,'[4]Table 1'!$B$13:$G$33,6,FALSE)</f>
        <v>-11.121541941000713</v>
      </c>
      <c r="H16" s="398">
        <f>VLOOKUP($B16,'[5]Table 1'!$B$13:$G$33,6,FALSE)</f>
        <v>-10.33402792577302</v>
      </c>
      <c r="I16" s="400">
        <f t="shared" si="0"/>
        <v>0</v>
      </c>
      <c r="J16" s="398">
        <f t="shared" ca="1" si="0"/>
        <v>32.369014477379821</v>
      </c>
      <c r="K16" s="401">
        <f t="shared" si="0"/>
        <v>37.839886331517427</v>
      </c>
      <c r="L16" s="398"/>
      <c r="M16" s="398"/>
    </row>
    <row r="17" spans="1:13">
      <c r="B17" s="399">
        <f t="shared" si="1"/>
        <v>2033</v>
      </c>
      <c r="C17" s="400">
        <f>VLOOKUP($B17,'[1]Table 1'!$B$13:$G$37,6,FALSE)</f>
        <v>38.364413473638251</v>
      </c>
      <c r="D17" s="398">
        <f ca="1">VLOOKUP($B17,'Table 1'!$B$13:$G$34,6,FALSE)</f>
        <v>20.333515417173093</v>
      </c>
      <c r="E17" s="401">
        <f>VLOOKUP($B17,'[2]Table 1'!$B$13:$G$42,6,FALSE)</f>
        <v>27.704622012824927</v>
      </c>
      <c r="F17" s="398">
        <f>VLOOKUP($B17,'[3]Table 1'!$B$13:$G$33,6,FALSE)</f>
        <v>38.364413473638251</v>
      </c>
      <c r="G17" s="398">
        <f>VLOOKUP($B17,'[4]Table 1'!$B$13:$G$33,6,FALSE)</f>
        <v>-11.354400687373129</v>
      </c>
      <c r="H17" s="398">
        <f>VLOOKUP($B17,'[5]Table 1'!$B$13:$G$33,6,FALSE)</f>
        <v>-9.0611762360626305</v>
      </c>
      <c r="I17" s="400">
        <f t="shared" si="0"/>
        <v>0</v>
      </c>
      <c r="J17" s="398">
        <f t="shared" ca="1" si="0"/>
        <v>31.687916104546222</v>
      </c>
      <c r="K17" s="401">
        <f t="shared" si="0"/>
        <v>36.765798248887556</v>
      </c>
      <c r="L17" s="398"/>
      <c r="M17" s="398"/>
    </row>
    <row r="18" spans="1:13">
      <c r="B18" s="399">
        <f t="shared" si="1"/>
        <v>2034</v>
      </c>
      <c r="C18" s="400">
        <f>VLOOKUP($B18,'[1]Table 1'!$B$13:$G$37,6,FALSE)</f>
        <v>39.712558060242323</v>
      </c>
      <c r="D18" s="398">
        <f ca="1">VLOOKUP($B18,'Table 1'!$B$13:$G$34,6,FALSE)</f>
        <v>20.604267243046614</v>
      </c>
      <c r="E18" s="401">
        <f>VLOOKUP($B18,'[2]Table 1'!$B$13:$G$42,6,FALSE)</f>
        <v>29.031046327629795</v>
      </c>
      <c r="F18" s="398">
        <f>VLOOKUP($B18,'[3]Table 1'!$B$13:$G$33,6,FALSE)</f>
        <v>39.712558060242323</v>
      </c>
      <c r="G18" s="398">
        <f>VLOOKUP($B18,'[4]Table 1'!$B$13:$G$33,6,FALSE)</f>
        <v>-11.56247035055431</v>
      </c>
      <c r="H18" s="398">
        <f>VLOOKUP($B18,'[5]Table 1'!$B$13:$G$33,6,FALSE)</f>
        <v>-9.0786668942295758</v>
      </c>
      <c r="I18" s="400">
        <f t="shared" si="0"/>
        <v>0</v>
      </c>
      <c r="J18" s="398">
        <f t="shared" ca="1" si="0"/>
        <v>32.166737593600928</v>
      </c>
      <c r="K18" s="401">
        <f t="shared" si="0"/>
        <v>38.109713221859373</v>
      </c>
      <c r="L18" s="398"/>
      <c r="M18" s="398"/>
    </row>
    <row r="19" spans="1:13">
      <c r="B19" s="399">
        <f t="shared" si="1"/>
        <v>2035</v>
      </c>
      <c r="C19" s="400">
        <f>VLOOKUP($B19,'[1]Table 1'!$B$13:$G$37,6,FALSE)</f>
        <v>40.446077383620334</v>
      </c>
      <c r="D19" s="398">
        <f ca="1">VLOOKUP($B19,'Table 1'!$B$13:$G$34,6,FALSE)</f>
        <v>22.553521609540311</v>
      </c>
      <c r="E19" s="401">
        <f>VLOOKUP($B19,'[2]Table 1'!$B$13:$G$42,6,FALSE)</f>
        <v>29.73720378411398</v>
      </c>
      <c r="F19" s="398">
        <f>VLOOKUP($B19,'[3]Table 1'!$B$13:$G$33,6,FALSE)</f>
        <v>40.446077383620334</v>
      </c>
      <c r="G19" s="398">
        <f>VLOOKUP($B19,'[4]Table 1'!$B$13:$G$33,6,FALSE)</f>
        <v>-12.360617421896267</v>
      </c>
      <c r="H19" s="398">
        <f>VLOOKUP($B19,'[5]Table 1'!$B$13:$G$33,6,FALSE)</f>
        <v>-9.734045367896293</v>
      </c>
      <c r="I19" s="400">
        <f t="shared" si="0"/>
        <v>0</v>
      </c>
      <c r="J19" s="398">
        <f t="shared" ca="1" si="0"/>
        <v>34.914139031436576</v>
      </c>
      <c r="K19" s="401">
        <f t="shared" si="0"/>
        <v>39.471249152010273</v>
      </c>
      <c r="L19" s="398"/>
      <c r="M19" s="398"/>
    </row>
    <row r="20" spans="1:13">
      <c r="B20" s="399">
        <f t="shared" si="1"/>
        <v>2036</v>
      </c>
      <c r="C20" s="400">
        <f>VLOOKUP($B20,'[1]Table 1'!$B$13:$G$37,6,FALSE)</f>
        <v>41.698225001756761</v>
      </c>
      <c r="D20" s="398">
        <f ca="1">VLOOKUP($B20,'Table 1'!$B$13:$G$34,6,FALSE)</f>
        <v>23.218464178926716</v>
      </c>
      <c r="E20" s="401">
        <f>VLOOKUP($B20,'[2]Table 1'!$B$13:$G$42,6,FALSE)</f>
        <v>30.158188319692734</v>
      </c>
      <c r="F20" s="398">
        <f>VLOOKUP($B20,'[3]Table 1'!$B$13:$G$33,6,FALSE)</f>
        <v>41.698225001756761</v>
      </c>
      <c r="G20" s="398">
        <f>VLOOKUP($B20,'[4]Table 1'!$B$13:$G$33,6,FALSE)</f>
        <v>-12.84450328082918</v>
      </c>
      <c r="H20" s="398">
        <f>VLOOKUP($B20,'[5]Table 1'!$B$13:$G$33,6,FALSE)</f>
        <v>-12.509580894391352</v>
      </c>
      <c r="I20" s="400">
        <f t="shared" si="0"/>
        <v>0</v>
      </c>
      <c r="J20" s="398">
        <f t="shared" ca="1" si="0"/>
        <v>36.062967459755896</v>
      </c>
      <c r="K20" s="401">
        <f t="shared" si="0"/>
        <v>42.667769214084089</v>
      </c>
      <c r="L20" s="398"/>
      <c r="M20" s="398"/>
    </row>
    <row r="21" spans="1:13">
      <c r="B21" s="399">
        <f t="shared" si="1"/>
        <v>2037</v>
      </c>
      <c r="C21" s="400">
        <f>VLOOKUP($B21,'[1]Table 1'!$B$13:$G$37,6,FALSE)</f>
        <v>43.681556652044513</v>
      </c>
      <c r="D21" s="398">
        <f ca="1">VLOOKUP($B21,'Table 1'!$B$13:$G$34,6,FALSE)</f>
        <v>26.210276746130994</v>
      </c>
      <c r="E21" s="401">
        <f>VLOOKUP($B21,'[2]Table 1'!$B$13:$G$42,6,FALSE)</f>
        <v>33.178579631677046</v>
      </c>
      <c r="F21" s="398">
        <f>VLOOKUP($B21,'[3]Table 1'!$B$13:$G$33,6,FALSE)</f>
        <v>43.681556652044513</v>
      </c>
      <c r="G21" s="398">
        <f>VLOOKUP($B21,'[4]Table 1'!$B$13:$G$33,6,FALSE)</f>
        <v>-13.454868752679323</v>
      </c>
      <c r="H21" s="398">
        <f>VLOOKUP($B21,'[5]Table 1'!$B$13:$G$33,6,FALSE)</f>
        <v>-11.148671820089106</v>
      </c>
      <c r="I21" s="400">
        <f t="shared" si="0"/>
        <v>0</v>
      </c>
      <c r="J21" s="398">
        <f t="shared" ca="1" si="0"/>
        <v>39.665145498810318</v>
      </c>
      <c r="K21" s="401">
        <f t="shared" si="0"/>
        <v>44.327251451766152</v>
      </c>
      <c r="L21" s="398"/>
      <c r="M21" s="398"/>
    </row>
    <row r="22" spans="1:13">
      <c r="B22" s="399">
        <f t="shared" si="1"/>
        <v>2038</v>
      </c>
      <c r="C22" s="400">
        <f>VLOOKUP($B22,'[1]Table 1'!$B$13:$G$37,6,FALSE)</f>
        <v>45.330821175727991</v>
      </c>
      <c r="D22" s="398">
        <f ca="1">VLOOKUP($B22,'Table 1'!$B$13:$G$34,6,FALSE)</f>
        <v>26.299738006998869</v>
      </c>
      <c r="E22" s="401">
        <f>VLOOKUP($B22,'[2]Table 1'!$B$13:$G$42,6,FALSE)</f>
        <v>33.395615936882358</v>
      </c>
      <c r="F22" s="398">
        <f>VLOOKUP($B22,'[3]Table 1'!$B$13:$G$33,6,FALSE)</f>
        <v>45.330821175727991</v>
      </c>
      <c r="G22" s="398">
        <f>VLOOKUP($B22,'[4]Table 1'!$B$13:$G$33,6,FALSE)</f>
        <v>-12.764479806282628</v>
      </c>
      <c r="H22" s="398">
        <f>VLOOKUP($B22,'[5]Table 1'!$B$13:$G$33,6,FALSE)</f>
        <v>-9.7567782771803131</v>
      </c>
      <c r="I22" s="400">
        <f t="shared" si="0"/>
        <v>0</v>
      </c>
      <c r="J22" s="398">
        <f t="shared" ca="1" si="0"/>
        <v>39.064217813281495</v>
      </c>
      <c r="K22" s="401">
        <f t="shared" si="0"/>
        <v>43.152394214062667</v>
      </c>
      <c r="L22" s="398"/>
      <c r="M22" s="398"/>
    </row>
    <row r="23" spans="1:13">
      <c r="B23" s="399">
        <f t="shared" si="1"/>
        <v>2039</v>
      </c>
      <c r="C23" s="400">
        <f>VLOOKUP($B23,'[1]Table 1'!$B$13:$G$37,6,FALSE)</f>
        <v>46.470047752842959</v>
      </c>
      <c r="D23" s="398">
        <f ca="1">VLOOKUP($B23,'Table 1'!$B$13:$G$34,6,FALSE)</f>
        <v>26.381226439148953</v>
      </c>
      <c r="E23" s="401">
        <f>VLOOKUP($B23,'[2]Table 1'!$B$13:$G$42,6,FALSE)</f>
        <v>34.589387371033432</v>
      </c>
      <c r="F23" s="398">
        <f>VLOOKUP($B23,'[3]Table 1'!$B$13:$G$33,6,FALSE)</f>
        <v>46.470047752842959</v>
      </c>
      <c r="G23" s="398">
        <f>VLOOKUP($B23,'[4]Table 1'!$B$13:$G$33,6,FALSE)</f>
        <v>-12.76075328790542</v>
      </c>
      <c r="H23" s="398">
        <f>VLOOKUP($B23,'[5]Table 1'!$B$13:$G$33,6,FALSE)</f>
        <v>45.274744185631057</v>
      </c>
      <c r="I23" s="400">
        <f t="shared" si="0"/>
        <v>0</v>
      </c>
      <c r="J23" s="398">
        <f t="shared" ca="1" si="0"/>
        <v>39.141979727054377</v>
      </c>
      <c r="K23" s="401">
        <f t="shared" si="0"/>
        <v>-10.685356814597625</v>
      </c>
      <c r="L23" s="398"/>
      <c r="M23" s="398"/>
    </row>
    <row r="24" spans="1:13">
      <c r="B24" s="399">
        <f t="shared" si="1"/>
        <v>2040</v>
      </c>
      <c r="C24" s="400">
        <f>VLOOKUP($B24,'[1]Table 1'!$B$13:$G$37,6,FALSE)</f>
        <v>47.18582038457221</v>
      </c>
      <c r="D24" s="398">
        <f ca="1">VLOOKUP($B24,'Table 1'!$B$13:$G$34,6,FALSE)</f>
        <v>28.447262702265295</v>
      </c>
      <c r="E24" s="401">
        <f>VLOOKUP($B24,'[2]Table 1'!$B$13:$G$42,6,FALSE)</f>
        <v>34.22991003790397</v>
      </c>
      <c r="F24" s="398">
        <f>VLOOKUP($B24,'[3]Table 1'!$B$13:$G$33,6,FALSE)</f>
        <v>47.18582038457221</v>
      </c>
      <c r="G24" s="398">
        <f>VLOOKUP($B24,'[4]Table 1'!$B$13:$G$33,6,FALSE)</f>
        <v>-14.257465348842977</v>
      </c>
      <c r="H24" s="398">
        <f>VLOOKUP($B24,'[5]Table 1'!$B$13:$G$33,6,FALSE)</f>
        <v>44.467979552351807</v>
      </c>
      <c r="I24" s="400">
        <f t="shared" si="0"/>
        <v>0</v>
      </c>
      <c r="J24" s="398">
        <f t="shared" ca="1" si="0"/>
        <v>42.704728051108276</v>
      </c>
      <c r="K24" s="401">
        <f t="shared" si="0"/>
        <v>-10.238069514447837</v>
      </c>
      <c r="L24" s="398"/>
      <c r="M24" s="398"/>
    </row>
    <row r="25" spans="1:13">
      <c r="B25" s="399">
        <f t="shared" si="1"/>
        <v>2041</v>
      </c>
      <c r="C25" s="400">
        <f>VLOOKUP($B25,'[1]Table 1'!$B$13:$G$37,6,FALSE)</f>
        <v>49.182183714212734</v>
      </c>
      <c r="D25" s="398">
        <f ca="1">VLOOKUP($B25,'Table 1'!$B$13:$G$34,6,FALSE)</f>
        <v>30.638767228539173</v>
      </c>
      <c r="E25" s="401">
        <f>VLOOKUP($B25,'[2]Table 1'!$B$13:$G$42,6,FALSE)</f>
        <v>36.817818540588178</v>
      </c>
      <c r="F25" s="398">
        <f>VLOOKUP($B25,'[3]Table 1'!$B$13:$G$33,6,FALSE)</f>
        <v>49.182183714212734</v>
      </c>
      <c r="G25" s="398">
        <f>VLOOKUP($B25,'[4]Table 1'!$B$13:$G$33,6,FALSE)</f>
        <v>47.869066078917093</v>
      </c>
      <c r="H25" s="398">
        <f>VLOOKUP($B25,'[5]Table 1'!$B$13:$G$33,6,FALSE)</f>
        <v>44.118205934847794</v>
      </c>
      <c r="I25" s="400">
        <f t="shared" si="0"/>
        <v>0</v>
      </c>
      <c r="J25" s="398">
        <f t="shared" ca="1" si="0"/>
        <v>-17.23029885037792</v>
      </c>
      <c r="K25" s="401">
        <f t="shared" si="0"/>
        <v>-7.3003873942596158</v>
      </c>
      <c r="L25" s="398"/>
      <c r="M25" s="398"/>
    </row>
    <row r="26" spans="1:13">
      <c r="B26" s="402">
        <f t="shared" si="1"/>
        <v>2042</v>
      </c>
      <c r="C26" s="403">
        <f>VLOOKUP($B26,'[1]Table 1'!$B$13:$G$37,6,FALSE)</f>
        <v>54.141931335827387</v>
      </c>
      <c r="D26" s="404">
        <f ca="1">VLOOKUP($B26,'Table 1'!$B$13:$G$34,6,FALSE)</f>
        <v>37.82541049445917</v>
      </c>
      <c r="E26" s="405">
        <f>VLOOKUP($B26,'[2]Table 1'!$B$13:$G$42,6,FALSE)</f>
        <v>43.852629345736155</v>
      </c>
      <c r="F26" s="404">
        <f>VLOOKUP($B26,'[3]Table 1'!$B$13:$G$33,6,FALSE)</f>
        <v>54.141931335827387</v>
      </c>
      <c r="G26" s="404">
        <f>VLOOKUP($B26,'[4]Table 1'!$B$13:$G$33,6,FALSE)</f>
        <v>49.088785813791404</v>
      </c>
      <c r="H26" s="404">
        <f>VLOOKUP($B26,'[5]Table 1'!$B$13:$G$33,6,FALSE)</f>
        <v>46.272923199369181</v>
      </c>
      <c r="I26" s="403">
        <f t="shared" si="0"/>
        <v>0</v>
      </c>
      <c r="J26" s="404">
        <f t="shared" ca="1" si="0"/>
        <v>-11.263375319332233</v>
      </c>
      <c r="K26" s="405">
        <f t="shared" si="0"/>
        <v>-2.4202938536330265</v>
      </c>
      <c r="L26" s="398"/>
      <c r="M26" s="398"/>
    </row>
    <row r="27" spans="1:13">
      <c r="L27" s="398"/>
    </row>
    <row r="28" spans="1:13">
      <c r="B28" s="44" t="s">
        <v>327</v>
      </c>
    </row>
    <row r="29" spans="1:13">
      <c r="A29" t="s">
        <v>328</v>
      </c>
      <c r="B29" s="406" t="s">
        <v>31</v>
      </c>
      <c r="C29" s="398">
        <f>ROUND('[1]Table 1'!$G$57,2)</f>
        <v>37.4</v>
      </c>
      <c r="D29" s="398">
        <f ca="1">ROUND('Table 1'!$G$57,2)</f>
        <v>22.53</v>
      </c>
      <c r="E29" s="398">
        <f>ROUND('[2]Table 1'!$G$57,2)</f>
        <v>28.17</v>
      </c>
      <c r="F29" s="398">
        <f>ROUND('[3]Table 1'!$G$57,2)</f>
        <v>37.4</v>
      </c>
      <c r="G29" s="398">
        <f>ROUND('[4]Table 1'!$G$57,2)</f>
        <v>2.93</v>
      </c>
      <c r="H29" s="398">
        <f>ROUND('[5]Table 1'!$G$57,2)</f>
        <v>4.9000000000000004</v>
      </c>
      <c r="I29" s="398">
        <f>C29-F29</f>
        <v>0</v>
      </c>
      <c r="J29" s="398">
        <f ca="1">D29-G29</f>
        <v>19.600000000000001</v>
      </c>
      <c r="K29" s="398">
        <f>E29-H29</f>
        <v>23.270000000000003</v>
      </c>
      <c r="L29" s="407"/>
      <c r="M29" s="407"/>
    </row>
    <row r="30" spans="1:13" ht="17.25" customHeight="1">
      <c r="B30" s="408"/>
      <c r="C30" s="398"/>
      <c r="D30" s="398"/>
      <c r="E30" s="398"/>
      <c r="F30" s="398"/>
      <c r="G30" s="398"/>
      <c r="H30" s="398"/>
      <c r="I30" s="409">
        <f>I29/F29</f>
        <v>0</v>
      </c>
      <c r="J30" s="409">
        <f ca="1">J29/G29</f>
        <v>6.689419795221843</v>
      </c>
      <c r="K30" s="409">
        <f>K29/H29</f>
        <v>4.7489795918367346</v>
      </c>
    </row>
    <row r="31" spans="1:13">
      <c r="A31" t="s">
        <v>329</v>
      </c>
      <c r="B31" s="406" t="s">
        <v>31</v>
      </c>
      <c r="C31" s="398">
        <f>ROUND('[1]Table 1'!$G$62,2)</f>
        <v>38.950000000000003</v>
      </c>
      <c r="D31" s="398">
        <f ca="1">ROUND('Table 1'!$G$62,2)</f>
        <v>23.39</v>
      </c>
      <c r="E31" s="398">
        <f>ROUND('[2]Table 1'!$G$62,2)</f>
        <v>29.27</v>
      </c>
      <c r="F31" s="398">
        <f>ROUND('[3]Table 1'!$G$62,2)</f>
        <v>38.950000000000003</v>
      </c>
      <c r="G31" s="398">
        <f>ROUND('[4]Table 1'!$G$62,2)</f>
        <v>3.12</v>
      </c>
      <c r="H31" s="398">
        <f>ROUND('[5]Table 1'!$G$62,2)</f>
        <v>4.83</v>
      </c>
      <c r="I31" s="398">
        <f>C31-F31</f>
        <v>0</v>
      </c>
      <c r="J31" s="398">
        <f ca="1">D31-G31</f>
        <v>20.27</v>
      </c>
      <c r="K31" s="398">
        <f>E31-H31</f>
        <v>24.439999999999998</v>
      </c>
      <c r="L31" s="407"/>
      <c r="M31" s="407"/>
    </row>
    <row r="32" spans="1:13" ht="17.25" customHeight="1">
      <c r="B32" s="408"/>
      <c r="C32" s="398"/>
      <c r="D32" s="398"/>
      <c r="E32" s="398"/>
      <c r="F32" s="398"/>
      <c r="G32" s="398"/>
      <c r="H32" s="398"/>
      <c r="I32" s="409">
        <f>I31/F31</f>
        <v>0</v>
      </c>
      <c r="J32" s="409">
        <f ca="1">J31/G31</f>
        <v>6.4967948717948714</v>
      </c>
      <c r="K32" s="409">
        <f>K31/H31</f>
        <v>5.0600414078674945</v>
      </c>
    </row>
    <row r="33" spans="1:11">
      <c r="A33"/>
      <c r="B33" s="406"/>
      <c r="C33" s="398"/>
      <c r="D33" s="398"/>
      <c r="E33" s="398"/>
      <c r="F33" s="398"/>
      <c r="G33" s="398"/>
      <c r="H33" s="398"/>
      <c r="I33" s="398"/>
      <c r="J33" s="398"/>
      <c r="K33" s="398"/>
    </row>
    <row r="34" spans="1:11" ht="17.25" customHeight="1">
      <c r="B34" s="408"/>
      <c r="C34" s="398"/>
      <c r="D34" s="398"/>
      <c r="E34" s="398"/>
      <c r="F34" s="398"/>
      <c r="G34" s="398"/>
      <c r="H34" s="398"/>
      <c r="I34" s="409"/>
      <c r="J34" s="409"/>
      <c r="K34" s="409"/>
    </row>
    <row r="35" spans="1:11" ht="10.5" customHeight="1">
      <c r="B35" s="406"/>
      <c r="C35" s="398"/>
      <c r="D35" s="398"/>
      <c r="E35" s="398"/>
      <c r="F35" s="398"/>
      <c r="G35" s="398"/>
      <c r="H35" s="398"/>
      <c r="I35" s="398"/>
      <c r="J35" s="398"/>
      <c r="K35" s="398"/>
    </row>
    <row r="36" spans="1:11" ht="5.25" customHeight="1"/>
    <row r="37" spans="1:11">
      <c r="B37" s="43" t="s">
        <v>330</v>
      </c>
      <c r="C37" s="410"/>
      <c r="D37" s="410"/>
      <c r="E37" s="410"/>
      <c r="F37" s="410"/>
      <c r="G37" s="410"/>
      <c r="H37" s="410"/>
      <c r="I37" s="411"/>
      <c r="J37" s="411"/>
      <c r="K37" s="411"/>
    </row>
    <row r="38" spans="1:11">
      <c r="B38" s="41" t="s">
        <v>331</v>
      </c>
      <c r="C38" s="410"/>
      <c r="D38" s="410"/>
      <c r="E38" s="410"/>
      <c r="F38" s="410"/>
      <c r="G38" s="410"/>
      <c r="H38" s="410"/>
      <c r="I38" s="411"/>
      <c r="J38" s="411"/>
      <c r="K38" s="411"/>
    </row>
    <row r="39" spans="1:11">
      <c r="B39" s="412" t="str">
        <f>"(2)   Total Avoided Costs with Capacity, based on stated CF"</f>
        <v>(2)   Total Avoided Costs with Capacity, based on stated CF</v>
      </c>
    </row>
    <row r="40" spans="1:11">
      <c r="B40" s="43" t="str">
        <f>"(3)   15-Years: "&amp;B10&amp;" - "&amp;B24&amp;", levelized monthly"</f>
        <v>(3)   15-Years: 2026 - 2040, levelized monthly</v>
      </c>
    </row>
    <row r="41" spans="1:11">
      <c r="B41" s="9"/>
    </row>
    <row r="42" spans="1:11">
      <c r="B42" s="9"/>
    </row>
    <row r="43" spans="1:11">
      <c r="B43" s="9"/>
    </row>
    <row r="44" spans="1:11" hidden="1"/>
    <row r="45" spans="1:11">
      <c r="C45" s="398"/>
      <c r="D45" s="398"/>
      <c r="E45" s="398"/>
      <c r="F45" s="398"/>
      <c r="G45" s="398"/>
      <c r="H45" s="398"/>
    </row>
    <row r="47" spans="1:11">
      <c r="C47" s="407"/>
      <c r="D47" s="407"/>
      <c r="E47" s="407"/>
      <c r="F47" s="407"/>
      <c r="G47" s="407"/>
      <c r="H47" s="407"/>
      <c r="I47" s="407"/>
      <c r="J47" s="407"/>
      <c r="K47" s="407"/>
    </row>
  </sheetData>
  <mergeCells count="4">
    <mergeCell ref="B1:K1"/>
    <mergeCell ref="C9:E9"/>
    <mergeCell ref="F9:H9"/>
    <mergeCell ref="I9:K9"/>
  </mergeCells>
  <conditionalFormatting sqref="I10:K26">
    <cfRule type="expression" dxfId="3" priority="7">
      <formula>ISNA(#REF!)</formula>
    </cfRule>
  </conditionalFormatting>
  <printOptions horizontalCentered="1"/>
  <pageMargins left="0.25" right="0.25" top="0.75" bottom="0.75" header="0.3" footer="0.3"/>
  <pageSetup scale="6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37798-9896-4DEB-A0F6-AE841F6FCE46}">
  <sheetPr>
    <tabColor rgb="FFCCFFCC"/>
    <pageSetUpPr fitToPage="1"/>
  </sheetPr>
  <dimension ref="B1:AC89"/>
  <sheetViews>
    <sheetView workbookViewId="0">
      <selection activeCell="G27" sqref="G27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21.5" style="61" customWidth="1"/>
    <col min="7" max="7" width="17.6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Assumptions'!$E$371:$E$394,'WD_.PX.BDG._.PTC.2031'!$B10-2023,1)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Assumptions'!$E$371:$E$394,'WD_.PX.BDG._.PTC.2031'!$B11-2023,1)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Assumptions'!$E$371:$E$394,'WD_.PX.BDG._.PTC.2031'!$B12-2023,1)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Assumptions'!$E$371:$E$394,'WD_.PX.BDG._.PTC.2031'!$B13-2023,1)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Assumptions'!$E$371:$E$394,'WD_.PX.BDG._.PTC.2031'!$B14-2023,1)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69"/>
      <c r="E15" s="69" cm="1">
        <f t="array" ref="E15">$E$9*INDEX('2025 IRP Assumptions'!$E$371:$E$394,'WD_.PX.BDG._.PTC.2031'!$B15-2023,1)</f>
        <v>36.022106376299995</v>
      </c>
      <c r="F15" s="237"/>
      <c r="G15" s="70"/>
      <c r="H15" s="69"/>
      <c r="I15" s="69"/>
      <c r="J15" s="70"/>
      <c r="K15" s="70"/>
      <c r="L15" s="69"/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Assumptions'!$E$236:$E$256,MATCH(B16,'2025 IRP Assumptions'!$S$236:$S$256,0),1)</f>
        <v>1408.2311634594403</v>
      </c>
      <c r="D16" s="205">
        <f>C16*$C$60</f>
        <v>88.943880284098242</v>
      </c>
      <c r="E16" s="69" cm="1">
        <f t="array" ref="E16">$E$9*INDEX('2025 IRP Assumptions'!$E$371:$E$394,'WD_.PX.BDG._.PTC.2031'!$B16-2023,1)</f>
        <v>36.80738829405</v>
      </c>
      <c r="F16" s="237"/>
      <c r="G16" s="70">
        <f t="shared" ref="G16:G46" si="1">(D16+E16+F16)/(8.76*$C$61)</f>
        <v>36.058122380098993</v>
      </c>
      <c r="H16" s="69"/>
      <c r="I16" s="69">
        <f>-I64</f>
        <v>-49.06</v>
      </c>
      <c r="J16" s="70">
        <f t="shared" ref="J16:J35" si="2">(G16+H16+I16)</f>
        <v>-13.001877619901009</v>
      </c>
      <c r="K16" s="70">
        <f t="shared" ref="K16:K46" si="3">ROUND(J16*$C$61*8.76,2)</f>
        <v>-45.34</v>
      </c>
      <c r="L16" s="69">
        <f t="shared" ref="L16:L35" si="4">(D16+E16+F16)</f>
        <v>125.75126857814824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Assumptions'!$E$371:$E$394,'WD_.PX.BDG._.PTC.2031'!$B17-2023,1)/INDEX('2025 IRP Assumptions'!$E$371:$E$394,'WD_.PX.BDG._.PTC.2031'!$B17-2023-1,1)</f>
        <v>90.882856849618747</v>
      </c>
      <c r="E17" s="69" cm="1">
        <f t="array" ref="E17">$E$9*INDEX('2025 IRP Assumptions'!$E$371:$E$394,'WD_.PX.BDG._.PTC.2031'!$B17-2023,1)</f>
        <v>37.609789348650004</v>
      </c>
      <c r="F17" s="237"/>
      <c r="G17" s="70">
        <f t="shared" si="1"/>
        <v>36.844189437982706</v>
      </c>
      <c r="H17" s="69"/>
      <c r="I17" s="69">
        <f t="shared" ref="I17:I25" si="5">-I65</f>
        <v>-50.39</v>
      </c>
      <c r="J17" s="70">
        <f t="shared" si="2"/>
        <v>-13.545810562017294</v>
      </c>
      <c r="K17" s="70">
        <f t="shared" si="3"/>
        <v>-47.24</v>
      </c>
      <c r="L17" s="69">
        <f t="shared" si="4"/>
        <v>128.49264619826874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Assumptions'!$E$371:$E$394,'WD_.PX.BDG._.PTC.2031'!$B18-2023,1)/INDEX('2025 IRP Assumptions'!$E$371:$E$394,'WD_.PX.BDG._.PTC.2031'!$B18-2023-1,1)</f>
        <v>92.86410313002645</v>
      </c>
      <c r="E18" s="69" cm="1">
        <f t="array" ref="E18">$E$9*INDEX('2025 IRP Assumptions'!$E$371:$E$394,'WD_.PX.BDG._.PTC.2031'!$B18-2023,1)</f>
        <v>38.429682756899993</v>
      </c>
      <c r="F18" s="237"/>
      <c r="G18" s="70">
        <f t="shared" si="1"/>
        <v>37.647392768171009</v>
      </c>
      <c r="H18" s="69"/>
      <c r="I18" s="69">
        <f t="shared" si="5"/>
        <v>-50.39</v>
      </c>
      <c r="J18" s="70">
        <f t="shared" si="2"/>
        <v>-12.742607231828991</v>
      </c>
      <c r="K18" s="70">
        <f t="shared" si="3"/>
        <v>-44.44</v>
      </c>
      <c r="L18" s="69">
        <f t="shared" si="4"/>
        <v>131.29378588692646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Assumptions'!$E$371:$E$394,'WD_.PX.BDG._.PTC.2031'!$B19-2023,1)/INDEX('2025 IRP Assumptions'!$E$371:$E$394,'WD_.PX.BDG._.PTC.2031'!$B19-2023-1,1)</f>
        <v>94.888540647491823</v>
      </c>
      <c r="E19" s="69" cm="1">
        <f t="array" ref="E19">$E$9*INDEX('2025 IRP Assumptions'!$E$371:$E$394,'WD_.PX.BDG._.PTC.2031'!$B19-2023,1)</f>
        <v>39.267449869649994</v>
      </c>
      <c r="F19" s="237"/>
      <c r="G19" s="70">
        <f t="shared" si="1"/>
        <v>38.468105958583514</v>
      </c>
      <c r="H19" s="69"/>
      <c r="I19" s="69">
        <f t="shared" si="5"/>
        <v>-51.71</v>
      </c>
      <c r="J19" s="70">
        <f t="shared" si="2"/>
        <v>-13.241894041416487</v>
      </c>
      <c r="K19" s="70">
        <f t="shared" si="3"/>
        <v>-46.18</v>
      </c>
      <c r="L19" s="69">
        <f t="shared" si="4"/>
        <v>134.15599051714182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Assumptions'!$E$371:$E$394,'WD_.PX.BDG._.PTC.2031'!$B20-2023,1)/INDEX('2025 IRP Assumptions'!$E$371:$E$394,'WD_.PX.BDG._.PTC.2031'!$B20-2023-1,1)</f>
        <v>96.957110809301412</v>
      </c>
      <c r="E20" s="69" cm="1">
        <f t="array" ref="E20">$E$9*INDEX('2025 IRP Assumptions'!$E$371:$E$394,'WD_.PX.BDG._.PTC.2031'!$B20-2023,1)</f>
        <v>40.123480266749993</v>
      </c>
      <c r="F20" s="237"/>
      <c r="G20" s="70">
        <f t="shared" si="1"/>
        <v>39.306710658627011</v>
      </c>
      <c r="H20" s="69"/>
      <c r="I20" s="69">
        <f t="shared" si="5"/>
        <v>-53.04</v>
      </c>
      <c r="J20" s="70">
        <f t="shared" si="2"/>
        <v>-13.733289341372988</v>
      </c>
      <c r="K20" s="70">
        <f t="shared" si="3"/>
        <v>-47.89</v>
      </c>
      <c r="L20" s="69">
        <f t="shared" si="4"/>
        <v>137.08059107605141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Assumptions'!$E$371:$E$394,'WD_.PX.BDG._.PTC.2031'!$B21-2023,1)/INDEX('2025 IRP Assumptions'!$E$371:$E$394,'WD_.PX.BDG._.PTC.2031'!$B21-2023-1,1)</f>
        <v>99.070775825632509</v>
      </c>
      <c r="E21" s="69" cm="1">
        <f t="array" ref="E21">$E$9*INDEX('2025 IRP Assumptions'!$E$371:$E$394,'WD_.PX.BDG._.PTC.2031'!$B21-2023,1)</f>
        <v>40.998172136849995</v>
      </c>
      <c r="F21" s="237"/>
      <c r="G21" s="70">
        <f t="shared" si="1"/>
        <v>40.163596951264132</v>
      </c>
      <c r="H21" s="69"/>
      <c r="I21" s="69">
        <f t="shared" si="5"/>
        <v>-54.37</v>
      </c>
      <c r="J21" s="70">
        <f t="shared" si="2"/>
        <v>-14.206403048735865</v>
      </c>
      <c r="K21" s="70">
        <f t="shared" si="3"/>
        <v>-49.54</v>
      </c>
      <c r="L21" s="69">
        <f t="shared" si="4"/>
        <v>140.0689479624825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Assumptions'!$E$371:$E$394,'WD_.PX.BDG._.PTC.2031'!$B22-2023,1)/INDEX('2025 IRP Assumptions'!$E$371:$E$394,'WD_.PX.BDG._.PTC.2031'!$B22-2023-1,1)</f>
        <v>101.23051870955315</v>
      </c>
      <c r="E22" s="69" cm="1">
        <f t="array" ref="E22">$E$9*INDEX('2025 IRP Assumptions'!$E$371:$E$394,'WD_.PX.BDG._.PTC.2031'!$B22-2023,1)</f>
        <v>41.891932277399995</v>
      </c>
      <c r="F22" s="237"/>
      <c r="G22" s="70">
        <f t="shared" si="1"/>
        <v>41.039163353013315</v>
      </c>
      <c r="H22" s="69"/>
      <c r="I22" s="69">
        <f t="shared" si="5"/>
        <v>-55.69</v>
      </c>
      <c r="J22" s="70">
        <f t="shared" si="2"/>
        <v>-14.650836646986683</v>
      </c>
      <c r="K22" s="70">
        <f t="shared" si="3"/>
        <v>-51.09</v>
      </c>
      <c r="L22" s="69">
        <f t="shared" si="4"/>
        <v>143.12245098695314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Assumptions'!$E$371:$E$394,'WD_.PX.BDG._.PTC.2031'!$B23-2023,1)/INDEX('2025 IRP Assumptions'!$E$371:$E$394,'WD_.PX.BDG._.PTC.2031'!$B23-2023-1,1)</f>
        <v>103.43734404183422</v>
      </c>
      <c r="E23" s="69" cm="1">
        <f t="array" ref="E23">$E$9*INDEX('2025 IRP Assumptions'!$E$371:$E$394,'WD_.PX.BDG._.PTC.2031'!$B23-2023,1)</f>
        <v>42.805176411150001</v>
      </c>
      <c r="F23" s="237"/>
      <c r="G23" s="70">
        <f t="shared" si="1"/>
        <v>41.93381712400604</v>
      </c>
      <c r="H23" s="69"/>
      <c r="I23" s="69">
        <f t="shared" si="5"/>
        <v>-55.69</v>
      </c>
      <c r="J23" s="70">
        <f t="shared" si="2"/>
        <v>-13.756182875993957</v>
      </c>
      <c r="K23" s="70">
        <f t="shared" si="3"/>
        <v>-47.97</v>
      </c>
      <c r="L23" s="69">
        <f t="shared" si="4"/>
        <v>146.24252045298422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Assumptions'!$E$371:$E$394,'WD_.PX.BDG._.PTC.2031'!$B24-2023,1)/INDEX('2025 IRP Assumptions'!$E$371:$E$394,'WD_.PX.BDG._.PTC.2031'!$B24-2023-1,1)</f>
        <v>105.69227812391193</v>
      </c>
      <c r="E24" s="69" cm="1">
        <f t="array" ref="E24">$E$9*INDEX('2025 IRP Assumptions'!$E$371:$E$394,'WD_.PX.BDG._.PTC.2031'!$B24-2023,1)</f>
        <v>43.738329249449997</v>
      </c>
      <c r="F24" s="237"/>
      <c r="G24" s="70">
        <f t="shared" si="1"/>
        <v>42.847974329998223</v>
      </c>
      <c r="H24" s="69"/>
      <c r="I24" s="69">
        <f t="shared" si="5"/>
        <v>-57.02</v>
      </c>
      <c r="J24" s="70">
        <f t="shared" si="2"/>
        <v>-14.17202567000178</v>
      </c>
      <c r="K24" s="70">
        <f t="shared" si="3"/>
        <v>-49.42</v>
      </c>
      <c r="L24" s="69">
        <f t="shared" si="4"/>
        <v>149.43060737336194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Assumptions'!$E$371:$E$394,'WD_.PX.BDG._.PTC.2031'!$B25-2023,1)/INDEX('2025 IRP Assumptions'!$E$371:$E$394,'WD_.PX.BDG._.PTC.2031'!$B25-2023-1,1)</f>
        <v>107.99636981918123</v>
      </c>
      <c r="E25" s="69" cm="1">
        <f t="array" ref="E25">$E$9*INDEX('2025 IRP Assumptions'!$E$371:$E$394,'WD_.PX.BDG._.PTC.2031'!$B25-2023,1)</f>
        <v>44.691824840399995</v>
      </c>
      <c r="F25" s="237"/>
      <c r="G25" s="70">
        <f t="shared" si="1"/>
        <v>43.782060183433195</v>
      </c>
      <c r="H25" s="69"/>
      <c r="I25" s="69">
        <f t="shared" si="5"/>
        <v>-58.35</v>
      </c>
      <c r="J25" s="70">
        <f t="shared" si="2"/>
        <v>-14.567939816566806</v>
      </c>
      <c r="K25" s="70">
        <f t="shared" si="3"/>
        <v>-50.81</v>
      </c>
      <c r="L25" s="69">
        <f t="shared" si="4"/>
        <v>152.68819465958123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Assumptions'!$E$371:$E$394,'WD_.PX.BDG._.PTC.2031'!$B26-2023,1)/INDEX('2025 IRP Assumptions'!$E$371:$E$394,'WD_.PX.BDG._.PTC.2031'!$B26-2023-1,1)</f>
        <v>110.3506906294769</v>
      </c>
      <c r="E26" s="69" cm="1">
        <f t="array" ref="E26">$E$9*INDEX('2025 IRP Assumptions'!$E$371:$E$394,'WD_.PX.BDG._.PTC.2031'!$B26-2023,1)</f>
        <v>45.666106600499994</v>
      </c>
      <c r="F26" s="237"/>
      <c r="G26" s="70">
        <f t="shared" si="1"/>
        <v>44.736509074447369</v>
      </c>
      <c r="H26" s="69"/>
      <c r="I26" s="69"/>
      <c r="J26" s="70">
        <f t="shared" si="2"/>
        <v>44.736509074447369</v>
      </c>
      <c r="K26" s="70">
        <f t="shared" si="3"/>
        <v>156.02000000000001</v>
      </c>
      <c r="L26" s="69">
        <f t="shared" si="4"/>
        <v>156.0167972299769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Assumptions'!$E$371:$E$394,'WD_.PX.BDG._.PTC.2031'!$B27-2023,1)/INDEX('2025 IRP Assumptions'!$E$371:$E$394,'WD_.PX.BDG._.PTC.2031'!$B27-2023-1,1)</f>
        <v>112.75633568932949</v>
      </c>
      <c r="E27" s="69" cm="1">
        <f t="array" ref="E27">$E$9*INDEX('2025 IRP Assumptions'!$E$371:$E$394,'WD_.PX.BDG._.PTC.2031'!$B27-2023,1)</f>
        <v>46.661627726100001</v>
      </c>
      <c r="F27" s="237"/>
      <c r="G27" s="70">
        <f t="shared" si="1"/>
        <v>45.711764973944632</v>
      </c>
      <c r="H27" s="69"/>
      <c r="I27" s="69"/>
      <c r="J27" s="70">
        <f t="shared" si="2"/>
        <v>45.711764973944632</v>
      </c>
      <c r="K27" s="70">
        <f t="shared" si="3"/>
        <v>159.41999999999999</v>
      </c>
      <c r="L27" s="69">
        <f t="shared" si="4"/>
        <v>159.41796341542948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Assumptions'!$E$371:$E$394,'WD_.PX.BDG._.PTC.2031'!$B28-2023,1)/INDEX('2025 IRP Assumptions'!$E$371:$E$394,'WD_.PX.BDG._.PTC.2031'!$B28-2023-1,1)</f>
        <v>115.21442384244646</v>
      </c>
      <c r="E28" s="69" cm="1">
        <f t="array" ref="E28">$E$9*INDEX('2025 IRP Assumptions'!$E$371:$E$394,'WD_.PX.BDG._.PTC.2031'!$B28-2023,1)</f>
        <v>47.678851225049996</v>
      </c>
      <c r="F28" s="237"/>
      <c r="G28" s="70">
        <f t="shared" si="1"/>
        <v>46.708281464602052</v>
      </c>
      <c r="H28" s="69"/>
      <c r="I28" s="69"/>
      <c r="J28" s="70">
        <f t="shared" si="2"/>
        <v>46.708281464602052</v>
      </c>
      <c r="K28" s="70">
        <f t="shared" si="3"/>
        <v>162.88999999999999</v>
      </c>
      <c r="L28" s="69">
        <f t="shared" si="4"/>
        <v>162.89327506749646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Assumptions'!$E$371:$E$394,'WD_.PX.BDG._.PTC.2031'!$B29-2023,1)/INDEX('2025 IRP Assumptions'!$E$371:$E$394,'WD_.PX.BDG._.PTC.2031'!$B29-2023-1,1)</f>
        <v>117.72609825356193</v>
      </c>
      <c r="E29" s="69" cm="1">
        <f t="array" ref="E29">$E$9*INDEX('2025 IRP Assumptions'!$E$371:$E$394,'WD_.PX.BDG._.PTC.2031'!$B29-2023,1)</f>
        <v>48.718250169900003</v>
      </c>
      <c r="F29" s="237"/>
      <c r="G29" s="70">
        <f t="shared" si="1"/>
        <v>47.726521988915628</v>
      </c>
      <c r="H29" s="69"/>
      <c r="I29" s="69"/>
      <c r="J29" s="70">
        <f t="shared" si="2"/>
        <v>47.726521988915628</v>
      </c>
      <c r="K29" s="70">
        <f t="shared" si="3"/>
        <v>166.44</v>
      </c>
      <c r="L29" s="69">
        <f t="shared" si="4"/>
        <v>166.44434842346192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Assumptions'!$E$371:$E$394,'WD_.PX.BDG._.PTC.2031'!$B30-2023,1)/INDEX('2025 IRP Assumptions'!$E$371:$E$394,'WD_.PX.BDG._.PTC.2031'!$B30-2023-1,1)</f>
        <v>120.29252724973006</v>
      </c>
      <c r="E30" s="69" cm="1">
        <f t="array" ref="E30">$E$9*INDEX('2025 IRP Assumptions'!$E$371:$E$394,'WD_.PX.BDG._.PTC.2031'!$B30-2023,1)</f>
        <v>49.780308046050003</v>
      </c>
      <c r="F30" s="237"/>
      <c r="G30" s="70">
        <f t="shared" si="1"/>
        <v>48.766960190263255</v>
      </c>
      <c r="H30" s="69"/>
      <c r="I30" s="69"/>
      <c r="J30" s="70">
        <f t="shared" si="2"/>
        <v>48.766960190263255</v>
      </c>
      <c r="K30" s="70">
        <f t="shared" si="3"/>
        <v>170.07</v>
      </c>
      <c r="L30" s="69">
        <f t="shared" si="4"/>
        <v>170.07283529578007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Assumptions'!$E$371:$E$394,'WD_.PX.BDG._.PTC.2031'!$B31-2023,1)/INDEX('2025 IRP Assumptions'!$E$371:$E$394,'WD_.PX.BDG._.PTC.2031'!$B31-2023-1,1)</f>
        <v>122.91490432032502</v>
      </c>
      <c r="E31" s="69" cm="1">
        <f t="array" ref="E31">$E$9*INDEX('2025 IRP Assumptions'!$E$371:$E$394,'WD_.PX.BDG._.PTC.2031'!$B31-2023,1)</f>
        <v>50.865518751749995</v>
      </c>
      <c r="F31" s="237"/>
      <c r="G31" s="70">
        <f t="shared" si="1"/>
        <v>49.83007991290463</v>
      </c>
      <c r="H31" s="69"/>
      <c r="I31" s="69"/>
      <c r="J31" s="70">
        <f t="shared" si="2"/>
        <v>49.83007991290463</v>
      </c>
      <c r="K31" s="70">
        <f t="shared" si="3"/>
        <v>173.78</v>
      </c>
      <c r="L31" s="69">
        <f t="shared" si="4"/>
        <v>173.78042307207502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Assumptions'!$E$371:$E$394,'WD_.PX.BDG._.PTC.2031'!$B32-2023,1)/INDEX('2025 IRP Assumptions'!$E$371:$E$394,'WD_.PX.BDG._.PTC.2031'!$B32-2023-1,1)</f>
        <v>125.59444918777807</v>
      </c>
      <c r="E32" s="69" cm="1">
        <f t="array" ref="E32">$E$9*INDEX('2025 IRP Assumptions'!$E$371:$E$394,'WD_.PX.BDG._.PTC.2031'!$B32-2023,1)</f>
        <v>51.974387041199996</v>
      </c>
      <c r="F32" s="237"/>
      <c r="G32" s="70">
        <f t="shared" si="1"/>
        <v>50.916375636061453</v>
      </c>
      <c r="H32" s="69"/>
      <c r="I32" s="69"/>
      <c r="J32" s="70">
        <f t="shared" si="2"/>
        <v>50.916375636061453</v>
      </c>
      <c r="K32" s="70">
        <f t="shared" si="3"/>
        <v>177.57</v>
      </c>
      <c r="L32" s="69">
        <f t="shared" si="4"/>
        <v>177.56883622897806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128.33240813232288</v>
      </c>
      <c r="E33" s="232">
        <f t="shared" si="6"/>
        <v>53.107428658938439</v>
      </c>
      <c r="F33" s="237"/>
      <c r="G33" s="70">
        <f t="shared" si="1"/>
        <v>52.026352605570104</v>
      </c>
      <c r="H33" s="69"/>
      <c r="I33" s="322"/>
      <c r="J33" s="70">
        <f t="shared" si="2"/>
        <v>52.026352605570104</v>
      </c>
      <c r="K33" s="70">
        <f t="shared" si="3"/>
        <v>181.44</v>
      </c>
      <c r="L33" s="69">
        <f t="shared" si="4"/>
        <v>181.43983679126131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131.13005458081784</v>
      </c>
      <c r="E34" s="232">
        <f t="shared" si="6"/>
        <v>54.26517058351282</v>
      </c>
      <c r="F34" s="237"/>
      <c r="G34" s="70">
        <f t="shared" si="1"/>
        <v>53.160527072592053</v>
      </c>
      <c r="H34" s="69"/>
      <c r="I34" s="322"/>
      <c r="J34" s="70">
        <f t="shared" si="2"/>
        <v>53.160527072592053</v>
      </c>
      <c r="K34" s="70">
        <f t="shared" si="3"/>
        <v>185.4</v>
      </c>
      <c r="L34" s="69">
        <f t="shared" si="4"/>
        <v>185.39522516433067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133.98868972082636</v>
      </c>
      <c r="E35" s="232">
        <f t="shared" si="6"/>
        <v>55.448151281602769</v>
      </c>
      <c r="F35" s="237"/>
      <c r="G35" s="70">
        <f t="shared" si="1"/>
        <v>54.319426542563882</v>
      </c>
      <c r="H35" s="69"/>
      <c r="I35" s="322"/>
      <c r="J35" s="70">
        <f t="shared" si="2"/>
        <v>54.319426542563882</v>
      </c>
      <c r="K35" s="70">
        <f t="shared" si="3"/>
        <v>189.44</v>
      </c>
      <c r="L35" s="69">
        <f t="shared" si="4"/>
        <v>189.43684100242913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136.90964310580026</v>
      </c>
      <c r="E36" s="232">
        <f t="shared" si="7"/>
        <v>56.656920958461328</v>
      </c>
      <c r="F36" s="237"/>
      <c r="G36" s="70">
        <f t="shared" si="1"/>
        <v>55.503590020540493</v>
      </c>
      <c r="H36" s="69"/>
      <c r="I36" s="322"/>
      <c r="J36" s="70">
        <f t="shared" ref="J36:J45" si="8">(G36+H36+I36)</f>
        <v>55.503590020540493</v>
      </c>
      <c r="K36" s="70">
        <f t="shared" si="3"/>
        <v>193.57</v>
      </c>
      <c r="L36" s="69">
        <f t="shared" ref="L36:L45" si="9">(D36+E36+F36)</f>
        <v>193.56656406426157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139.89427327345609</v>
      </c>
      <c r="E37" s="232">
        <f t="shared" si="10"/>
        <v>57.892041813815851</v>
      </c>
      <c r="F37" s="237"/>
      <c r="G37" s="70">
        <f t="shared" si="1"/>
        <v>56.713568261886806</v>
      </c>
      <c r="H37" s="69"/>
      <c r="I37" s="322"/>
      <c r="J37" s="70">
        <f t="shared" si="8"/>
        <v>56.713568261886806</v>
      </c>
      <c r="K37" s="70">
        <f t="shared" si="3"/>
        <v>197.79</v>
      </c>
      <c r="L37" s="69">
        <f t="shared" si="9"/>
        <v>197.78631508727193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142.9439683776321</v>
      </c>
      <c r="E38" s="232">
        <f t="shared" si="11"/>
        <v>59.154088303347535</v>
      </c>
      <c r="F38" s="237"/>
      <c r="G38" s="70">
        <f t="shared" si="1"/>
        <v>57.949924028434452</v>
      </c>
      <c r="H38" s="69"/>
      <c r="I38" s="322"/>
      <c r="J38" s="70">
        <f t="shared" si="8"/>
        <v>57.949924028434452</v>
      </c>
      <c r="K38" s="70">
        <f t="shared" si="3"/>
        <v>202.1</v>
      </c>
      <c r="L38" s="69">
        <f t="shared" si="9"/>
        <v>202.09805668097965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146.06014683391973</v>
      </c>
      <c r="E39" s="232">
        <f t="shared" si="12"/>
        <v>60.443647405871204</v>
      </c>
      <c r="F39" s="237"/>
      <c r="G39" s="70">
        <f t="shared" si="1"/>
        <v>59.213232350222796</v>
      </c>
      <c r="H39" s="69"/>
      <c r="I39" s="322"/>
      <c r="J39" s="70">
        <f t="shared" si="8"/>
        <v>59.213232350222796</v>
      </c>
      <c r="K39" s="70">
        <f t="shared" si="3"/>
        <v>206.5</v>
      </c>
      <c r="L39" s="69">
        <f t="shared" si="9"/>
        <v>206.50379423979092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149.24425797936971</v>
      </c>
      <c r="E40" s="232">
        <f t="shared" si="13"/>
        <v>61.761318896339617</v>
      </c>
      <c r="F40" s="237"/>
      <c r="G40" s="70">
        <f t="shared" si="1"/>
        <v>60.504080792945842</v>
      </c>
      <c r="H40" s="69"/>
      <c r="I40" s="322"/>
      <c r="J40" s="70">
        <f t="shared" si="8"/>
        <v>60.504080792945842</v>
      </c>
      <c r="K40" s="70">
        <f t="shared" si="3"/>
        <v>211.01</v>
      </c>
      <c r="L40" s="69">
        <f t="shared" si="9"/>
        <v>211.00557687570932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152.49778274657996</v>
      </c>
      <c r="E41" s="232">
        <f t="shared" si="14"/>
        <v>63.10771562479929</v>
      </c>
      <c r="F41" s="237"/>
      <c r="G41" s="70">
        <f t="shared" si="1"/>
        <v>61.823069731229495</v>
      </c>
      <c r="H41" s="69"/>
      <c r="I41" s="322"/>
      <c r="J41" s="70">
        <f t="shared" si="8"/>
        <v>61.823069731229495</v>
      </c>
      <c r="K41" s="70">
        <f t="shared" si="3"/>
        <v>215.61</v>
      </c>
      <c r="L41" s="69">
        <f t="shared" si="9"/>
        <v>215.60549837137924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155.82223435247846</v>
      </c>
      <c r="E42" s="232">
        <f t="shared" si="15"/>
        <v>64.483463801427504</v>
      </c>
      <c r="F42" s="237"/>
      <c r="G42" s="70">
        <f t="shared" si="1"/>
        <v>63.170812627866269</v>
      </c>
      <c r="H42" s="69"/>
      <c r="I42" s="322"/>
      <c r="J42" s="70">
        <f t="shared" si="8"/>
        <v>63.170812627866269</v>
      </c>
      <c r="K42" s="70">
        <f t="shared" si="3"/>
        <v>220.31</v>
      </c>
      <c r="L42" s="69">
        <f t="shared" si="9"/>
        <v>220.30569815390595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159.21915900212167</v>
      </c>
      <c r="E43" s="232">
        <f t="shared" si="16"/>
        <v>65.889203287783189</v>
      </c>
      <c r="F43" s="237"/>
      <c r="G43" s="70">
        <f t="shared" si="1"/>
        <v>64.547936319137349</v>
      </c>
      <c r="H43" s="69"/>
      <c r="I43" s="322"/>
      <c r="J43" s="70">
        <f t="shared" si="8"/>
        <v>64.547936319137349</v>
      </c>
      <c r="K43" s="70">
        <f t="shared" si="3"/>
        <v>225.11</v>
      </c>
      <c r="L43" s="69">
        <f t="shared" si="9"/>
        <v>225.10836228990485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162.69013660783565</v>
      </c>
      <c r="E44" s="232">
        <f t="shared" si="17"/>
        <v>67.325587894406993</v>
      </c>
      <c r="F44" s="237"/>
      <c r="G44" s="70">
        <f t="shared" si="1"/>
        <v>65.955081306354586</v>
      </c>
      <c r="H44" s="69"/>
      <c r="I44" s="322"/>
      <c r="J44" s="70">
        <f t="shared" si="8"/>
        <v>65.955081306354586</v>
      </c>
      <c r="K44" s="70">
        <f t="shared" si="3"/>
        <v>230.02</v>
      </c>
      <c r="L44" s="69">
        <f t="shared" si="9"/>
        <v>230.01572450224265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18">D44*D44/D43</f>
        <v>166.2367815240346</v>
      </c>
      <c r="E45" s="232">
        <f t="shared" si="18"/>
        <v>68.793285684909108</v>
      </c>
      <c r="F45" s="237"/>
      <c r="G45" s="70">
        <f t="shared" si="1"/>
        <v>67.392902053758192</v>
      </c>
      <c r="H45" s="69"/>
      <c r="I45" s="322"/>
      <c r="J45" s="70">
        <f t="shared" si="8"/>
        <v>67.392902053758192</v>
      </c>
      <c r="K45" s="70">
        <f t="shared" si="3"/>
        <v>235.03</v>
      </c>
      <c r="L45" s="69">
        <f t="shared" si="9"/>
        <v>235.03006720894371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18"/>
        <v>169.86074329805831</v>
      </c>
      <c r="E46" s="232">
        <f t="shared" si="18"/>
        <v>70.292979286686176</v>
      </c>
      <c r="F46" s="237"/>
      <c r="G46" s="70">
        <f t="shared" si="1"/>
        <v>68.862067292908549</v>
      </c>
      <c r="H46" s="69"/>
      <c r="I46" s="322"/>
      <c r="J46" s="70">
        <f t="shared" ref="J46" si="19">(G46+H46+I46)</f>
        <v>68.862067292908549</v>
      </c>
      <c r="K46" s="70">
        <f t="shared" si="3"/>
        <v>240.15</v>
      </c>
      <c r="L46" s="69">
        <f t="shared" ref="L46" si="20">(D46+E46+F46)</f>
        <v>240.15372258474449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C48" s="71"/>
      <c r="D48" s="69"/>
      <c r="E48" s="69"/>
      <c r="F48" s="69">
        <f>NPV(Discount_Rate,F16:F45)</f>
        <v>0</v>
      </c>
      <c r="G48" s="70"/>
      <c r="H48" s="69"/>
      <c r="I48" s="69"/>
      <c r="J48" s="70">
        <f>-PMT(Discount_Rate,COUNT(J$16:J$45),NPV(Discount_Rate,J$16:J$45))</f>
        <v>16.532197477806097</v>
      </c>
      <c r="K48" s="70">
        <f>-PMT(Discount_Rate,COUNT(K$16:K$45),NPV(Discount_Rate,K$16:K$45))</f>
        <v>57.656960432582011</v>
      </c>
      <c r="L48" s="70">
        <f>-PMT(Discount_Rate,COUNT(L$16:L$45),NPV(Discount_Rate,L$16:L$45))</f>
        <v>158.8067412592269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144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171.09479998461904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175.73312212036186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175.73312212036186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180.33656965358031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184.97489178932315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189.61321392506596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194.21666145828442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194.21666145828442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198.85498359402726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203.4933057297701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78.387942811987912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B8A2FE57-18D5-40B3-9A91-F46D8ADDDC17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B7375-8AE8-4F87-8C0C-ACEFA93D93BC}">
  <sheetPr>
    <tabColor rgb="FFCCFFCC"/>
    <pageSetUpPr fitToPage="1"/>
  </sheetPr>
  <dimension ref="B1:AC89"/>
  <sheetViews>
    <sheetView workbookViewId="0">
      <selection activeCell="F20" sqref="F19:F20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6.83203125" style="61" customWidth="1"/>
    <col min="7" max="7" width="18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 ht="51.75" customHeight="1">
      <c r="B4" s="62" t="s">
        <v>0</v>
      </c>
      <c r="C4" s="63" t="s">
        <v>10</v>
      </c>
      <c r="D4" s="63" t="s">
        <v>11</v>
      </c>
      <c r="E4" s="63" t="s">
        <v>12</v>
      </c>
      <c r="F4" s="14"/>
      <c r="G4" s="63" t="s">
        <v>59</v>
      </c>
      <c r="H4" s="14" t="s">
        <v>13</v>
      </c>
      <c r="I4" s="63" t="s">
        <v>113</v>
      </c>
      <c r="J4" s="63" t="s">
        <v>65</v>
      </c>
      <c r="K4" s="14" t="s">
        <v>49</v>
      </c>
      <c r="L4" s="63" t="s">
        <v>87</v>
      </c>
      <c r="N4" s="100"/>
      <c r="O4" s="100"/>
      <c r="Q4" s="100"/>
      <c r="T4" s="142"/>
      <c r="Z4" s="100"/>
      <c r="AA4" s="100"/>
    </row>
    <row r="5" spans="2:29" ht="24" customHeight="1">
      <c r="B5" s="64"/>
      <c r="C5" s="65" t="s">
        <v>8</v>
      </c>
      <c r="D5" s="66" t="s">
        <v>9</v>
      </c>
      <c r="E5" s="66" t="s">
        <v>9</v>
      </c>
      <c r="F5" s="16"/>
      <c r="G5" s="65" t="s">
        <v>31</v>
      </c>
      <c r="H5" s="15" t="s">
        <v>31</v>
      </c>
      <c r="I5" s="15" t="s">
        <v>31</v>
      </c>
      <c r="J5" s="65" t="s">
        <v>31</v>
      </c>
      <c r="K5" s="16" t="s">
        <v>9</v>
      </c>
      <c r="L5" s="66" t="s">
        <v>9</v>
      </c>
      <c r="W5" s="79"/>
      <c r="X5" s="79"/>
    </row>
    <row r="6" spans="2:29">
      <c r="C6" s="67" t="s">
        <v>1</v>
      </c>
      <c r="D6" s="67" t="s">
        <v>2</v>
      </c>
      <c r="E6" s="67" t="s">
        <v>3</v>
      </c>
      <c r="F6" s="67"/>
      <c r="G6" s="67" t="s">
        <v>5</v>
      </c>
      <c r="H6" s="67" t="s">
        <v>7</v>
      </c>
      <c r="I6" s="67" t="s">
        <v>22</v>
      </c>
      <c r="J6" s="67" t="s">
        <v>22</v>
      </c>
      <c r="K6" s="67" t="s">
        <v>23</v>
      </c>
      <c r="L6" s="67" t="s">
        <v>24</v>
      </c>
      <c r="R6" s="72"/>
      <c r="S6" s="79"/>
      <c r="U6" s="79"/>
    </row>
    <row r="7" spans="2:29" ht="21.75" hidden="1" customHeight="1">
      <c r="R7" s="72"/>
      <c r="X7" s="72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Assumptions'!$E$371:$E$394,'WD_.PX.DJW._.PTC.2029'!$B10-2023,1)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Assumptions'!$E$371:$E$394,'WD_.PX.DJW._.PTC.2029'!$B11-2023,1)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Assumptions'!$E$371:$E$394,'WD_.PX.DJW._.PTC.2029'!$B12-2023,1)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Assumptions'!$E$371:$E$394,'WD_.PX.DJW._.PTC.2029'!$B13-2023,1)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205">
        <f>C14*$C$60</f>
        <v>88.055569992524042</v>
      </c>
      <c r="E14" s="69" cm="1">
        <f t="array" ref="E14">$E$9*INDEX('2025 IRP Assumptions'!$E$371:$E$394,'WD_.PX.DJW._.PTC.2029'!$B14-2023,1)</f>
        <v>35.253578386050002</v>
      </c>
      <c r="F14" s="237"/>
      <c r="G14" s="70">
        <f t="shared" ref="G14:G46" si="1">(D14+E14+F14)/(8.76*$C$61)</f>
        <v>33.825964309469285</v>
      </c>
      <c r="H14" s="69"/>
      <c r="I14" s="69">
        <f t="shared" ref="I14:I23" si="2">-I64</f>
        <v>-47.74</v>
      </c>
      <c r="J14" s="70">
        <f t="shared" ref="J14:J33" si="3">(G14+H14+I14)</f>
        <v>-13.914035690530717</v>
      </c>
      <c r="K14" s="70">
        <f t="shared" ref="K14:K46" si="4">ROUND(J14*$C$61*8.76,2)</f>
        <v>-50.72</v>
      </c>
      <c r="L14" s="69">
        <f t="shared" ref="L14:L33" si="5">(D14+E14+F14)</f>
        <v>123.30914837857404</v>
      </c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/>
      <c r="D15" s="69" cm="1">
        <f t="array" ref="D15">D14*INDEX('2025 IRP Assumptions'!$E$371:$E$394,'WD_.PX.DJW._.PTC.2029'!$B15-2023,1)/INDEX('2025 IRP Assumptions'!$E$371:$E$394,'WD_.PX.DJW._.PTC.2029'!$B15-2023-1,1)</f>
        <v>89.975181371987603</v>
      </c>
      <c r="E15" s="69" cm="1">
        <f t="array" ref="E15">$E$9*INDEX('2025 IRP Assumptions'!$E$371:$E$394,'WD_.PX.DJW._.PTC.2029'!$B15-2023,1)</f>
        <v>36.022106376299995</v>
      </c>
      <c r="F15" s="237"/>
      <c r="G15" s="70">
        <f t="shared" si="1"/>
        <v>34.563370313601652</v>
      </c>
      <c r="H15" s="69"/>
      <c r="I15" s="69">
        <f t="shared" si="2"/>
        <v>-47.74</v>
      </c>
      <c r="J15" s="70">
        <f t="shared" si="3"/>
        <v>-13.17662968639835</v>
      </c>
      <c r="K15" s="70">
        <f t="shared" si="4"/>
        <v>-48.03</v>
      </c>
      <c r="L15" s="69">
        <f t="shared" si="5"/>
        <v>125.99728774828759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Assumptions'!$E$371:$E$394,'WD_.PX.DJW._.PTC.2029'!$B16-2023,1)/INDEX('2025 IRP Assumptions'!$E$371:$E$394,'WD_.PX.DJW._.PTC.2029'!$B16-2023-1,1)</f>
        <v>91.93664032276638</v>
      </c>
      <c r="E16" s="69" cm="1">
        <f t="array" ref="E16">$E$9*INDEX('2025 IRP Assumptions'!$E$371:$E$394,'WD_.PX.DJW._.PTC.2029'!$B16-2023,1)</f>
        <v>36.80738829405</v>
      </c>
      <c r="F16" s="237"/>
      <c r="G16" s="70">
        <f t="shared" si="1"/>
        <v>35.316851785235585</v>
      </c>
      <c r="H16" s="69"/>
      <c r="I16" s="69">
        <f t="shared" si="2"/>
        <v>-49.06</v>
      </c>
      <c r="J16" s="70">
        <f t="shared" si="3"/>
        <v>-13.743148214764418</v>
      </c>
      <c r="K16" s="70">
        <f t="shared" si="4"/>
        <v>-50.1</v>
      </c>
      <c r="L16" s="69">
        <f t="shared" si="5"/>
        <v>128.74402861681637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Assumptions'!$E$371:$E$394,'WD_.PX.DJW._.PTC.2029'!$B17-2023,1)/INDEX('2025 IRP Assumptions'!$E$371:$E$394,'WD_.PX.DJW._.PTC.2029'!$B17-2023-1,1)</f>
        <v>93.940859056299658</v>
      </c>
      <c r="E17" s="69" cm="1">
        <f t="array" ref="E17">$E$9*INDEX('2025 IRP Assumptions'!$E$371:$E$394,'WD_.PX.DJW._.PTC.2029'!$B17-2023,1)</f>
        <v>37.609789348650004</v>
      </c>
      <c r="F17" s="237"/>
      <c r="G17" s="70">
        <f t="shared" si="1"/>
        <v>36.086759144356911</v>
      </c>
      <c r="H17" s="69"/>
      <c r="I17" s="69">
        <f t="shared" si="2"/>
        <v>-50.39</v>
      </c>
      <c r="J17" s="70">
        <f t="shared" si="3"/>
        <v>-14.303240855643089</v>
      </c>
      <c r="K17" s="70">
        <f t="shared" si="4"/>
        <v>-52.14</v>
      </c>
      <c r="L17" s="69">
        <f t="shared" si="5"/>
        <v>131.55064840494967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Assumptions'!$E$371:$E$394,'WD_.PX.DJW._.PTC.2029'!$B18-2023,1)/INDEX('2025 IRP Assumptions'!$E$371:$E$394,'WD_.PX.DJW._.PTC.2029'!$B18-2023-1,1)</f>
        <v>95.988769784849552</v>
      </c>
      <c r="E18" s="69" cm="1">
        <f t="array" ref="E18">$E$9*INDEX('2025 IRP Assumptions'!$E$371:$E$394,'WD_.PX.DJW._.PTC.2029'!$B18-2023,1)</f>
        <v>38.429682756899993</v>
      </c>
      <c r="F18" s="237"/>
      <c r="G18" s="70">
        <f t="shared" si="1"/>
        <v>36.873450494135113</v>
      </c>
      <c r="H18" s="69"/>
      <c r="I18" s="69">
        <f t="shared" si="2"/>
        <v>-50.39</v>
      </c>
      <c r="J18" s="70">
        <f t="shared" si="3"/>
        <v>-13.516549505864887</v>
      </c>
      <c r="K18" s="70">
        <f t="shared" si="4"/>
        <v>-49.27</v>
      </c>
      <c r="L18" s="69">
        <f t="shared" si="5"/>
        <v>134.41845254174956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Assumptions'!$E$371:$E$394,'WD_.PX.DJW._.PTC.2029'!$B19-2023,1)/INDEX('2025 IRP Assumptions'!$E$371:$E$394,'WD_.PX.DJW._.PTC.2029'!$B19-2023-1,1)</f>
        <v>98.081325037719537</v>
      </c>
      <c r="E19" s="69" cm="1">
        <f t="array" ref="E19">$E$9*INDEX('2025 IRP Assumptions'!$E$371:$E$394,'WD_.PX.DJW._.PTC.2029'!$B19-2023,1)</f>
        <v>39.267449869649994</v>
      </c>
      <c r="F19" s="237"/>
      <c r="G19" s="70">
        <f t="shared" si="1"/>
        <v>37.677291742396662</v>
      </c>
      <c r="H19" s="69"/>
      <c r="I19" s="69">
        <f t="shared" si="2"/>
        <v>-51.71</v>
      </c>
      <c r="J19" s="70">
        <f t="shared" si="3"/>
        <v>-14.032708257603339</v>
      </c>
      <c r="K19" s="70">
        <f t="shared" si="4"/>
        <v>-51.15</v>
      </c>
      <c r="L19" s="69">
        <f t="shared" si="5"/>
        <v>137.34877490736955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Assumptions'!$E$371:$E$394,'WD_.PX.DJW._.PTC.2029'!$B20-2023,1)/INDEX('2025 IRP Assumptions'!$E$371:$E$394,'WD_.PX.DJW._.PTC.2029'!$B20-2023-1,1)</f>
        <v>100.21949789841825</v>
      </c>
      <c r="E20" s="69" cm="1">
        <f t="array" ref="E20">$E$9*INDEX('2025 IRP Assumptions'!$E$371:$E$394,'WD_.PX.DJW._.PTC.2029'!$B20-2023,1)</f>
        <v>40.123480266749993</v>
      </c>
      <c r="F20" s="237"/>
      <c r="G20" s="70">
        <f t="shared" si="1"/>
        <v>38.498656692729853</v>
      </c>
      <c r="H20" s="69"/>
      <c r="I20" s="69">
        <f t="shared" si="2"/>
        <v>-53.04</v>
      </c>
      <c r="J20" s="70">
        <f t="shared" si="3"/>
        <v>-14.541343307270147</v>
      </c>
      <c r="K20" s="70">
        <f t="shared" si="4"/>
        <v>-53.01</v>
      </c>
      <c r="L20" s="69">
        <f t="shared" si="5"/>
        <v>140.34297816516823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Assumptions'!$E$371:$E$394,'WD_.PX.DJW._.PTC.2029'!$B21-2023,1)/INDEX('2025 IRP Assumptions'!$E$371:$E$394,'WD_.PX.DJW._.PTC.2029'!$B21-2023-1,1)</f>
        <v>102.40428295331526</v>
      </c>
      <c r="E21" s="69" cm="1">
        <f t="array" ref="E21">$E$9*INDEX('2025 IRP Assumptions'!$E$371:$E$394,'WD_.PX.DJW._.PTC.2029'!$B21-2023,1)</f>
        <v>40.998172136849995</v>
      </c>
      <c r="F21" s="237"/>
      <c r="G21" s="70">
        <f t="shared" si="1"/>
        <v>39.337927408904683</v>
      </c>
      <c r="H21" s="69"/>
      <c r="I21" s="69">
        <f t="shared" si="2"/>
        <v>-54.37</v>
      </c>
      <c r="J21" s="70">
        <f t="shared" si="3"/>
        <v>-15.032072591095314</v>
      </c>
      <c r="K21" s="70">
        <f t="shared" si="4"/>
        <v>-54.8</v>
      </c>
      <c r="L21" s="69">
        <f t="shared" si="5"/>
        <v>143.40245509016526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Assumptions'!$E$371:$E$394,'WD_.PX.DJW._.PTC.2029'!$B22-2023,1)/INDEX('2025 IRP Assumptions'!$E$371:$E$394,'WD_.PX.DJW._.PTC.2029'!$B22-2023-1,1)</f>
        <v>104.63669629164096</v>
      </c>
      <c r="E22" s="69" cm="1">
        <f t="array" ref="E22">$E$9*INDEX('2025 IRP Assumptions'!$E$371:$E$394,'WD_.PX.DJW._.PTC.2029'!$B22-2023,1)</f>
        <v>41.891932277399995</v>
      </c>
      <c r="F22" s="237"/>
      <c r="G22" s="70">
        <f t="shared" si="1"/>
        <v>40.195494214872767</v>
      </c>
      <c r="H22" s="69"/>
      <c r="I22" s="69">
        <f t="shared" si="2"/>
        <v>-55.69</v>
      </c>
      <c r="J22" s="70">
        <f t="shared" si="3"/>
        <v>-15.494505785127231</v>
      </c>
      <c r="K22" s="70">
        <f t="shared" si="4"/>
        <v>-56.48</v>
      </c>
      <c r="L22" s="69">
        <f t="shared" si="5"/>
        <v>146.52862856904096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Assumptions'!$E$371:$E$394,'WD_.PX.DJW._.PTC.2029'!$B23-2023,1)/INDEX('2025 IRP Assumptions'!$E$371:$E$394,'WD_.PX.DJW._.PTC.2029'!$B23-2023-1,1)</f>
        <v>106.91777629603298</v>
      </c>
      <c r="E23" s="69" cm="1">
        <f t="array" ref="E23">$E$9*INDEX('2025 IRP Assumptions'!$E$371:$E$394,'WD_.PX.DJW._.PTC.2029'!$B23-2023,1)</f>
        <v>42.805176411150001</v>
      </c>
      <c r="F23" s="237"/>
      <c r="G23" s="70">
        <f t="shared" si="1"/>
        <v>41.071755998450563</v>
      </c>
      <c r="H23" s="69"/>
      <c r="I23" s="69">
        <f t="shared" si="2"/>
        <v>-55.69</v>
      </c>
      <c r="J23" s="70">
        <f t="shared" si="3"/>
        <v>-14.618244001549435</v>
      </c>
      <c r="K23" s="70">
        <f t="shared" si="4"/>
        <v>-53.29</v>
      </c>
      <c r="L23" s="69">
        <f t="shared" si="5"/>
        <v>149.72295270718297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Assumptions'!$E$371:$E$394,'WD_.PX.DJW._.PTC.2029'!$B24-2023,1)/INDEX('2025 IRP Assumptions'!$E$371:$E$394,'WD_.PX.DJW._.PTC.2029'!$B24-2023-1,1)</f>
        <v>109.24858380064542</v>
      </c>
      <c r="E24" s="69" cm="1">
        <f t="array" ref="E24">$E$9*INDEX('2025 IRP Assumptions'!$E$371:$E$394,'WD_.PX.DJW._.PTC.2029'!$B24-2023,1)</f>
        <v>43.738329249449997</v>
      </c>
      <c r="F24" s="237"/>
      <c r="G24" s="70">
        <f t="shared" si="1"/>
        <v>41.967120272055936</v>
      </c>
      <c r="H24" s="69"/>
      <c r="I24" s="69"/>
      <c r="J24" s="70">
        <f t="shared" si="3"/>
        <v>41.967120272055936</v>
      </c>
      <c r="K24" s="70">
        <f t="shared" si="4"/>
        <v>152.99</v>
      </c>
      <c r="L24" s="69">
        <f t="shared" si="5"/>
        <v>152.98691305009541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Assumptions'!$E$371:$E$394,'WD_.PX.DJW._.PTC.2029'!$B25-2023,1)/INDEX('2025 IRP Assumptions'!$E$371:$E$394,'WD_.PX.DJW._.PTC.2029'!$B25-2023-1,1)</f>
        <v>111.63020296074988</v>
      </c>
      <c r="E25" s="69" cm="1">
        <f t="array" ref="E25">$E$9*INDEX('2025 IRP Assumptions'!$E$371:$E$394,'WD_.PX.DJW._.PTC.2029'!$B25-2023,1)</f>
        <v>44.691824840399995</v>
      </c>
      <c r="F25" s="237"/>
      <c r="G25" s="70">
        <f t="shared" si="1"/>
        <v>42.882003506759673</v>
      </c>
      <c r="H25" s="69"/>
      <c r="I25" s="69"/>
      <c r="J25" s="70">
        <f t="shared" si="3"/>
        <v>42.882003506759673</v>
      </c>
      <c r="K25" s="70">
        <f t="shared" si="4"/>
        <v>156.32</v>
      </c>
      <c r="L25" s="69">
        <f t="shared" si="5"/>
        <v>156.32202780114989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Assumptions'!$E$371:$E$394,'WD_.PX.DJW._.PTC.2029'!$B26-2023,1)/INDEX('2025 IRP Assumptions'!$E$371:$E$394,'WD_.PX.DJW._.PTC.2029'!$B26-2023-1,1)</f>
        <v>114.06374133179006</v>
      </c>
      <c r="E26" s="69" cm="1">
        <f t="array" ref="E26">$E$9*INDEX('2025 IRP Assumptions'!$E$371:$E$394,'WD_.PX.DJW._.PTC.2029'!$B26-2023,1)</f>
        <v>45.666106600499994</v>
      </c>
      <c r="F26" s="237"/>
      <c r="G26" s="70">
        <f t="shared" si="1"/>
        <v>43.816831162653763</v>
      </c>
      <c r="H26" s="69"/>
      <c r="I26" s="69"/>
      <c r="J26" s="70">
        <f t="shared" si="3"/>
        <v>43.816831162653763</v>
      </c>
      <c r="K26" s="70">
        <f t="shared" si="4"/>
        <v>159.72999999999999</v>
      </c>
      <c r="L26" s="69">
        <f t="shared" si="5"/>
        <v>159.72984793229006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Assumptions'!$E$371:$E$394,'WD_.PX.DJW._.PTC.2029'!$B27-2023,1)/INDEX('2025 IRP Assumptions'!$E$371:$E$394,'WD_.PX.DJW._.PTC.2029'!$B27-2023-1,1)</f>
        <v>116.55033089709202</v>
      </c>
      <c r="E27" s="69" cm="1">
        <f t="array" ref="E27">$E$9*INDEX('2025 IRP Assumptions'!$E$371:$E$394,'WD_.PX.DJW._.PTC.2029'!$B27-2023,1)</f>
        <v>46.661627726100001</v>
      </c>
      <c r="F27" s="237"/>
      <c r="G27" s="70">
        <f t="shared" si="1"/>
        <v>44.772038083639501</v>
      </c>
      <c r="H27" s="69"/>
      <c r="I27" s="69"/>
      <c r="J27" s="70">
        <f t="shared" si="3"/>
        <v>44.772038083639501</v>
      </c>
      <c r="K27" s="70">
        <f t="shared" si="4"/>
        <v>163.21</v>
      </c>
      <c r="L27" s="69">
        <f t="shared" si="5"/>
        <v>163.21195862319203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Assumptions'!$E$371:$E$394,'WD_.PX.DJW._.PTC.2029'!$B28-2023,1)/INDEX('2025 IRP Assumptions'!$E$371:$E$394,'WD_.PX.DJW._.PTC.2029'!$B28-2023-1,1)</f>
        <v>119.0911281469189</v>
      </c>
      <c r="E28" s="69" cm="1">
        <f t="array" ref="E28">$E$9*INDEX('2025 IRP Assumptions'!$E$371:$E$394,'WD_.PX.DJW._.PTC.2029'!$B28-2023,1)</f>
        <v>47.678851225049996</v>
      </c>
      <c r="F28" s="237"/>
      <c r="G28" s="70">
        <f t="shared" si="1"/>
        <v>45.748068527795823</v>
      </c>
      <c r="H28" s="69"/>
      <c r="I28" s="69"/>
      <c r="J28" s="70">
        <f t="shared" si="3"/>
        <v>45.748068527795823</v>
      </c>
      <c r="K28" s="70">
        <f t="shared" si="4"/>
        <v>166.77</v>
      </c>
      <c r="L28" s="69">
        <f t="shared" si="5"/>
        <v>166.7699793719689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Assumptions'!$E$371:$E$394,'WD_.PX.DJW._.PTC.2029'!$B29-2023,1)/INDEX('2025 IRP Assumptions'!$E$371:$E$394,'WD_.PX.DJW._.PTC.2029'!$B29-2023-1,1)</f>
        <v>121.68731471090787</v>
      </c>
      <c r="E29" s="69" cm="1">
        <f t="array" ref="E29">$E$9*INDEX('2025 IRP Assumptions'!$E$371:$E$394,'WD_.PX.DJW._.PTC.2029'!$B29-2023,1)</f>
        <v>48.718250169900003</v>
      </c>
      <c r="F29" s="237"/>
      <c r="G29" s="70">
        <f t="shared" si="1"/>
        <v>46.745376410325804</v>
      </c>
      <c r="H29" s="69"/>
      <c r="I29" s="69"/>
      <c r="J29" s="70">
        <f t="shared" si="3"/>
        <v>46.745376410325804</v>
      </c>
      <c r="K29" s="70">
        <f t="shared" si="4"/>
        <v>170.41</v>
      </c>
      <c r="L29" s="69">
        <f t="shared" si="5"/>
        <v>170.40556488080787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Assumptions'!$E$371:$E$394,'WD_.PX.DJW._.PTC.2029'!$B30-2023,1)/INDEX('2025 IRP Assumptions'!$E$371:$E$394,'WD_.PX.DJW._.PTC.2029'!$B30-2023-1,1)</f>
        <v>124.34009822767121</v>
      </c>
      <c r="E30" s="69" cm="1">
        <f t="array" ref="E30">$E$9*INDEX('2025 IRP Assumptions'!$E$371:$E$394,'WD_.PX.DJW._.PTC.2029'!$B30-2023,1)</f>
        <v>49.780308046050003</v>
      </c>
      <c r="F30" s="237"/>
      <c r="G30" s="70">
        <f t="shared" si="1"/>
        <v>47.76442563760812</v>
      </c>
      <c r="H30" s="69"/>
      <c r="I30" s="69"/>
      <c r="J30" s="70">
        <f t="shared" si="3"/>
        <v>47.76442563760812</v>
      </c>
      <c r="K30" s="70">
        <f t="shared" si="4"/>
        <v>174.12</v>
      </c>
      <c r="L30" s="69">
        <f t="shared" si="5"/>
        <v>174.12040627372122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Assumptions'!$E$371:$E$394,'WD_.PX.DJW._.PTC.2029'!$B31-2023,1)/INDEX('2025 IRP Assumptions'!$E$371:$E$394,'WD_.PX.DJW._.PTC.2029'!$B31-2023-1,1)</f>
        <v>127.05071234479628</v>
      </c>
      <c r="E31" s="69" cm="1">
        <f t="array" ref="E31">$E$9*INDEX('2025 IRP Assumptions'!$E$371:$E$394,'WD_.PX.DJW._.PTC.2029'!$B31-2023,1)</f>
        <v>50.865518751749995</v>
      </c>
      <c r="F31" s="237"/>
      <c r="G31" s="70">
        <f t="shared" si="1"/>
        <v>48.805690107197044</v>
      </c>
      <c r="H31" s="69"/>
      <c r="I31" s="69"/>
      <c r="J31" s="70">
        <f t="shared" si="3"/>
        <v>48.805690107197044</v>
      </c>
      <c r="K31" s="70">
        <f t="shared" si="4"/>
        <v>177.92</v>
      </c>
      <c r="L31" s="69">
        <f t="shared" si="5"/>
        <v>177.91623109654628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Assumptions'!$E$371:$E$394,'WD_.PX.DJW._.PTC.2029'!$B32-2023,1)/INDEX('2025 IRP Assumptions'!$E$371:$E$394,'WD_.PX.DJW._.PTC.2029'!$B32-2023-1,1)</f>
        <v>129.82041782561046</v>
      </c>
      <c r="E32" s="69" cm="1">
        <f t="array" ref="E32">$E$9*INDEX('2025 IRP Assumptions'!$E$371:$E$394,'WD_.PX.DJW._.PTC.2029'!$B32-2023,1)</f>
        <v>51.974387041199996</v>
      </c>
      <c r="F32" s="237"/>
      <c r="G32" s="70">
        <f t="shared" si="1"/>
        <v>49.869654132978901</v>
      </c>
      <c r="H32" s="69"/>
      <c r="I32" s="69"/>
      <c r="J32" s="70">
        <f t="shared" si="3"/>
        <v>49.869654132978901</v>
      </c>
      <c r="K32" s="70">
        <f t="shared" si="4"/>
        <v>181.79</v>
      </c>
      <c r="L32" s="69">
        <f t="shared" si="5"/>
        <v>181.79480486681047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3" si="6">D32*D32/D31</f>
        <v>132.65050288485341</v>
      </c>
      <c r="E33" s="232">
        <f t="shared" si="6"/>
        <v>53.107428658938439</v>
      </c>
      <c r="F33" s="237"/>
      <c r="G33" s="70">
        <f t="shared" si="1"/>
        <v>50.956812574118302</v>
      </c>
      <c r="H33" s="69"/>
      <c r="I33" s="69"/>
      <c r="J33" s="70">
        <f t="shared" si="3"/>
        <v>50.956812574118302</v>
      </c>
      <c r="K33" s="70">
        <f t="shared" si="4"/>
        <v>185.76</v>
      </c>
      <c r="L33" s="69">
        <f t="shared" si="5"/>
        <v>185.75793154379184</v>
      </c>
      <c r="P33" s="79"/>
      <c r="Q33" s="70"/>
    </row>
    <row r="34" spans="2:17" ht="15">
      <c r="B34" s="68">
        <f t="shared" si="0"/>
        <v>2049</v>
      </c>
      <c r="C34" s="71"/>
      <c r="D34" s="232">
        <f t="shared" ref="D34:E34" si="7">D33*D33/D32</f>
        <v>135.54228379731191</v>
      </c>
      <c r="E34" s="232">
        <f t="shared" si="7"/>
        <v>54.26517058351282</v>
      </c>
      <c r="F34" s="237"/>
      <c r="G34" s="70">
        <f t="shared" si="1"/>
        <v>52.067671068861237</v>
      </c>
      <c r="H34" s="69"/>
      <c r="I34" s="69"/>
      <c r="J34" s="70">
        <f t="shared" ref="J34:J43" si="8">(G34+H34+I34)</f>
        <v>52.067671068861237</v>
      </c>
      <c r="K34" s="70">
        <f t="shared" si="4"/>
        <v>189.81</v>
      </c>
      <c r="L34" s="69">
        <f t="shared" ref="L34:L43" si="9">(D34+E34+F34)</f>
        <v>189.80745438082474</v>
      </c>
      <c r="P34" s="79"/>
      <c r="Q34" s="70"/>
    </row>
    <row r="35" spans="2:17" ht="15">
      <c r="B35" s="68">
        <f t="shared" si="0"/>
        <v>2050</v>
      </c>
      <c r="C35" s="71"/>
      <c r="D35" s="232">
        <f t="shared" ref="D35:E35" si="10">D34*D34/D33</f>
        <v>138.49710553256259</v>
      </c>
      <c r="E35" s="232">
        <f t="shared" si="10"/>
        <v>55.448151281602769</v>
      </c>
      <c r="F35" s="237"/>
      <c r="G35" s="70">
        <f t="shared" si="1"/>
        <v>53.202746278367222</v>
      </c>
      <c r="H35" s="69"/>
      <c r="I35" s="69"/>
      <c r="J35" s="70">
        <f t="shared" si="8"/>
        <v>53.202746278367222</v>
      </c>
      <c r="K35" s="70">
        <f t="shared" si="4"/>
        <v>193.95</v>
      </c>
      <c r="L35" s="69">
        <f t="shared" si="9"/>
        <v>193.94525681416536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11">D35*D35/D34</f>
        <v>141.51634238051835</v>
      </c>
      <c r="E36" s="232">
        <f t="shared" si="11"/>
        <v>56.656920958461328</v>
      </c>
      <c r="F36" s="237"/>
      <c r="G36" s="70">
        <f t="shared" si="1"/>
        <v>54.362566127008904</v>
      </c>
      <c r="H36" s="69"/>
      <c r="I36" s="69"/>
      <c r="J36" s="70">
        <f t="shared" si="8"/>
        <v>54.362566127008904</v>
      </c>
      <c r="K36" s="70">
        <f t="shared" si="4"/>
        <v>198.17</v>
      </c>
      <c r="L36" s="69">
        <f t="shared" si="9"/>
        <v>198.17326333897967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2">D36*D36/D35</f>
        <v>144.60139859061169</v>
      </c>
      <c r="E37" s="232">
        <f t="shared" si="12"/>
        <v>57.892041813815851</v>
      </c>
      <c r="F37" s="237"/>
      <c r="G37" s="70">
        <f t="shared" si="1"/>
        <v>55.547670047910032</v>
      </c>
      <c r="H37" s="69"/>
      <c r="I37" s="69"/>
      <c r="J37" s="70">
        <f t="shared" si="8"/>
        <v>55.547670047910032</v>
      </c>
      <c r="K37" s="70">
        <f t="shared" si="4"/>
        <v>202.49</v>
      </c>
      <c r="L37" s="69">
        <f t="shared" si="9"/>
        <v>202.49344040442753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3">D37*D37/D36</f>
        <v>147.75370902491221</v>
      </c>
      <c r="E38" s="232">
        <f t="shared" si="13"/>
        <v>59.154088303347535</v>
      </c>
      <c r="F38" s="237"/>
      <c r="G38" s="70">
        <f t="shared" si="1"/>
        <v>56.75860923383626</v>
      </c>
      <c r="H38" s="69"/>
      <c r="I38" s="69"/>
      <c r="J38" s="70">
        <f t="shared" si="8"/>
        <v>56.75860923383626</v>
      </c>
      <c r="K38" s="70">
        <f t="shared" si="4"/>
        <v>206.91</v>
      </c>
      <c r="L38" s="69">
        <f t="shared" si="9"/>
        <v>206.90779732825973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4">D38*D38/D37</f>
        <v>150.97473982548203</v>
      </c>
      <c r="E39" s="232">
        <f t="shared" si="14"/>
        <v>60.443647405871204</v>
      </c>
      <c r="F39" s="237"/>
      <c r="G39" s="70">
        <f t="shared" si="1"/>
        <v>57.995946893555299</v>
      </c>
      <c r="H39" s="69"/>
      <c r="I39" s="69"/>
      <c r="J39" s="70">
        <f t="shared" si="8"/>
        <v>57.995946893555299</v>
      </c>
      <c r="K39" s="70">
        <f t="shared" si="4"/>
        <v>211.42</v>
      </c>
      <c r="L39" s="69">
        <f t="shared" si="9"/>
        <v>211.41838723135322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5">D39*D39/D38</f>
        <v>154.2659890962797</v>
      </c>
      <c r="E40" s="232">
        <f t="shared" si="15"/>
        <v>61.761318896339617</v>
      </c>
      <c r="F40" s="237"/>
      <c r="G40" s="70">
        <f t="shared" si="1"/>
        <v>59.260258513785807</v>
      </c>
      <c r="H40" s="69"/>
      <c r="I40" s="69"/>
      <c r="J40" s="70">
        <f t="shared" si="8"/>
        <v>59.260258513785807</v>
      </c>
      <c r="K40" s="70">
        <f t="shared" si="4"/>
        <v>216.03</v>
      </c>
      <c r="L40" s="69">
        <f t="shared" si="9"/>
        <v>216.02730799261931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6">D40*D40/D39</f>
        <v>157.62898759992947</v>
      </c>
      <c r="E41" s="232">
        <f t="shared" si="16"/>
        <v>63.10771562479929</v>
      </c>
      <c r="F41" s="237"/>
      <c r="G41" s="70">
        <f t="shared" si="1"/>
        <v>60.552132126856662</v>
      </c>
      <c r="H41" s="69"/>
      <c r="I41" s="69"/>
      <c r="J41" s="70">
        <f t="shared" si="8"/>
        <v>60.552132126856662</v>
      </c>
      <c r="K41" s="70">
        <f t="shared" si="4"/>
        <v>220.74</v>
      </c>
      <c r="L41" s="69">
        <f t="shared" si="9"/>
        <v>220.73670322472876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7">D41*D41/D40</f>
        <v>161.06529946968027</v>
      </c>
      <c r="E42" s="232">
        <f t="shared" si="17"/>
        <v>64.483463801427504</v>
      </c>
      <c r="F42" s="237"/>
      <c r="G42" s="70">
        <f t="shared" si="1"/>
        <v>61.872168584201319</v>
      </c>
      <c r="H42" s="69"/>
      <c r="I42" s="69"/>
      <c r="J42" s="70">
        <f t="shared" si="8"/>
        <v>61.872168584201319</v>
      </c>
      <c r="K42" s="70">
        <f t="shared" si="4"/>
        <v>225.55</v>
      </c>
      <c r="L42" s="69">
        <f t="shared" si="9"/>
        <v>225.54876327110776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8">D42*D42/D41</f>
        <v>164.57652293688523</v>
      </c>
      <c r="E43" s="232">
        <f t="shared" si="18"/>
        <v>65.889203287783189</v>
      </c>
      <c r="F43" s="237"/>
      <c r="G43" s="70">
        <f t="shared" si="1"/>
        <v>63.220981835814243</v>
      </c>
      <c r="H43" s="69"/>
      <c r="I43" s="69"/>
      <c r="J43" s="70">
        <f t="shared" si="8"/>
        <v>63.220981835814243</v>
      </c>
      <c r="K43" s="70">
        <f t="shared" si="4"/>
        <v>230.47</v>
      </c>
      <c r="L43" s="69">
        <f t="shared" si="9"/>
        <v>230.4657262246684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9">D43*D43/D42</f>
        <v>168.16429107434033</v>
      </c>
      <c r="E44" s="232">
        <f t="shared" si="19"/>
        <v>67.325587894406993</v>
      </c>
      <c r="F44" s="237"/>
      <c r="G44" s="70">
        <f t="shared" si="1"/>
        <v>64.59919921579953</v>
      </c>
      <c r="H44" s="69"/>
      <c r="I44" s="69"/>
      <c r="J44" s="70">
        <f t="shared" ref="J44:J45" si="20">(G44+H44+I44)</f>
        <v>64.59919921579953</v>
      </c>
      <c r="K44" s="70">
        <f t="shared" si="4"/>
        <v>235.49</v>
      </c>
      <c r="L44" s="69">
        <f t="shared" ref="L44:L45" si="21">(D44+E44+F44)</f>
        <v>235.48987896874732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22">D44*D44/D43</f>
        <v>171.83027255582795</v>
      </c>
      <c r="E45" s="232">
        <f t="shared" si="22"/>
        <v>68.793285684909108</v>
      </c>
      <c r="F45" s="237"/>
      <c r="G45" s="70">
        <f t="shared" si="1"/>
        <v>66.007461734144528</v>
      </c>
      <c r="H45" s="69"/>
      <c r="I45" s="69"/>
      <c r="J45" s="70">
        <f t="shared" si="20"/>
        <v>66.007461734144528</v>
      </c>
      <c r="K45" s="70">
        <f t="shared" si="4"/>
        <v>240.62</v>
      </c>
      <c r="L45" s="69">
        <f t="shared" si="21"/>
        <v>240.62355824073705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22"/>
        <v>175.57617243221827</v>
      </c>
      <c r="E46" s="232">
        <f t="shared" si="22"/>
        <v>70.292979286686176</v>
      </c>
      <c r="F46" s="237"/>
      <c r="G46" s="70">
        <f t="shared" si="1"/>
        <v>67.446424374854047</v>
      </c>
      <c r="H46" s="69"/>
      <c r="I46" s="69"/>
      <c r="J46" s="70">
        <f t="shared" ref="J46" si="23">(G46+H46+I46)</f>
        <v>67.446424374854047</v>
      </c>
      <c r="K46" s="70">
        <f t="shared" si="4"/>
        <v>245.87</v>
      </c>
      <c r="L46" s="69">
        <f t="shared" ref="L46" si="24">(D46+E46+F46)</f>
        <v>245.86915171890445</v>
      </c>
      <c r="P46" s="79"/>
      <c r="Q46" s="70"/>
    </row>
    <row r="47" spans="2:17" ht="15">
      <c r="B47" s="68"/>
      <c r="C47" s="71"/>
      <c r="D47" s="232"/>
      <c r="E47" s="232"/>
      <c r="F47" s="69"/>
      <c r="G47" s="70"/>
      <c r="H47" s="69"/>
      <c r="I47" s="69"/>
      <c r="J47" s="70"/>
      <c r="K47" s="70"/>
      <c r="L47" s="69"/>
      <c r="P47" s="79"/>
      <c r="Q47" s="70"/>
    </row>
    <row r="48" spans="2:17">
      <c r="B48" s="68" t="s">
        <v>304</v>
      </c>
      <c r="C48" s="71"/>
      <c r="D48" s="69"/>
      <c r="E48" s="69"/>
      <c r="F48" s="69">
        <f>NPV(Discount_Rate,F14:F43)</f>
        <v>0</v>
      </c>
      <c r="G48" s="70"/>
      <c r="H48" s="69"/>
      <c r="I48" s="69"/>
      <c r="J48" s="70">
        <f>-PMT(Discount_Rate,COUNT(J$14:J$43),NPV(Discount_Rate,J$14:J$43))</f>
        <v>14.788511065475495</v>
      </c>
      <c r="K48" s="70">
        <f>-PMT(Discount_Rate,COUNT(K$14:K$43),NPV(Discount_Rate,K$14:K$43))</f>
        <v>53.911253918317513</v>
      </c>
      <c r="L48" s="70">
        <f>-PMT(Discount_Rate,COUNT(L$14:L$43),NPV(Discount_Rate,L$14:L$43))</f>
        <v>155.72267569903218</v>
      </c>
      <c r="M48" s="69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C6</f>
        <v>(a)</v>
      </c>
      <c r="D52" s="61" t="s">
        <v>62</v>
      </c>
    </row>
    <row r="53" spans="2:20">
      <c r="C53" s="76" t="str">
        <f>D6</f>
        <v>(b)</v>
      </c>
      <c r="D53" s="70" t="str">
        <f>"= "&amp;C6&amp;" x "&amp;C60</f>
        <v>= (a) x 0.06316</v>
      </c>
    </row>
    <row r="54" spans="2:20">
      <c r="C54" s="76">
        <f>F6</f>
        <v>0</v>
      </c>
      <c r="D54" s="70" t="str">
        <f>"= ("&amp;$D$6&amp;" + "&amp;$E$6&amp;") /  (8.76 x "&amp;TEXT(C61,"0.0%")&amp;")"</f>
        <v>= ((b) + (c)) /  (8.76 x 41.6%)</v>
      </c>
    </row>
    <row r="55" spans="2:20">
      <c r="C55" s="76" t="str">
        <f>J6</f>
        <v>(g)</v>
      </c>
      <c r="D55" s="70" t="str">
        <f>"= "&amp;$G$6&amp;" + "&amp;$H$6</f>
        <v>= (e) + (f)</v>
      </c>
    </row>
    <row r="56" spans="2:20">
      <c r="C56" s="76" t="str">
        <f>K6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2029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233"/>
      <c r="G64" s="233">
        <v>47119</v>
      </c>
      <c r="H64" s="68">
        <f>YEAR(G64)</f>
        <v>2029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174.03136507020946</v>
      </c>
    </row>
    <row r="65" spans="3:10" ht="15">
      <c r="C65" s="233"/>
      <c r="D65" s="105"/>
      <c r="E65" s="214"/>
      <c r="F65" s="233"/>
      <c r="G65" s="233">
        <v>47484</v>
      </c>
      <c r="H65" s="68">
        <f>YEAR(G65)</f>
        <v>2030</v>
      </c>
      <c r="I65" s="69">
        <f>IF($H$62=110%,INDEX('2025 IRP Assumptions'!$E$339:$E$359,MATCH(H65,'2025 IRP Assumptions'!$S$339:$S$359,0),1),INDEX('2025 IRP Assumptions'!$E$307:$E$336,MATCH(H65,'2025 IRP Assumptions'!$S$339:$S$359,0)))</f>
        <v>47.74</v>
      </c>
      <c r="J65" s="79">
        <f t="shared" ref="J65:J73" si="25">I65*(8.76*$C$61)</f>
        <v>174.03136507020946</v>
      </c>
    </row>
    <row r="66" spans="3:10" ht="15">
      <c r="C66" s="233"/>
      <c r="D66" s="105"/>
      <c r="E66" s="214"/>
      <c r="F66" s="233"/>
      <c r="G66" s="233">
        <v>47849</v>
      </c>
      <c r="H66" s="68">
        <f t="shared" ref="H66:H73" si="26">YEAR(G66)</f>
        <v>2031</v>
      </c>
      <c r="I66" s="69">
        <f>IF($H$62=110%,INDEX('2025 IRP Assumptions'!$E$339:$E$359,MATCH(H66,'2025 IRP Assumptions'!$S$339:$S$359,0),1),INDEX('2025 IRP Assumptions'!$E$307:$E$336,MATCH(H66,'2025 IRP Assumptions'!$S$339:$S$359,0)))</f>
        <v>49.06</v>
      </c>
      <c r="J66" s="79">
        <f t="shared" si="25"/>
        <v>178.84329221500789</v>
      </c>
    </row>
    <row r="67" spans="3:10" ht="15">
      <c r="C67" s="233"/>
      <c r="D67" s="105"/>
      <c r="E67" s="214"/>
      <c r="F67" s="233"/>
      <c r="G67" s="233">
        <v>48214</v>
      </c>
      <c r="H67" s="68">
        <f t="shared" si="26"/>
        <v>2032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5"/>
        <v>183.6916733533275</v>
      </c>
    </row>
    <row r="68" spans="3:10" ht="15">
      <c r="C68" s="233"/>
      <c r="D68" s="105"/>
      <c r="E68" s="214"/>
      <c r="F68" s="233"/>
      <c r="G68" s="233">
        <v>48580</v>
      </c>
      <c r="H68" s="68">
        <f t="shared" si="26"/>
        <v>2033</v>
      </c>
      <c r="I68" s="69">
        <f>IF($H$62=110%,INDEX('2025 IRP Assumptions'!$E$339:$E$359,MATCH(H68,'2025 IRP Assumptions'!$S$339:$S$359,0),1),INDEX('2025 IRP Assumptions'!$E$307:$E$336,MATCH(H68,'2025 IRP Assumptions'!$S$339:$S$359,0)))</f>
        <v>50.39</v>
      </c>
      <c r="J68" s="79">
        <f t="shared" si="25"/>
        <v>183.6916733533275</v>
      </c>
    </row>
    <row r="69" spans="3:10" ht="15">
      <c r="C69" s="233"/>
      <c r="D69" s="105"/>
      <c r="E69" s="214"/>
      <c r="F69" s="233"/>
      <c r="G69" s="233">
        <v>48945</v>
      </c>
      <c r="H69" s="68">
        <f t="shared" si="26"/>
        <v>2034</v>
      </c>
      <c r="I69" s="69">
        <f>IF($H$62=110%,INDEX('2025 IRP Assumptions'!$E$339:$E$359,MATCH(H69,'2025 IRP Assumptions'!$S$339:$S$359,0),1),INDEX('2025 IRP Assumptions'!$E$307:$E$336,MATCH(H69,'2025 IRP Assumptions'!$S$339:$S$359,0)))</f>
        <v>51.71</v>
      </c>
      <c r="J69" s="79">
        <f t="shared" si="25"/>
        <v>188.50360049812593</v>
      </c>
    </row>
    <row r="70" spans="3:10" ht="15">
      <c r="C70" s="233"/>
      <c r="D70" s="105"/>
      <c r="E70" s="214"/>
      <c r="F70" s="233"/>
      <c r="G70" s="233">
        <v>49310</v>
      </c>
      <c r="H70" s="68">
        <f t="shared" si="26"/>
        <v>2035</v>
      </c>
      <c r="I70" s="69">
        <f>IF($H$62=110%,INDEX('2025 IRP Assumptions'!$E$339:$E$359,MATCH(H70,'2025 IRP Assumptions'!$S$339:$S$359,0),1),INDEX('2025 IRP Assumptions'!$E$307:$E$336,MATCH(H70,'2025 IRP Assumptions'!$S$339:$S$359,0)))</f>
        <v>53.04</v>
      </c>
      <c r="J70" s="79">
        <f t="shared" si="25"/>
        <v>193.35198163644554</v>
      </c>
    </row>
    <row r="71" spans="3:10" ht="15">
      <c r="C71" s="233"/>
      <c r="D71" s="105"/>
      <c r="E71" s="214"/>
      <c r="F71" s="233"/>
      <c r="G71" s="233">
        <v>49675</v>
      </c>
      <c r="H71" s="68">
        <f t="shared" si="26"/>
        <v>2036</v>
      </c>
      <c r="I71" s="69">
        <f>IF($H$62=110%,INDEX('2025 IRP Assumptions'!$E$339:$E$359,MATCH(H71,'2025 IRP Assumptions'!$S$339:$S$359,0),1),INDEX('2025 IRP Assumptions'!$E$307:$E$336,MATCH(H71,'2025 IRP Assumptions'!$S$339:$S$359,0)))</f>
        <v>54.37</v>
      </c>
      <c r="J71" s="79">
        <f t="shared" si="25"/>
        <v>198.20036277476515</v>
      </c>
    </row>
    <row r="72" spans="3:10" ht="15">
      <c r="C72" s="233"/>
      <c r="D72" s="105"/>
      <c r="E72" s="214"/>
      <c r="F72" s="233"/>
      <c r="G72" s="233">
        <v>50041</v>
      </c>
      <c r="H72" s="68">
        <f t="shared" si="26"/>
        <v>2037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5"/>
        <v>203.01228991956356</v>
      </c>
    </row>
    <row r="73" spans="3:10" ht="15">
      <c r="C73" s="233"/>
      <c r="D73" s="105"/>
      <c r="E73" s="214"/>
      <c r="F73" s="233"/>
      <c r="G73" s="233">
        <v>50406</v>
      </c>
      <c r="H73" s="68">
        <f t="shared" si="26"/>
        <v>2038</v>
      </c>
      <c r="I73" s="69">
        <f>IF($H$62=110%,INDEX('2025 IRP Assumptions'!$E$339:$E$359,MATCH(H73,'2025 IRP Assumptions'!$S$339:$S$359,0),1),INDEX('2025 IRP Assumptions'!$E$307:$E$336,MATCH(H73,'2025 IRP Assumptions'!$S$339:$S$359,0)))</f>
        <v>55.69</v>
      </c>
      <c r="J73" s="79">
        <f t="shared" si="25"/>
        <v>203.01228991956356</v>
      </c>
    </row>
    <row r="74" spans="3:10" ht="15">
      <c r="C74" s="233"/>
      <c r="D74" s="105"/>
      <c r="E74" s="214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105"/>
      <c r="G77" s="105" t="s">
        <v>300</v>
      </c>
      <c r="I77" s="234"/>
      <c r="J77" s="234">
        <f>-PMT(Real_Discount_Rate,J76,NPV(Discount_Rate,J64:J73))</f>
        <v>78.900412015409401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2F6AB356-4513-4071-BF3F-4464EE446051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CC724-7BBB-4260-895B-E3CF1E265ACE}">
  <sheetPr>
    <tabColor rgb="FFCCFFCC"/>
    <pageSetUpPr fitToPage="1"/>
  </sheetPr>
  <dimension ref="B1:AC89"/>
  <sheetViews>
    <sheetView topLeftCell="A12" workbookViewId="0">
      <selection activeCell="F26" sqref="F26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9.5" style="61" customWidth="1"/>
    <col min="7" max="7" width="17.6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 t="s">
        <v>305</v>
      </c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 t="s">
        <v>9</v>
      </c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Assumptions'!$E$371:$E$394,'WD_.PX.DJW._.PTC.2030'!$B10-2023,1)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Assumptions'!$E$371:$E$394,'WD_.PX.DJW._.PTC.2030'!$B11-2023,1)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Assumptions'!$E$371:$E$394,'WD_.PX.DJW._.PTC.2030'!$B12-2023,1)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Assumptions'!$E$371:$E$394,'WD_.PX.DJW._.PTC.2030'!$B13-2023,1)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Assumptions'!$E$371:$E$394,'WD_.PX.DJW._.PTC.2030'!$B14-2023,1)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205">
        <f>C15*$C$60</f>
        <v>87.961668799999998</v>
      </c>
      <c r="E15" s="69" cm="1">
        <f t="array" ref="E15">$E$9*INDEX('2025 IRP Assumptions'!$E$371:$E$394,'WD_.PX.DJW._.PTC.2030'!$B15-2023,1)</f>
        <v>36.022106376299995</v>
      </c>
      <c r="F15" s="237"/>
      <c r="G15" s="70">
        <f t="shared" ref="G15:G46" si="1">(D15+E15+F15)/(8.76*$C$61)</f>
        <v>34.011026831448831</v>
      </c>
      <c r="H15" s="69"/>
      <c r="I15" s="69">
        <f>-I64</f>
        <v>-47.74</v>
      </c>
      <c r="J15" s="70">
        <f t="shared" ref="J15:J35" si="2">(G15+H15+I15)</f>
        <v>-13.728973168551171</v>
      </c>
      <c r="K15" s="70">
        <f t="shared" ref="K15:K46" si="3">ROUND(J15*$C$61*8.76,2)</f>
        <v>-50.05</v>
      </c>
      <c r="L15" s="69">
        <f t="shared" ref="L15:L35" si="4">(D15+E15+F15)</f>
        <v>123.98377517629999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Assumptions'!$E$371:$E$394,'WD_.PX.DJW._.PTC.2030'!$B16-2023,1)/INDEX('2025 IRP Assumptions'!$E$371:$E$394,'WD_.PX.DJW._.PTC.2030'!$B16-2023-1,1)</f>
        <v>89.879233176779508</v>
      </c>
      <c r="E16" s="69" cm="1">
        <f t="array" ref="E16">$E$9*INDEX('2025 IRP Assumptions'!$E$371:$E$394,'WD_.PX.DJW._.PTC.2030'!$B16-2023,1)</f>
        <v>36.80738829405</v>
      </c>
      <c r="F16" s="237"/>
      <c r="G16" s="70">
        <f t="shared" si="1"/>
        <v>34.752467215191061</v>
      </c>
      <c r="H16" s="69"/>
      <c r="I16" s="69">
        <f t="shared" ref="I16:I24" si="5">-I65</f>
        <v>-49.06</v>
      </c>
      <c r="J16" s="70">
        <f t="shared" si="2"/>
        <v>-14.307532784808942</v>
      </c>
      <c r="K16" s="70">
        <f t="shared" si="3"/>
        <v>-52.16</v>
      </c>
      <c r="L16" s="69">
        <f t="shared" si="4"/>
        <v>126.68662147082951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Assumptions'!$E$371:$E$394,'WD_.PX.DJW._.PTC.2030'!$B17-2023,1)/INDEX('2025 IRP Assumptions'!$E$371:$E$394,'WD_.PX.DJW._.PTC.2030'!$B17-2023-1,1)</f>
        <v>91.838600435101</v>
      </c>
      <c r="E17" s="69" cm="1">
        <f t="array" ref="E17">$E$9*INDEX('2025 IRP Assumptions'!$E$371:$E$394,'WD_.PX.DJW._.PTC.2030'!$B17-2023,1)</f>
        <v>37.609789348650004</v>
      </c>
      <c r="F17" s="237"/>
      <c r="G17" s="70">
        <f t="shared" si="1"/>
        <v>35.510070990841967</v>
      </c>
      <c r="H17" s="69"/>
      <c r="I17" s="69">
        <f t="shared" si="5"/>
        <v>-50.39</v>
      </c>
      <c r="J17" s="70">
        <f t="shared" si="2"/>
        <v>-14.879929009158033</v>
      </c>
      <c r="K17" s="70">
        <f t="shared" si="3"/>
        <v>-54.24</v>
      </c>
      <c r="L17" s="69">
        <f t="shared" si="4"/>
        <v>129.448389783751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Assumptions'!$E$371:$E$394,'WD_.PX.DJW._.PTC.2030'!$B18-2023,1)/INDEX('2025 IRP Assumptions'!$E$371:$E$394,'WD_.PX.DJW._.PTC.2030'!$B18-2023-1,1)</f>
        <v>93.84068192568364</v>
      </c>
      <c r="E18" s="69" cm="1">
        <f t="array" ref="E18">$E$9*INDEX('2025 IRP Assumptions'!$E$371:$E$394,'WD_.PX.DJW._.PTC.2030'!$B18-2023,1)</f>
        <v>38.429682756899993</v>
      </c>
      <c r="F18" s="237"/>
      <c r="G18" s="70">
        <f t="shared" si="1"/>
        <v>36.284190538866653</v>
      </c>
      <c r="H18" s="69"/>
      <c r="I18" s="69">
        <f t="shared" si="5"/>
        <v>-50.39</v>
      </c>
      <c r="J18" s="70">
        <f t="shared" si="2"/>
        <v>-14.105809461133347</v>
      </c>
      <c r="K18" s="70">
        <f t="shared" si="3"/>
        <v>-51.42</v>
      </c>
      <c r="L18" s="69">
        <f t="shared" si="4"/>
        <v>132.27036468258365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Assumptions'!$E$371:$E$394,'WD_.PX.DJW._.PTC.2030'!$B19-2023,1)/INDEX('2025 IRP Assumptions'!$E$371:$E$394,'WD_.PX.DJW._.PTC.2030'!$B19-2023-1,1)</f>
        <v>95.886408861622385</v>
      </c>
      <c r="E19" s="69" cm="1">
        <f t="array" ref="E19">$E$9*INDEX('2025 IRP Assumptions'!$E$371:$E$394,'WD_.PX.DJW._.PTC.2030'!$B19-2023,1)</f>
        <v>39.267449869649994</v>
      </c>
      <c r="F19" s="237"/>
      <c r="G19" s="70">
        <f t="shared" si="1"/>
        <v>37.075185919664051</v>
      </c>
      <c r="H19" s="69"/>
      <c r="I19" s="69">
        <f t="shared" si="5"/>
        <v>-51.71</v>
      </c>
      <c r="J19" s="70">
        <f t="shared" si="2"/>
        <v>-14.63481408033595</v>
      </c>
      <c r="K19" s="70">
        <f t="shared" si="3"/>
        <v>-53.35</v>
      </c>
      <c r="L19" s="69">
        <f t="shared" si="4"/>
        <v>135.15385873127238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Assumptions'!$E$371:$E$394,'WD_.PX.DJW._.PTC.2030'!$B20-2023,1)/INDEX('2025 IRP Assumptions'!$E$371:$E$394,'WD_.PX.DJW._.PTC.2030'!$B20-2023-1,1)</f>
        <v>97.976732550244421</v>
      </c>
      <c r="E20" s="69" cm="1">
        <f t="array" ref="E20">$E$9*INDEX('2025 IRP Assumptions'!$E$371:$E$394,'WD_.PX.DJW._.PTC.2030'!$B20-2023,1)</f>
        <v>40.123480266749993</v>
      </c>
      <c r="F20" s="237"/>
      <c r="G20" s="70">
        <f t="shared" si="1"/>
        <v>37.883424963215909</v>
      </c>
      <c r="H20" s="69"/>
      <c r="I20" s="69">
        <f t="shared" si="5"/>
        <v>-53.04</v>
      </c>
      <c r="J20" s="70">
        <f t="shared" si="2"/>
        <v>-15.156575036784091</v>
      </c>
      <c r="K20" s="70">
        <f t="shared" si="3"/>
        <v>-55.25</v>
      </c>
      <c r="L20" s="69">
        <f t="shared" si="4"/>
        <v>138.10021281699443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Assumptions'!$E$371:$E$394,'WD_.PX.DJW._.PTC.2030'!$B21-2023,1)/INDEX('2025 IRP Assumptions'!$E$371:$E$394,'WD_.PX.DJW._.PTC.2030'!$B21-2023-1,1)</f>
        <v>100.11262532053532</v>
      </c>
      <c r="E21" s="69" cm="1">
        <f t="array" ref="E21">$E$9*INDEX('2025 IRP Assumptions'!$E$371:$E$394,'WD_.PX.DJW._.PTC.2030'!$B21-2023,1)</f>
        <v>40.998172136849995</v>
      </c>
      <c r="F21" s="237"/>
      <c r="G21" s="70">
        <f t="shared" si="1"/>
        <v>38.709283627682957</v>
      </c>
      <c r="H21" s="69"/>
      <c r="I21" s="69">
        <f t="shared" si="5"/>
        <v>-54.37</v>
      </c>
      <c r="J21" s="70">
        <f t="shared" si="2"/>
        <v>-15.66071637231704</v>
      </c>
      <c r="K21" s="70">
        <f t="shared" si="3"/>
        <v>-57.09</v>
      </c>
      <c r="L21" s="69">
        <f t="shared" si="4"/>
        <v>141.1107974573853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Assumptions'!$E$371:$E$394,'WD_.PX.DJW._.PTC.2030'!$B22-2023,1)/INDEX('2025 IRP Assumptions'!$E$371:$E$394,'WD_.PX.DJW._.PTC.2030'!$B22-2023-1,1)</f>
        <v>102.29508052313903</v>
      </c>
      <c r="E22" s="69" cm="1">
        <f t="array" ref="E22">$E$9*INDEX('2025 IRP Assumptions'!$E$371:$E$394,'WD_.PX.DJW._.PTC.2030'!$B22-2023,1)</f>
        <v>41.891932277399995</v>
      </c>
      <c r="F22" s="237"/>
      <c r="G22" s="70">
        <f t="shared" si="1"/>
        <v>39.553145999404926</v>
      </c>
      <c r="H22" s="69"/>
      <c r="I22" s="69">
        <f t="shared" si="5"/>
        <v>-55.69</v>
      </c>
      <c r="J22" s="70">
        <f t="shared" si="2"/>
        <v>-16.136854000595072</v>
      </c>
      <c r="K22" s="70">
        <f t="shared" si="3"/>
        <v>-58.83</v>
      </c>
      <c r="L22" s="69">
        <f t="shared" si="4"/>
        <v>144.18701280053904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Assumptions'!$E$371:$E$394,'WD_.PX.DJW._.PTC.2030'!$B23-2023,1)/INDEX('2025 IRP Assumptions'!$E$371:$E$394,'WD_.PX.DJW._.PTC.2030'!$B23-2023-1,1)</f>
        <v>104.52511330321302</v>
      </c>
      <c r="E23" s="69" cm="1">
        <f t="array" ref="E23">$E$9*INDEX('2025 IRP Assumptions'!$E$371:$E$394,'WD_.PX.DJW._.PTC.2030'!$B23-2023,1)</f>
        <v>42.805176411150001</v>
      </c>
      <c r="F23" s="237"/>
      <c r="G23" s="70">
        <f t="shared" si="1"/>
        <v>40.415404591730614</v>
      </c>
      <c r="H23" s="69"/>
      <c r="I23" s="69">
        <f t="shared" si="5"/>
        <v>-55.69</v>
      </c>
      <c r="J23" s="70">
        <f t="shared" si="2"/>
        <v>-15.274595408269384</v>
      </c>
      <c r="K23" s="70">
        <f t="shared" si="3"/>
        <v>-55.68</v>
      </c>
      <c r="L23" s="69">
        <f t="shared" si="4"/>
        <v>147.330289714363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Assumptions'!$E$371:$E$394,'WD_.PX.DJW._.PTC.2030'!$B24-2023,1)/INDEX('2025 IRP Assumptions'!$E$371:$E$394,'WD_.PX.DJW._.PTC.2030'!$B24-2023-1,1)</f>
        <v>106.80376075499913</v>
      </c>
      <c r="E24" s="69" cm="1">
        <f t="array" ref="E24">$E$9*INDEX('2025 IRP Assumptions'!$E$371:$E$394,'WD_.PX.DJW._.PTC.2030'!$B24-2023,1)</f>
        <v>43.738329249449997</v>
      </c>
      <c r="F24" s="237"/>
      <c r="G24" s="70">
        <f t="shared" si="1"/>
        <v>41.296460404783929</v>
      </c>
      <c r="H24" s="69"/>
      <c r="I24" s="69">
        <f t="shared" si="5"/>
        <v>-57.02</v>
      </c>
      <c r="J24" s="70">
        <f t="shared" si="2"/>
        <v>-15.723539595216074</v>
      </c>
      <c r="K24" s="70">
        <f t="shared" si="3"/>
        <v>-57.32</v>
      </c>
      <c r="L24" s="69">
        <f t="shared" si="4"/>
        <v>150.54209000444914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Assumptions'!$E$371:$E$394,'WD_.PX.DJW._.PTC.2030'!$B25-2023,1)/INDEX('2025 IRP Assumptions'!$E$371:$E$394,'WD_.PX.DJW._.PTC.2030'!$B25-2023-1,1)</f>
        <v>109.13208277196439</v>
      </c>
      <c r="E25" s="69" cm="1">
        <f t="array" ref="E25">$E$9*INDEX('2025 IRP Assumptions'!$E$371:$E$394,'WD_.PX.DJW._.PTC.2030'!$B25-2023,1)</f>
        <v>44.691824840399995</v>
      </c>
      <c r="F25" s="237"/>
      <c r="G25" s="70">
        <f t="shared" si="1"/>
        <v>42.196723254177009</v>
      </c>
      <c r="H25" s="69"/>
      <c r="I25" s="69"/>
      <c r="J25" s="70">
        <f t="shared" si="2"/>
        <v>42.196723254177009</v>
      </c>
      <c r="K25" s="70">
        <f t="shared" si="3"/>
        <v>153.82</v>
      </c>
      <c r="L25" s="69">
        <f t="shared" si="4"/>
        <v>153.82390761236439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Assumptions'!$E$371:$E$394,'WD_.PX.DJW._.PTC.2030'!$B26-2023,1)/INDEX('2025 IRP Assumptions'!$E$371:$E$394,'WD_.PX.DJW._.PTC.2030'!$B26-2023-1,1)</f>
        <v>111.51116212408637</v>
      </c>
      <c r="E26" s="69" cm="1">
        <f t="array" ref="E26">$E$9*INDEX('2025 IRP Assumptions'!$E$371:$E$394,'WD_.PX.DJW._.PTC.2030'!$B26-2023,1)</f>
        <v>45.666106600499994</v>
      </c>
      <c r="F26" s="237"/>
      <c r="G26" s="70">
        <f t="shared" si="1"/>
        <v>43.116611800893239</v>
      </c>
      <c r="H26" s="69"/>
      <c r="I26" s="69"/>
      <c r="J26" s="70">
        <f t="shared" si="2"/>
        <v>43.116611800893239</v>
      </c>
      <c r="K26" s="70">
        <f t="shared" si="3"/>
        <v>157.18</v>
      </c>
      <c r="L26" s="69">
        <f t="shared" si="4"/>
        <v>157.17726872458636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Assumptions'!$E$371:$E$394,'WD_.PX.DJW._.PTC.2030'!$B27-2023,1)/INDEX('2025 IRP Assumptions'!$E$371:$E$394,'WD_.PX.DJW._.PTC.2030'!$B27-2023-1,1)</f>
        <v>113.94210546256487</v>
      </c>
      <c r="E27" s="69" cm="1">
        <f t="array" ref="E27">$E$9*INDEX('2025 IRP Assumptions'!$E$371:$E$394,'WD_.PX.DJW._.PTC.2030'!$B27-2023,1)</f>
        <v>46.661627726100001</v>
      </c>
      <c r="F27" s="237"/>
      <c r="G27" s="70">
        <f t="shared" si="1"/>
        <v>44.056553939766403</v>
      </c>
      <c r="H27" s="69"/>
      <c r="I27" s="69"/>
      <c r="J27" s="70">
        <f t="shared" si="2"/>
        <v>44.056553939766403</v>
      </c>
      <c r="K27" s="70">
        <f t="shared" si="3"/>
        <v>160.6</v>
      </c>
      <c r="L27" s="69">
        <f t="shared" si="4"/>
        <v>160.60373318866488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Assumptions'!$E$371:$E$394,'WD_.PX.DJW._.PTC.2030'!$B28-2023,1)/INDEX('2025 IRP Assumptions'!$E$371:$E$394,'WD_.PX.DJW._.PTC.2030'!$B28-2023-1,1)</f>
        <v>116.42604339710736</v>
      </c>
      <c r="E28" s="69" cm="1">
        <f t="array" ref="E28">$E$9*INDEX('2025 IRP Assumptions'!$E$371:$E$394,'WD_.PX.DJW._.PTC.2030'!$B28-2023,1)</f>
        <v>47.678851225049996</v>
      </c>
      <c r="F28" s="237"/>
      <c r="G28" s="70">
        <f t="shared" si="1"/>
        <v>45.016986829363624</v>
      </c>
      <c r="H28" s="69"/>
      <c r="I28" s="69"/>
      <c r="J28" s="70">
        <f t="shared" si="2"/>
        <v>45.016986829363624</v>
      </c>
      <c r="K28" s="70">
        <f t="shared" si="3"/>
        <v>164.1</v>
      </c>
      <c r="L28" s="69">
        <f t="shared" si="4"/>
        <v>164.10489462215736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Assumptions'!$E$371:$E$394,'WD_.PX.DJW._.PTC.2030'!$B29-2023,1)/INDEX('2025 IRP Assumptions'!$E$371:$E$394,'WD_.PX.DJW._.PTC.2030'!$B29-2023-1,1)</f>
        <v>118.96413111421316</v>
      </c>
      <c r="E29" s="69" cm="1">
        <f t="array" ref="E29">$E$9*INDEX('2025 IRP Assumptions'!$E$371:$E$394,'WD_.PX.DJW._.PTC.2030'!$B29-2023,1)</f>
        <v>48.718250169900003</v>
      </c>
      <c r="F29" s="237"/>
      <c r="G29" s="70">
        <f t="shared" si="1"/>
        <v>45.99835713104958</v>
      </c>
      <c r="H29" s="69"/>
      <c r="I29" s="69"/>
      <c r="J29" s="70">
        <f t="shared" si="2"/>
        <v>45.99835713104958</v>
      </c>
      <c r="K29" s="70">
        <f t="shared" si="3"/>
        <v>167.68</v>
      </c>
      <c r="L29" s="69">
        <f t="shared" si="4"/>
        <v>167.68238128411315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Assumptions'!$E$371:$E$394,'WD_.PX.DJW._.PTC.2030'!$B30-2023,1)/INDEX('2025 IRP Assumptions'!$E$371:$E$394,'WD_.PX.DJW._.PTC.2030'!$B30-2023-1,1)</f>
        <v>121.5575492273139</v>
      </c>
      <c r="E30" s="69" cm="1">
        <f t="array" ref="E30">$E$9*INDEX('2025 IRP Assumptions'!$E$371:$E$394,'WD_.PX.DJW._.PTC.2030'!$B30-2023,1)</f>
        <v>49.780308046050003</v>
      </c>
      <c r="F30" s="237"/>
      <c r="G30" s="70">
        <f t="shared" si="1"/>
        <v>47.001121337699495</v>
      </c>
      <c r="H30" s="69"/>
      <c r="I30" s="69"/>
      <c r="J30" s="70">
        <f t="shared" si="2"/>
        <v>47.001121337699495</v>
      </c>
      <c r="K30" s="70">
        <f t="shared" si="3"/>
        <v>171.34</v>
      </c>
      <c r="L30" s="69">
        <f t="shared" si="4"/>
        <v>171.33785727336391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Assumptions'!$E$371:$E$394,'WD_.PX.DJW._.PTC.2030'!$B31-2023,1)/INDEX('2025 IRP Assumptions'!$E$371:$E$394,'WD_.PX.DJW._.PTC.2030'!$B31-2023-1,1)</f>
        <v>124.20750377677359</v>
      </c>
      <c r="E31" s="69" cm="1">
        <f t="array" ref="E31">$E$9*INDEX('2025 IRP Assumptions'!$E$371:$E$394,'WD_.PX.DJW._.PTC.2030'!$B31-2023,1)</f>
        <v>50.865518751749995</v>
      </c>
      <c r="F31" s="237"/>
      <c r="G31" s="70">
        <f t="shared" si="1"/>
        <v>48.025745773699207</v>
      </c>
      <c r="H31" s="69"/>
      <c r="I31" s="69"/>
      <c r="J31" s="70">
        <f t="shared" si="2"/>
        <v>48.025745773699207</v>
      </c>
      <c r="K31" s="70">
        <f t="shared" si="3"/>
        <v>175.07</v>
      </c>
      <c r="L31" s="69">
        <f t="shared" si="4"/>
        <v>175.07302252852358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Assumptions'!$E$371:$E$394,'WD_.PX.DJW._.PTC.2030'!$B32-2023,1)/INDEX('2025 IRP Assumptions'!$E$371:$E$394,'WD_.PX.DJW._.PTC.2030'!$B32-2023-1,1)</f>
        <v>126.9152273118858</v>
      </c>
      <c r="E32" s="69" cm="1">
        <f t="array" ref="E32">$E$9*INDEX('2025 IRP Assumptions'!$E$371:$E$394,'WD_.PX.DJW._.PTC.2030'!$B32-2023,1)</f>
        <v>51.974387041199996</v>
      </c>
      <c r="F32" s="237"/>
      <c r="G32" s="70">
        <f t="shared" si="1"/>
        <v>49.07270701330733</v>
      </c>
      <c r="H32" s="69"/>
      <c r="I32" s="69"/>
      <c r="J32" s="70">
        <f t="shared" si="2"/>
        <v>49.07270701330733</v>
      </c>
      <c r="K32" s="70">
        <f t="shared" si="3"/>
        <v>178.89</v>
      </c>
      <c r="L32" s="69">
        <f t="shared" si="4"/>
        <v>178.88961435308579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129.68197921903402</v>
      </c>
      <c r="E33" s="232">
        <f t="shared" si="6"/>
        <v>53.107428658938439</v>
      </c>
      <c r="F33" s="237"/>
      <c r="G33" s="70">
        <f t="shared" si="1"/>
        <v>50.142492007540866</v>
      </c>
      <c r="H33" s="69"/>
      <c r="I33" s="232"/>
      <c r="J33" s="70">
        <f t="shared" si="2"/>
        <v>50.142492007540866</v>
      </c>
      <c r="K33" s="70">
        <f t="shared" si="3"/>
        <v>182.79</v>
      </c>
      <c r="L33" s="69">
        <f t="shared" si="4"/>
        <v>182.78940787797245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132.50904631670619</v>
      </c>
      <c r="E34" s="232">
        <f t="shared" si="6"/>
        <v>54.26517058351282</v>
      </c>
      <c r="F34" s="237"/>
      <c r="G34" s="70">
        <f t="shared" si="1"/>
        <v>51.23559831424199</v>
      </c>
      <c r="H34" s="69"/>
      <c r="I34" s="232"/>
      <c r="J34" s="70">
        <f t="shared" si="2"/>
        <v>51.23559831424199</v>
      </c>
      <c r="K34" s="70">
        <f t="shared" si="3"/>
        <v>186.77</v>
      </c>
      <c r="L34" s="69">
        <f t="shared" si="4"/>
        <v>186.77421690021902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135.39774347603282</v>
      </c>
      <c r="E35" s="232">
        <f t="shared" si="6"/>
        <v>55.448151281602769</v>
      </c>
      <c r="F35" s="237"/>
      <c r="G35" s="70">
        <f t="shared" si="1"/>
        <v>52.352534338013612</v>
      </c>
      <c r="H35" s="69"/>
      <c r="I35" s="232"/>
      <c r="J35" s="70">
        <f t="shared" si="2"/>
        <v>52.352534338013612</v>
      </c>
      <c r="K35" s="70">
        <f t="shared" si="3"/>
        <v>190.85</v>
      </c>
      <c r="L35" s="69">
        <f t="shared" si="4"/>
        <v>190.84589475763559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138.34941423233451</v>
      </c>
      <c r="E36" s="232">
        <f t="shared" si="7"/>
        <v>56.656920958461328</v>
      </c>
      <c r="F36" s="237"/>
      <c r="G36" s="70">
        <f t="shared" si="1"/>
        <v>53.493819566678802</v>
      </c>
      <c r="H36" s="69"/>
      <c r="I36" s="232"/>
      <c r="J36" s="70">
        <f t="shared" ref="J36:J46" si="8">(G36+H36+I36)</f>
        <v>53.493819566678802</v>
      </c>
      <c r="K36" s="70">
        <f t="shared" si="3"/>
        <v>195.01</v>
      </c>
      <c r="L36" s="69">
        <f t="shared" ref="L36:L46" si="9">(D36+E36+F36)</f>
        <v>195.00633519079582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141.36543141000141</v>
      </c>
      <c r="E37" s="232">
        <f t="shared" si="10"/>
        <v>57.892041813815851</v>
      </c>
      <c r="F37" s="237"/>
      <c r="G37" s="70">
        <f t="shared" si="1"/>
        <v>54.659984812895011</v>
      </c>
      <c r="H37" s="69"/>
      <c r="I37" s="232"/>
      <c r="J37" s="70">
        <f t="shared" si="8"/>
        <v>54.659984812895011</v>
      </c>
      <c r="K37" s="70">
        <f t="shared" si="3"/>
        <v>199.26</v>
      </c>
      <c r="L37" s="69">
        <f t="shared" si="9"/>
        <v>199.25747322381727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144.44719776099481</v>
      </c>
      <c r="E38" s="232">
        <f t="shared" si="11"/>
        <v>59.154088303347535</v>
      </c>
      <c r="F38" s="237"/>
      <c r="G38" s="70">
        <f t="shared" si="1"/>
        <v>55.851572461035367</v>
      </c>
      <c r="H38" s="69"/>
      <c r="I38" s="232"/>
      <c r="J38" s="70">
        <f t="shared" si="8"/>
        <v>55.851572461035367</v>
      </c>
      <c r="K38" s="70">
        <f t="shared" si="3"/>
        <v>203.6</v>
      </c>
      <c r="L38" s="69">
        <f t="shared" si="9"/>
        <v>203.60128606434233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147.59614661726823</v>
      </c>
      <c r="E39" s="232">
        <f t="shared" si="12"/>
        <v>60.443647405871204</v>
      </c>
      <c r="F39" s="237"/>
      <c r="G39" s="70">
        <f t="shared" si="1"/>
        <v>57.069136719452175</v>
      </c>
      <c r="H39" s="69"/>
      <c r="I39" s="232"/>
      <c r="J39" s="70">
        <f t="shared" si="8"/>
        <v>57.069136719452175</v>
      </c>
      <c r="K39" s="70">
        <f t="shared" si="3"/>
        <v>208.04</v>
      </c>
      <c r="L39" s="69">
        <f t="shared" si="9"/>
        <v>208.03979402313945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150.81374255741125</v>
      </c>
      <c r="E40" s="232">
        <f t="shared" si="13"/>
        <v>61.761318896339617</v>
      </c>
      <c r="F40" s="237"/>
      <c r="G40" s="70">
        <f t="shared" si="1"/>
        <v>58.313243878239561</v>
      </c>
      <c r="H40" s="69"/>
      <c r="I40" s="232"/>
      <c r="J40" s="70">
        <f t="shared" si="8"/>
        <v>58.313243878239561</v>
      </c>
      <c r="K40" s="70">
        <f t="shared" si="3"/>
        <v>212.58</v>
      </c>
      <c r="L40" s="69">
        <f t="shared" si="9"/>
        <v>212.57506145375086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154.1014820878261</v>
      </c>
      <c r="E41" s="232">
        <f t="shared" si="14"/>
        <v>63.10771562479929</v>
      </c>
      <c r="F41" s="237"/>
      <c r="G41" s="70">
        <f t="shared" si="1"/>
        <v>59.584472572615525</v>
      </c>
      <c r="H41" s="69"/>
      <c r="I41" s="232"/>
      <c r="J41" s="70">
        <f t="shared" si="8"/>
        <v>59.584472572615525</v>
      </c>
      <c r="K41" s="70">
        <f t="shared" si="3"/>
        <v>217.21</v>
      </c>
      <c r="L41" s="69">
        <f t="shared" si="9"/>
        <v>217.20919771262538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157.46089433875406</v>
      </c>
      <c r="E42" s="232">
        <f t="shared" si="15"/>
        <v>64.483463801427504</v>
      </c>
      <c r="F42" s="237"/>
      <c r="G42" s="70">
        <f t="shared" si="1"/>
        <v>60.883414052045602</v>
      </c>
      <c r="H42" s="69"/>
      <c r="I42" s="232"/>
      <c r="J42" s="70">
        <f t="shared" si="8"/>
        <v>60.883414052045602</v>
      </c>
      <c r="K42" s="70">
        <f t="shared" si="3"/>
        <v>221.94</v>
      </c>
      <c r="L42" s="69">
        <f t="shared" si="9"/>
        <v>221.94435814018158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160.89354177547506</v>
      </c>
      <c r="E43" s="232">
        <f t="shared" si="16"/>
        <v>65.889203287783189</v>
      </c>
      <c r="F43" s="237"/>
      <c r="G43" s="70">
        <f t="shared" si="1"/>
        <v>62.2106724552334</v>
      </c>
      <c r="H43" s="69"/>
      <c r="I43" s="232"/>
      <c r="J43" s="70">
        <f t="shared" si="8"/>
        <v>62.2106724552334</v>
      </c>
      <c r="K43" s="70">
        <f t="shared" si="3"/>
        <v>226.78</v>
      </c>
      <c r="L43" s="69">
        <f t="shared" si="9"/>
        <v>226.78274506325823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164.40102092501155</v>
      </c>
      <c r="E44" s="232">
        <f t="shared" si="17"/>
        <v>67.325587894406993</v>
      </c>
      <c r="F44" s="237"/>
      <c r="G44" s="70">
        <f t="shared" si="1"/>
        <v>63.566865091106109</v>
      </c>
      <c r="H44" s="69"/>
      <c r="I44" s="232"/>
      <c r="J44" s="70">
        <f t="shared" si="8"/>
        <v>63.566865091106109</v>
      </c>
      <c r="K44" s="70">
        <f t="shared" si="3"/>
        <v>231.73</v>
      </c>
      <c r="L44" s="69">
        <f t="shared" si="9"/>
        <v>231.72660881941854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5" si="18">D44*D44/D43</f>
        <v>167.98496311867447</v>
      </c>
      <c r="E45" s="232">
        <f t="shared" si="18"/>
        <v>68.793285684909108</v>
      </c>
      <c r="F45" s="237"/>
      <c r="G45" s="70">
        <f t="shared" si="1"/>
        <v>64.952622725925252</v>
      </c>
      <c r="H45" s="69"/>
      <c r="I45" s="232"/>
      <c r="J45" s="70">
        <f t="shared" si="8"/>
        <v>64.952622725925252</v>
      </c>
      <c r="K45" s="70">
        <f t="shared" si="3"/>
        <v>236.78</v>
      </c>
      <c r="L45" s="69">
        <f t="shared" si="9"/>
        <v>236.77824880358358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:E46" si="19">D45*D45/D44</f>
        <v>171.6470352507967</v>
      </c>
      <c r="E46" s="232">
        <f t="shared" si="19"/>
        <v>70.292979286686176</v>
      </c>
      <c r="F46" s="237"/>
      <c r="G46" s="70">
        <f t="shared" si="1"/>
        <v>66.3685898766566</v>
      </c>
      <c r="H46" s="69"/>
      <c r="I46" s="232"/>
      <c r="J46" s="70">
        <f t="shared" si="8"/>
        <v>66.3685898766566</v>
      </c>
      <c r="K46" s="70">
        <f t="shared" si="3"/>
        <v>241.94</v>
      </c>
      <c r="L46" s="69">
        <f t="shared" si="9"/>
        <v>241.94001453748288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F48" s="69">
        <f>NPV(Discount_Rate,F15:F44)</f>
        <v>0</v>
      </c>
      <c r="G48" s="70"/>
      <c r="H48" s="69"/>
      <c r="I48" s="69"/>
      <c r="J48" s="70">
        <f>-PMT(Discount_Rate,COUNT(J$15:J$44),NPV(Discount_Rate,J$15:J$44))</f>
        <v>14.527484781733044</v>
      </c>
      <c r="K48" s="70">
        <f>-PMT(Discount_Rate,COUNT(K$15:K$44),NPV(Discount_Rate,K$15:K$44))</f>
        <v>52.957964289160955</v>
      </c>
      <c r="L48" s="70">
        <f>-PMT(Discount_Rate,COUNT(L$15:L$44),NPV(Discount_Rate,L$15:L$44))</f>
        <v>156.57463760784563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41.6%)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2030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47484</v>
      </c>
      <c r="H64" s="68">
        <f>YEAR(G64)</f>
        <v>2030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174.03136507020946</v>
      </c>
    </row>
    <row r="65" spans="3:10" ht="15">
      <c r="C65" s="233"/>
      <c r="D65" s="105"/>
      <c r="E65" s="214"/>
      <c r="F65" s="238"/>
      <c r="G65" s="233">
        <v>47849</v>
      </c>
      <c r="H65" s="68">
        <f>YEAR(G65)</f>
        <v>2031</v>
      </c>
      <c r="I65" s="69">
        <f>IF($H$62=110%,INDEX('2025 IRP Assumptions'!$E$339:$E$359,MATCH(H65,'2025 IRP Assumptions'!$S$339:$S$359,0),1),INDEX('2025 IRP Assumptions'!$E$307:$E$336,MATCH(H65,'2025 IRP Assumptions'!$S$339:$S$359,0)))</f>
        <v>49.06</v>
      </c>
      <c r="J65" s="79">
        <f t="shared" ref="J65:J73" si="20">I65*(8.76*$C$61)</f>
        <v>178.84329221500789</v>
      </c>
    </row>
    <row r="66" spans="3:10" ht="15">
      <c r="C66" s="233"/>
      <c r="D66" s="105"/>
      <c r="E66" s="214"/>
      <c r="F66" s="238"/>
      <c r="G66" s="233">
        <v>48214</v>
      </c>
      <c r="H66" s="68">
        <f t="shared" ref="H66:H73" si="21">YEAR(G66)</f>
        <v>2032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0"/>
        <v>183.6916733533275</v>
      </c>
    </row>
    <row r="67" spans="3:10" ht="15">
      <c r="C67" s="233"/>
      <c r="D67" s="105"/>
      <c r="E67" s="214"/>
      <c r="F67" s="238"/>
      <c r="G67" s="233">
        <v>48580</v>
      </c>
      <c r="H67" s="68">
        <f t="shared" si="21"/>
        <v>2033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0"/>
        <v>183.6916733533275</v>
      </c>
    </row>
    <row r="68" spans="3:10" ht="15">
      <c r="C68" s="233"/>
      <c r="D68" s="105"/>
      <c r="E68" s="214"/>
      <c r="F68" s="238"/>
      <c r="G68" s="233">
        <v>48945</v>
      </c>
      <c r="H68" s="68">
        <f t="shared" si="21"/>
        <v>2034</v>
      </c>
      <c r="I68" s="69">
        <f>IF($H$62=110%,INDEX('2025 IRP Assumptions'!$E$339:$E$359,MATCH(H68,'2025 IRP Assumptions'!$S$339:$S$359,0),1),INDEX('2025 IRP Assumptions'!$E$307:$E$336,MATCH(H68,'2025 IRP Assumptions'!$S$339:$S$359,0)))</f>
        <v>51.71</v>
      </c>
      <c r="J68" s="79">
        <f t="shared" si="20"/>
        <v>188.50360049812593</v>
      </c>
    </row>
    <row r="69" spans="3:10" ht="15">
      <c r="C69" s="233"/>
      <c r="D69" s="105"/>
      <c r="E69" s="214"/>
      <c r="F69" s="238"/>
      <c r="G69" s="233">
        <v>49310</v>
      </c>
      <c r="H69" s="68">
        <f t="shared" si="21"/>
        <v>2035</v>
      </c>
      <c r="I69" s="69">
        <f>IF($H$62=110%,INDEX('2025 IRP Assumptions'!$E$339:$E$359,MATCH(H69,'2025 IRP Assumptions'!$S$339:$S$359,0),1),INDEX('2025 IRP Assumptions'!$E$307:$E$336,MATCH(H69,'2025 IRP Assumptions'!$S$339:$S$359,0)))</f>
        <v>53.04</v>
      </c>
      <c r="J69" s="79">
        <f t="shared" si="20"/>
        <v>193.35198163644554</v>
      </c>
    </row>
    <row r="70" spans="3:10" ht="15">
      <c r="C70" s="233"/>
      <c r="D70" s="105"/>
      <c r="E70" s="214"/>
      <c r="F70" s="238"/>
      <c r="G70" s="233">
        <v>49675</v>
      </c>
      <c r="H70" s="68">
        <f t="shared" si="21"/>
        <v>2036</v>
      </c>
      <c r="I70" s="69">
        <f>IF($H$62=110%,INDEX('2025 IRP Assumptions'!$E$339:$E$359,MATCH(H70,'2025 IRP Assumptions'!$S$339:$S$359,0),1),INDEX('2025 IRP Assumptions'!$E$307:$E$336,MATCH(H70,'2025 IRP Assumptions'!$S$339:$S$359,0)))</f>
        <v>54.37</v>
      </c>
      <c r="J70" s="79">
        <f t="shared" si="20"/>
        <v>198.20036277476515</v>
      </c>
    </row>
    <row r="71" spans="3:10" ht="15">
      <c r="C71" s="233"/>
      <c r="D71" s="105"/>
      <c r="E71" s="214"/>
      <c r="F71" s="238"/>
      <c r="G71" s="233">
        <v>50041</v>
      </c>
      <c r="H71" s="68">
        <f t="shared" si="21"/>
        <v>2037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0"/>
        <v>203.01228991956356</v>
      </c>
    </row>
    <row r="72" spans="3:10" ht="15">
      <c r="C72" s="233"/>
      <c r="D72" s="105"/>
      <c r="E72" s="214"/>
      <c r="F72" s="238"/>
      <c r="G72" s="233">
        <v>50406</v>
      </c>
      <c r="H72" s="68">
        <f t="shared" si="21"/>
        <v>2038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0"/>
        <v>203.01228991956356</v>
      </c>
    </row>
    <row r="73" spans="3:10" ht="15">
      <c r="C73" s="233"/>
      <c r="D73" s="105"/>
      <c r="E73" s="214"/>
      <c r="F73" s="238"/>
      <c r="G73" s="233">
        <v>50771</v>
      </c>
      <c r="H73" s="68">
        <f t="shared" si="21"/>
        <v>2039</v>
      </c>
      <c r="I73" s="69">
        <f>IF($H$62=110%,INDEX('2025 IRP Assumptions'!$E$339:$E$359,MATCH(H73,'2025 IRP Assumptions'!$S$339:$S$359,0),1),INDEX('2025 IRP Assumptions'!$E$307:$E$336,MATCH(H73,'2025 IRP Assumptions'!$S$339:$S$359,0)))</f>
        <v>57.02</v>
      </c>
      <c r="J73" s="79">
        <f t="shared" si="20"/>
        <v>207.8606710578832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306</v>
      </c>
      <c r="I77" s="234"/>
      <c r="J77" s="234">
        <f>-PMT(Real_Discount_Rate,J76,NPV(Discount_Rate,J64:J73))</f>
        <v>80.2980521506299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1A31F0DF-0BB8-48FA-93A8-430AFBE86DEC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A701A-1462-4B25-AD71-5C49A09803DE}">
  <sheetPr>
    <tabColor rgb="FFCCFFCC"/>
    <pageSetUpPr fitToPage="1"/>
  </sheetPr>
  <dimension ref="B1:AC89"/>
  <sheetViews>
    <sheetView workbookViewId="0">
      <selection activeCell="F13" sqref="F13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9.5" style="61" customWidth="1"/>
    <col min="7" max="7" width="17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Assumptions'!$E$371:$E$394,'WD_.PX.DJW._.PTC.2031'!$B10-2023,1)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Assumptions'!$E$371:$E$394,'WD_.PX.DJW._.PTC.2031'!$B11-2023,1)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Assumptions'!$E$371:$E$394,'WD_.PX.DJW._.PTC.2031'!$B12-2023,1)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Assumptions'!$E$371:$E$394,'WD_.PX.DJW._.PTC.2031'!$B13-2023,1)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Assumptions'!$E$371:$E$394,'WD_.PX.DJW._.PTC.2031'!$B14-2023,1)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69"/>
      <c r="E15" s="69" cm="1">
        <f t="array" ref="E15">$E$9*INDEX('2025 IRP Assumptions'!$E$371:$E$394,'WD_.PX.DJW._.PTC.2031'!$B15-2023,1)</f>
        <v>36.022106376299995</v>
      </c>
      <c r="F15" s="237"/>
      <c r="G15" s="70"/>
      <c r="H15" s="69"/>
      <c r="I15" s="69"/>
      <c r="J15" s="70"/>
      <c r="K15" s="70"/>
      <c r="L15" s="69"/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Assumptions'!$E$236:$E$256,MATCH(B16,'2025 IRP Assumptions'!$S$236:$S$256,0),1)</f>
        <v>1408.2311634594403</v>
      </c>
      <c r="D16" s="205">
        <f>C16*$C$60</f>
        <v>88.943880284098242</v>
      </c>
      <c r="E16" s="69" cm="1">
        <f t="array" ref="E16">$E$9*INDEX('2025 IRP Assumptions'!$E$371:$E$394,'WD_.PX.DJW._.PTC.2031'!$B16-2023,1)</f>
        <v>36.80738829405</v>
      </c>
      <c r="F16" s="237"/>
      <c r="G16" s="70">
        <f t="shared" ref="G16:G46" si="1">(D16+E16+F16)/(8.76*$C$61)</f>
        <v>34.495882736418572</v>
      </c>
      <c r="H16" s="69"/>
      <c r="I16" s="69">
        <f>-I64</f>
        <v>-49.06</v>
      </c>
      <c r="J16" s="70">
        <f t="shared" ref="J16:J35" si="2">(G16+H16+I16)</f>
        <v>-14.56411726358143</v>
      </c>
      <c r="K16" s="70">
        <f t="shared" ref="K16:K46" si="3">ROUND(J16*$C$61*8.76,2)</f>
        <v>-53.09</v>
      </c>
      <c r="L16" s="69">
        <f t="shared" ref="L16:L35" si="4">(D16+E16+F16)</f>
        <v>125.75126857814824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Assumptions'!$E$371:$E$394,'WD_.PX.DJW._.PTC.2031'!$B17-2023,1)/INDEX('2025 IRP Assumptions'!$E$371:$E$394,'WD_.PX.DJW._.PTC.2031'!$B17-2023-1,1)</f>
        <v>90.882856849618747</v>
      </c>
      <c r="E17" s="69" cm="1">
        <f t="array" ref="E17">$E$9*INDEX('2025 IRP Assumptions'!$E$371:$E$394,'WD_.PX.DJW._.PTC.2031'!$B17-2023,1)</f>
        <v>37.609789348650004</v>
      </c>
      <c r="F17" s="237"/>
      <c r="G17" s="70">
        <f t="shared" si="1"/>
        <v>35.247892970503415</v>
      </c>
      <c r="H17" s="69"/>
      <c r="I17" s="69">
        <f t="shared" ref="I17:I25" si="5">-I65</f>
        <v>-50.39</v>
      </c>
      <c r="J17" s="70">
        <f t="shared" si="2"/>
        <v>-15.142107029496586</v>
      </c>
      <c r="K17" s="70">
        <f t="shared" si="3"/>
        <v>-55.2</v>
      </c>
      <c r="L17" s="69">
        <f t="shared" si="4"/>
        <v>128.49264619826874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Assumptions'!$E$371:$E$394,'WD_.PX.DJW._.PTC.2031'!$B18-2023,1)/INDEX('2025 IRP Assumptions'!$E$371:$E$394,'WD_.PX.DJW._.PTC.2031'!$B18-2023-1,1)</f>
        <v>92.86410313002645</v>
      </c>
      <c r="E18" s="69" cm="1">
        <f t="array" ref="E18">$E$9*INDEX('2025 IRP Assumptions'!$E$371:$E$394,'WD_.PX.DJW._.PTC.2031'!$B18-2023,1)</f>
        <v>38.429682756899993</v>
      </c>
      <c r="F18" s="237"/>
      <c r="G18" s="70">
        <f t="shared" si="1"/>
        <v>36.016297037681596</v>
      </c>
      <c r="H18" s="69"/>
      <c r="I18" s="69">
        <f t="shared" si="5"/>
        <v>-50.39</v>
      </c>
      <c r="J18" s="70">
        <f t="shared" si="2"/>
        <v>-14.373702962318404</v>
      </c>
      <c r="K18" s="70">
        <f t="shared" si="3"/>
        <v>-52.4</v>
      </c>
      <c r="L18" s="69">
        <f t="shared" si="4"/>
        <v>131.29378588692646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Assumptions'!$E$371:$E$394,'WD_.PX.DJW._.PTC.2031'!$B19-2023,1)/INDEX('2025 IRP Assumptions'!$E$371:$E$394,'WD_.PX.DJW._.PTC.2031'!$B19-2023-1,1)</f>
        <v>94.888540647491823</v>
      </c>
      <c r="E19" s="69" cm="1">
        <f t="array" ref="E19">$E$9*INDEX('2025 IRP Assumptions'!$E$371:$E$394,'WD_.PX.DJW._.PTC.2031'!$B19-2023,1)</f>
        <v>39.267449869649994</v>
      </c>
      <c r="F19" s="237"/>
      <c r="G19" s="70">
        <f t="shared" si="1"/>
        <v>36.801452339953435</v>
      </c>
      <c r="H19" s="69"/>
      <c r="I19" s="69">
        <f t="shared" si="5"/>
        <v>-51.71</v>
      </c>
      <c r="J19" s="70">
        <f t="shared" si="2"/>
        <v>-14.908547660046565</v>
      </c>
      <c r="K19" s="70">
        <f t="shared" si="3"/>
        <v>-54.35</v>
      </c>
      <c r="L19" s="69">
        <f t="shared" si="4"/>
        <v>134.15599051714182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Assumptions'!$E$371:$E$394,'WD_.PX.DJW._.PTC.2031'!$B20-2023,1)/INDEX('2025 IRP Assumptions'!$E$371:$E$394,'WD_.PX.DJW._.PTC.2031'!$B20-2023-1,1)</f>
        <v>96.957110809301412</v>
      </c>
      <c r="E20" s="69" cm="1">
        <f t="array" ref="E20">$E$9*INDEX('2025 IRP Assumptions'!$E$371:$E$394,'WD_.PX.DJW._.PTC.2031'!$B20-2023,1)</f>
        <v>40.123480266749993</v>
      </c>
      <c r="F20" s="237"/>
      <c r="G20" s="70">
        <f t="shared" si="1"/>
        <v>37.603723991537713</v>
      </c>
      <c r="H20" s="69"/>
      <c r="I20" s="69">
        <f t="shared" si="5"/>
        <v>-53.04</v>
      </c>
      <c r="J20" s="70">
        <f t="shared" si="2"/>
        <v>-15.436276008462286</v>
      </c>
      <c r="K20" s="70">
        <f t="shared" si="3"/>
        <v>-56.27</v>
      </c>
      <c r="L20" s="69">
        <f t="shared" si="4"/>
        <v>137.08059107605141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Assumptions'!$E$371:$E$394,'WD_.PX.DJW._.PTC.2031'!$B21-2023,1)/INDEX('2025 IRP Assumptions'!$E$371:$E$394,'WD_.PX.DJW._.PTC.2031'!$B21-2023-1,1)</f>
        <v>99.070775825632509</v>
      </c>
      <c r="E21" s="69" cm="1">
        <f t="array" ref="E21">$E$9*INDEX('2025 IRP Assumptions'!$E$371:$E$394,'WD_.PX.DJW._.PTC.2031'!$B21-2023,1)</f>
        <v>40.998172136849995</v>
      </c>
      <c r="F21" s="237"/>
      <c r="G21" s="70">
        <f t="shared" si="1"/>
        <v>38.423485174820193</v>
      </c>
      <c r="H21" s="69"/>
      <c r="I21" s="69">
        <f t="shared" si="5"/>
        <v>-54.37</v>
      </c>
      <c r="J21" s="70">
        <f t="shared" si="2"/>
        <v>-15.946514825179804</v>
      </c>
      <c r="K21" s="70">
        <f t="shared" si="3"/>
        <v>-58.13</v>
      </c>
      <c r="L21" s="69">
        <f t="shared" si="4"/>
        <v>140.0689479624825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Assumptions'!$E$371:$E$394,'WD_.PX.DJW._.PTC.2031'!$B22-2023,1)/INDEX('2025 IRP Assumptions'!$E$371:$E$394,'WD_.PX.DJW._.PTC.2031'!$B22-2023-1,1)</f>
        <v>101.23051870955315</v>
      </c>
      <c r="E22" s="69" cm="1">
        <f t="array" ref="E22">$E$9*INDEX('2025 IRP Assumptions'!$E$371:$E$394,'WD_.PX.DJW._.PTC.2031'!$B22-2023,1)</f>
        <v>41.891932277399995</v>
      </c>
      <c r="F22" s="237"/>
      <c r="G22" s="70">
        <f t="shared" si="1"/>
        <v>39.26111714035364</v>
      </c>
      <c r="H22" s="69"/>
      <c r="I22" s="69">
        <f t="shared" si="5"/>
        <v>-55.69</v>
      </c>
      <c r="J22" s="70">
        <f t="shared" si="2"/>
        <v>-16.428882859646357</v>
      </c>
      <c r="K22" s="70">
        <f t="shared" si="3"/>
        <v>-59.89</v>
      </c>
      <c r="L22" s="69">
        <f t="shared" si="4"/>
        <v>143.12245098695314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Assumptions'!$E$371:$E$394,'WD_.PX.DJW._.PTC.2031'!$B23-2023,1)/INDEX('2025 IRP Assumptions'!$E$371:$E$394,'WD_.PX.DJW._.PTC.2031'!$B23-2023-1,1)</f>
        <v>103.43734404183422</v>
      </c>
      <c r="E23" s="69" cm="1">
        <f t="array" ref="E23">$E$9*INDEX('2025 IRP Assumptions'!$E$371:$E$394,'WD_.PX.DJW._.PTC.2031'!$B23-2023,1)</f>
        <v>42.805176411150001</v>
      </c>
      <c r="F23" s="237"/>
      <c r="G23" s="70">
        <f t="shared" si="1"/>
        <v>40.11700950348159</v>
      </c>
      <c r="H23" s="69"/>
      <c r="I23" s="69">
        <f t="shared" si="5"/>
        <v>-55.69</v>
      </c>
      <c r="J23" s="70">
        <f t="shared" si="2"/>
        <v>-15.572990496518408</v>
      </c>
      <c r="K23" s="70">
        <f t="shared" si="3"/>
        <v>-56.77</v>
      </c>
      <c r="L23" s="69">
        <f t="shared" si="4"/>
        <v>146.24252045298422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Assumptions'!$E$371:$E$394,'WD_.PX.DJW._.PTC.2031'!$B24-2023,1)/INDEX('2025 IRP Assumptions'!$E$371:$E$394,'WD_.PX.DJW._.PTC.2031'!$B24-2023-1,1)</f>
        <v>105.69227812391193</v>
      </c>
      <c r="E24" s="69" cm="1">
        <f t="array" ref="E24">$E$9*INDEX('2025 IRP Assumptions'!$E$371:$E$394,'WD_.PX.DJW._.PTC.2031'!$B24-2023,1)</f>
        <v>43.738329249449997</v>
      </c>
      <c r="F24" s="237"/>
      <c r="G24" s="70">
        <f t="shared" si="1"/>
        <v>40.9915603036631</v>
      </c>
      <c r="H24" s="69"/>
      <c r="I24" s="69">
        <f t="shared" si="5"/>
        <v>-57.02</v>
      </c>
      <c r="J24" s="70">
        <f t="shared" si="2"/>
        <v>-16.028439696336903</v>
      </c>
      <c r="K24" s="70">
        <f t="shared" si="3"/>
        <v>-58.43</v>
      </c>
      <c r="L24" s="69">
        <f t="shared" si="4"/>
        <v>149.43060737336194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Assumptions'!$E$371:$E$394,'WD_.PX.DJW._.PTC.2031'!$B25-2023,1)/INDEX('2025 IRP Assumptions'!$E$371:$E$394,'WD_.PX.DJW._.PTC.2031'!$B25-2023-1,1)</f>
        <v>107.99636981918123</v>
      </c>
      <c r="E25" s="69" cm="1">
        <f t="array" ref="E25">$E$9*INDEX('2025 IRP Assumptions'!$E$371:$E$394,'WD_.PX.DJW._.PTC.2031'!$B25-2023,1)</f>
        <v>44.691824840399995</v>
      </c>
      <c r="F25" s="237"/>
      <c r="G25" s="70">
        <f t="shared" si="1"/>
        <v>41.885176330758952</v>
      </c>
      <c r="H25" s="69"/>
      <c r="I25" s="69">
        <f t="shared" si="5"/>
        <v>-58.35</v>
      </c>
      <c r="J25" s="70">
        <f t="shared" si="2"/>
        <v>-16.464823669241049</v>
      </c>
      <c r="K25" s="70">
        <f t="shared" si="3"/>
        <v>-60.02</v>
      </c>
      <c r="L25" s="69">
        <f t="shared" si="4"/>
        <v>152.68819465958123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Assumptions'!$E$371:$E$394,'WD_.PX.DJW._.PTC.2031'!$B26-2023,1)/INDEX('2025 IRP Assumptions'!$E$371:$E$394,'WD_.PX.DJW._.PTC.2031'!$B26-2023-1,1)</f>
        <v>110.3506906294769</v>
      </c>
      <c r="E26" s="69" cm="1">
        <f t="array" ref="E26">$E$9*INDEX('2025 IRP Assumptions'!$E$371:$E$394,'WD_.PX.DJW._.PTC.2031'!$B26-2023,1)</f>
        <v>45.666106600499994</v>
      </c>
      <c r="F26" s="237"/>
      <c r="G26" s="70">
        <f t="shared" si="1"/>
        <v>42.798273154694002</v>
      </c>
      <c r="H26" s="69"/>
      <c r="I26" s="69"/>
      <c r="J26" s="70">
        <f t="shared" si="2"/>
        <v>42.798273154694002</v>
      </c>
      <c r="K26" s="70">
        <f t="shared" si="3"/>
        <v>156.02000000000001</v>
      </c>
      <c r="L26" s="69">
        <f t="shared" si="4"/>
        <v>156.0167972299769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Assumptions'!$E$371:$E$394,'WD_.PX.DJW._.PTC.2031'!$B27-2023,1)/INDEX('2025 IRP Assumptions'!$E$371:$E$394,'WD_.PX.DJW._.PTC.2031'!$B27-2023-1,1)</f>
        <v>112.75633568932949</v>
      </c>
      <c r="E27" s="69" cm="1">
        <f t="array" ref="E27">$E$9*INDEX('2025 IRP Assumptions'!$E$371:$E$394,'WD_.PX.DJW._.PTC.2031'!$B27-2023,1)</f>
        <v>46.661627726100001</v>
      </c>
      <c r="F27" s="237"/>
      <c r="G27" s="70">
        <f t="shared" si="1"/>
        <v>43.731275511068098</v>
      </c>
      <c r="H27" s="69"/>
      <c r="I27" s="69"/>
      <c r="J27" s="70">
        <f t="shared" si="2"/>
        <v>43.731275511068098</v>
      </c>
      <c r="K27" s="70">
        <f t="shared" si="3"/>
        <v>159.41999999999999</v>
      </c>
      <c r="L27" s="69">
        <f t="shared" si="4"/>
        <v>159.41796341542948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Assumptions'!$E$371:$E$394,'WD_.PX.DJW._.PTC.2031'!$B28-2023,1)/INDEX('2025 IRP Assumptions'!$E$371:$E$394,'WD_.PX.DJW._.PTC.2031'!$B28-2023-1,1)</f>
        <v>115.21442384244646</v>
      </c>
      <c r="E28" s="69" cm="1">
        <f t="array" ref="E28">$E$9*INDEX('2025 IRP Assumptions'!$E$371:$E$394,'WD_.PX.DJW._.PTC.2031'!$B28-2023,1)</f>
        <v>47.678851225049996</v>
      </c>
      <c r="F28" s="237"/>
      <c r="G28" s="70">
        <f t="shared" si="1"/>
        <v>44.68461733081849</v>
      </c>
      <c r="H28" s="69"/>
      <c r="I28" s="69"/>
      <c r="J28" s="70">
        <f t="shared" si="2"/>
        <v>44.68461733081849</v>
      </c>
      <c r="K28" s="70">
        <f t="shared" si="3"/>
        <v>162.88999999999999</v>
      </c>
      <c r="L28" s="69">
        <f t="shared" si="4"/>
        <v>162.89327506749646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Assumptions'!$E$371:$E$394,'WD_.PX.DJW._.PTC.2031'!$B29-2023,1)/INDEX('2025 IRP Assumptions'!$E$371:$E$394,'WD_.PX.DJW._.PTC.2031'!$B29-2023-1,1)</f>
        <v>117.72609825356193</v>
      </c>
      <c r="E29" s="69" cm="1">
        <f t="array" ref="E29">$E$9*INDEX('2025 IRP Assumptions'!$E$371:$E$394,'WD_.PX.DJW._.PTC.2031'!$B29-2023,1)</f>
        <v>48.718250169900003</v>
      </c>
      <c r="F29" s="237"/>
      <c r="G29" s="70">
        <f t="shared" si="1"/>
        <v>45.658741977518801</v>
      </c>
      <c r="H29" s="69"/>
      <c r="I29" s="69"/>
      <c r="J29" s="70">
        <f t="shared" si="2"/>
        <v>45.658741977518801</v>
      </c>
      <c r="K29" s="70">
        <f t="shared" si="3"/>
        <v>166.44</v>
      </c>
      <c r="L29" s="69">
        <f t="shared" si="4"/>
        <v>166.44434842346192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Assumptions'!$E$371:$E$394,'WD_.PX.DJW._.PTC.2031'!$B30-2023,1)/INDEX('2025 IRP Assumptions'!$E$371:$E$394,'WD_.PX.DJW._.PTC.2031'!$B30-2023-1,1)</f>
        <v>120.29252724973006</v>
      </c>
      <c r="E30" s="69" cm="1">
        <f t="array" ref="E30">$E$9*INDEX('2025 IRP Assumptions'!$E$371:$E$394,'WD_.PX.DJW._.PTC.2031'!$B30-2023,1)</f>
        <v>49.780308046050003</v>
      </c>
      <c r="F30" s="237"/>
      <c r="G30" s="70">
        <f t="shared" si="1"/>
        <v>46.654102573665277</v>
      </c>
      <c r="H30" s="69"/>
      <c r="I30" s="69"/>
      <c r="J30" s="70">
        <f t="shared" si="2"/>
        <v>46.654102573665277</v>
      </c>
      <c r="K30" s="70">
        <f t="shared" si="3"/>
        <v>170.07</v>
      </c>
      <c r="L30" s="69">
        <f t="shared" si="4"/>
        <v>170.07283529578007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Assumptions'!$E$371:$E$394,'WD_.PX.DJW._.PTC.2031'!$B31-2023,1)/INDEX('2025 IRP Assumptions'!$E$371:$E$394,'WD_.PX.DJW._.PTC.2031'!$B31-2023-1,1)</f>
        <v>122.91490432032502</v>
      </c>
      <c r="E31" s="69" cm="1">
        <f t="array" ref="E31">$E$9*INDEX('2025 IRP Assumptions'!$E$371:$E$394,'WD_.PX.DJW._.PTC.2031'!$B31-2023,1)</f>
        <v>50.865518751749995</v>
      </c>
      <c r="F31" s="237"/>
      <c r="G31" s="70">
        <f t="shared" si="1"/>
        <v>47.671162000676688</v>
      </c>
      <c r="H31" s="69"/>
      <c r="I31" s="69"/>
      <c r="J31" s="70">
        <f t="shared" si="2"/>
        <v>47.671162000676688</v>
      </c>
      <c r="K31" s="70">
        <f t="shared" si="3"/>
        <v>173.78</v>
      </c>
      <c r="L31" s="69">
        <f t="shared" si="4"/>
        <v>173.78042307207502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Assumptions'!$E$371:$E$394,'WD_.PX.DJW._.PTC.2031'!$B32-2023,1)/INDEX('2025 IRP Assumptions'!$E$371:$E$394,'WD_.PX.DJW._.PTC.2031'!$B32-2023-1,1)</f>
        <v>125.59444918777807</v>
      </c>
      <c r="E32" s="69" cm="1">
        <f t="array" ref="E32">$E$9*INDEX('2025 IRP Assumptions'!$E$371:$E$394,'WD_.PX.DJW._.PTC.2031'!$B32-2023,1)</f>
        <v>51.974387041199996</v>
      </c>
      <c r="F32" s="237"/>
      <c r="G32" s="70">
        <f t="shared" si="1"/>
        <v>48.710393314167717</v>
      </c>
      <c r="H32" s="69"/>
      <c r="I32" s="69"/>
      <c r="J32" s="70">
        <f t="shared" si="2"/>
        <v>48.710393314167717</v>
      </c>
      <c r="K32" s="70">
        <f t="shared" si="3"/>
        <v>177.57</v>
      </c>
      <c r="L32" s="69">
        <f t="shared" si="4"/>
        <v>177.56883622897806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128.33240813232288</v>
      </c>
      <c r="E33" s="232">
        <f t="shared" si="6"/>
        <v>53.107428658938439</v>
      </c>
      <c r="F33" s="237"/>
      <c r="G33" s="70">
        <f t="shared" si="1"/>
        <v>49.772279869897766</v>
      </c>
      <c r="H33" s="69"/>
      <c r="I33" s="232"/>
      <c r="J33" s="70">
        <f t="shared" si="2"/>
        <v>49.772279869897766</v>
      </c>
      <c r="K33" s="70">
        <f t="shared" si="3"/>
        <v>181.44</v>
      </c>
      <c r="L33" s="69">
        <f t="shared" si="4"/>
        <v>181.43983679126131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131.13005458081784</v>
      </c>
      <c r="E34" s="232">
        <f t="shared" si="6"/>
        <v>54.26517058351282</v>
      </c>
      <c r="F34" s="237"/>
      <c r="G34" s="70">
        <f t="shared" si="1"/>
        <v>50.857315552139013</v>
      </c>
      <c r="H34" s="69"/>
      <c r="I34" s="232"/>
      <c r="J34" s="70">
        <f t="shared" si="2"/>
        <v>50.857315552139013</v>
      </c>
      <c r="K34" s="70">
        <f t="shared" si="3"/>
        <v>185.4</v>
      </c>
      <c r="L34" s="69">
        <f t="shared" si="4"/>
        <v>185.39522516433067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133.98868972082636</v>
      </c>
      <c r="E35" s="232">
        <f t="shared" si="6"/>
        <v>55.448151281602769</v>
      </c>
      <c r="F35" s="237"/>
      <c r="G35" s="70">
        <f t="shared" si="1"/>
        <v>51.966005011840608</v>
      </c>
      <c r="H35" s="69"/>
      <c r="I35" s="232"/>
      <c r="J35" s="70">
        <f t="shared" si="2"/>
        <v>51.966005011840608</v>
      </c>
      <c r="K35" s="70">
        <f t="shared" si="3"/>
        <v>189.44</v>
      </c>
      <c r="L35" s="69">
        <f t="shared" si="4"/>
        <v>189.43684100242913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136.90964310580026</v>
      </c>
      <c r="E36" s="232">
        <f t="shared" si="7"/>
        <v>56.656920958461328</v>
      </c>
      <c r="F36" s="237"/>
      <c r="G36" s="70">
        <f t="shared" si="1"/>
        <v>53.098863901342177</v>
      </c>
      <c r="H36" s="69"/>
      <c r="I36" s="232"/>
      <c r="J36" s="70">
        <f t="shared" ref="J36:J45" si="8">(G36+H36+I36)</f>
        <v>53.098863901342177</v>
      </c>
      <c r="K36" s="70">
        <f t="shared" si="3"/>
        <v>193.57</v>
      </c>
      <c r="L36" s="69">
        <f t="shared" ref="L36:L45" si="9">(D36+E36+F36)</f>
        <v>193.56656406426157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139.89427327345609</v>
      </c>
      <c r="E37" s="232">
        <f t="shared" si="10"/>
        <v>57.892041813815851</v>
      </c>
      <c r="F37" s="237"/>
      <c r="G37" s="70">
        <f t="shared" si="1"/>
        <v>54.256419114204199</v>
      </c>
      <c r="H37" s="69"/>
      <c r="I37" s="232"/>
      <c r="J37" s="70">
        <f t="shared" si="8"/>
        <v>54.256419114204199</v>
      </c>
      <c r="K37" s="70">
        <f t="shared" si="3"/>
        <v>197.79</v>
      </c>
      <c r="L37" s="69">
        <f t="shared" si="9"/>
        <v>197.78631508727193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142.9439683776321</v>
      </c>
      <c r="E38" s="232">
        <f t="shared" si="11"/>
        <v>59.154088303347535</v>
      </c>
      <c r="F38" s="237"/>
      <c r="G38" s="70">
        <f t="shared" si="1"/>
        <v>55.439209030266539</v>
      </c>
      <c r="H38" s="69"/>
      <c r="I38" s="232"/>
      <c r="J38" s="70">
        <f t="shared" si="8"/>
        <v>55.439209030266539</v>
      </c>
      <c r="K38" s="70">
        <f t="shared" si="3"/>
        <v>202.1</v>
      </c>
      <c r="L38" s="69">
        <f t="shared" si="9"/>
        <v>202.09805668097965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146.06014683391973</v>
      </c>
      <c r="E39" s="232">
        <f t="shared" si="12"/>
        <v>60.443647405871204</v>
      </c>
      <c r="F39" s="237"/>
      <c r="G39" s="70">
        <f t="shared" si="1"/>
        <v>56.647783766049344</v>
      </c>
      <c r="H39" s="69"/>
      <c r="I39" s="232"/>
      <c r="J39" s="70">
        <f t="shared" si="8"/>
        <v>56.647783766049344</v>
      </c>
      <c r="K39" s="70">
        <f t="shared" si="3"/>
        <v>206.5</v>
      </c>
      <c r="L39" s="69">
        <f t="shared" si="9"/>
        <v>206.50379423979092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149.24425797936971</v>
      </c>
      <c r="E40" s="232">
        <f t="shared" si="13"/>
        <v>61.761318896339617</v>
      </c>
      <c r="F40" s="237"/>
      <c r="G40" s="70">
        <f t="shared" si="1"/>
        <v>57.882705430612752</v>
      </c>
      <c r="H40" s="69"/>
      <c r="I40" s="232"/>
      <c r="J40" s="70">
        <f t="shared" si="8"/>
        <v>57.882705430612752</v>
      </c>
      <c r="K40" s="70">
        <f t="shared" si="3"/>
        <v>211.01</v>
      </c>
      <c r="L40" s="69">
        <f t="shared" si="9"/>
        <v>211.00557687570932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152.49778274657996</v>
      </c>
      <c r="E41" s="232">
        <f t="shared" si="14"/>
        <v>63.10771562479929</v>
      </c>
      <c r="F41" s="237"/>
      <c r="G41" s="70">
        <f t="shared" si="1"/>
        <v>59.144548386994138</v>
      </c>
      <c r="H41" s="69"/>
      <c r="I41" s="232"/>
      <c r="J41" s="70">
        <f t="shared" si="8"/>
        <v>59.144548386994138</v>
      </c>
      <c r="K41" s="70">
        <f t="shared" si="3"/>
        <v>215.61</v>
      </c>
      <c r="L41" s="69">
        <f t="shared" si="9"/>
        <v>215.60549837137924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155.82223435247846</v>
      </c>
      <c r="E42" s="232">
        <f t="shared" si="15"/>
        <v>64.483463801427504</v>
      </c>
      <c r="F42" s="237"/>
      <c r="G42" s="70">
        <f t="shared" si="1"/>
        <v>60.433899519344912</v>
      </c>
      <c r="H42" s="69"/>
      <c r="I42" s="232"/>
      <c r="J42" s="70">
        <f t="shared" si="8"/>
        <v>60.433899519344912</v>
      </c>
      <c r="K42" s="70">
        <f t="shared" si="3"/>
        <v>220.31</v>
      </c>
      <c r="L42" s="69">
        <f t="shared" si="9"/>
        <v>220.30569815390595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159.21915900212167</v>
      </c>
      <c r="E43" s="232">
        <f t="shared" si="16"/>
        <v>65.889203287783189</v>
      </c>
      <c r="F43" s="237"/>
      <c r="G43" s="70">
        <f t="shared" si="1"/>
        <v>61.751358505890749</v>
      </c>
      <c r="H43" s="69"/>
      <c r="I43" s="232"/>
      <c r="J43" s="70">
        <f t="shared" si="8"/>
        <v>61.751358505890749</v>
      </c>
      <c r="K43" s="70">
        <f t="shared" si="3"/>
        <v>225.11</v>
      </c>
      <c r="L43" s="69">
        <f t="shared" si="9"/>
        <v>225.10836228990485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162.69013660783565</v>
      </c>
      <c r="E44" s="232">
        <f t="shared" si="17"/>
        <v>67.325587894406993</v>
      </c>
      <c r="F44" s="237"/>
      <c r="G44" s="70">
        <f t="shared" si="1"/>
        <v>63.097538097842417</v>
      </c>
      <c r="H44" s="69"/>
      <c r="I44" s="232"/>
      <c r="J44" s="70">
        <f t="shared" si="8"/>
        <v>63.097538097842417</v>
      </c>
      <c r="K44" s="70">
        <f t="shared" si="3"/>
        <v>230.02</v>
      </c>
      <c r="L44" s="69">
        <f t="shared" si="9"/>
        <v>230.01572450224265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18">D44*D44/D43</f>
        <v>166.2367815240346</v>
      </c>
      <c r="E45" s="232">
        <f t="shared" si="18"/>
        <v>68.793285684909108</v>
      </c>
      <c r="F45" s="237"/>
      <c r="G45" s="70">
        <f t="shared" si="1"/>
        <v>64.473064404386832</v>
      </c>
      <c r="H45" s="69"/>
      <c r="I45" s="232"/>
      <c r="J45" s="70">
        <f t="shared" si="8"/>
        <v>64.473064404386832</v>
      </c>
      <c r="K45" s="70">
        <f t="shared" si="3"/>
        <v>235.03</v>
      </c>
      <c r="L45" s="69">
        <f t="shared" si="9"/>
        <v>235.03006720894371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18"/>
        <v>169.86074329805831</v>
      </c>
      <c r="E46" s="232">
        <f t="shared" si="18"/>
        <v>70.292979286686176</v>
      </c>
      <c r="F46" s="237"/>
      <c r="G46" s="70">
        <f t="shared" si="1"/>
        <v>65.878577183890968</v>
      </c>
      <c r="H46" s="69"/>
      <c r="I46" s="232"/>
      <c r="J46" s="70">
        <f t="shared" ref="J46" si="19">(G46+H46+I46)</f>
        <v>65.878577183890968</v>
      </c>
      <c r="K46" s="70">
        <f t="shared" si="3"/>
        <v>240.15</v>
      </c>
      <c r="L46" s="69">
        <f t="shared" ref="L46" si="20">(D46+E46+F46)</f>
        <v>240.15372258474449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C48" s="71"/>
      <c r="D48" s="69"/>
      <c r="E48" s="69"/>
      <c r="F48" s="69">
        <f>NPV(Discount_Rate,F16:F45)</f>
        <v>0</v>
      </c>
      <c r="G48" s="70"/>
      <c r="H48" s="69"/>
      <c r="I48" s="69"/>
      <c r="J48" s="70">
        <f>-PMT(Discount_Rate,COUNT(J$16:J$45),NPV(Discount_Rate,J$16:J$45))</f>
        <v>14.559301381535818</v>
      </c>
      <c r="K48" s="70">
        <f>-PMT(Discount_Rate,COUNT(K$16:K$45),NPV(Discount_Rate,K$16:K$45))</f>
        <v>53.074897199128884</v>
      </c>
      <c r="L48" s="70">
        <f>-PMT(Discount_Rate,COUNT(L$16:L$45),NPV(Discount_Rate,L$16:L$45))</f>
        <v>158.8067412592269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41.6%)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244.18979999999999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178.84329221500789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183.6916733533275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183.6916733533275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188.50360049812593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193.35198163644554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198.20036277476515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203.01228991956356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203.01228991956356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207.8606710578832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212.7090521962028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81.937953483787723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2ECB194A-DBBB-4F8C-B20C-A1A332164D80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1086A-67B2-493D-A5A8-007331A6CF79}">
  <sheetPr>
    <pageSetUpPr fitToPage="1"/>
  </sheetPr>
  <dimension ref="B1:AC89"/>
  <sheetViews>
    <sheetView view="pageBreakPreview" zoomScale="60" zoomScaleNormal="100" workbookViewId="0">
      <selection activeCell="J63" sqref="J63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3.5" style="61" customWidth="1"/>
    <col min="7" max="7" width="21.1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PV_.PX.NTN._.PTC.Utility_Scale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35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Assumptions'!$E$371:$E$394,'Table 3 PV_.PX.NTN._.PTC.2031'!$B10-2023,1)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Assumptions'!$E$371:$E$394,'Table 3 PV_.PX.NTN._.PTC.2031'!$B11-2023,1)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Assumptions'!$E$371:$E$394,'Table 3 PV_.PX.NTN._.PTC.2031'!$B12-2023,1)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Assumptions'!$E$371:$E$394,'Table 3 PV_.PX.NTN._.PTC.2031'!$B13-2023,1)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Assumptions'!$E$371:$E$394,'Table 3 PV_.PX.NTN._.PTC.2031'!$B14-2023,1)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Assumptions'!$E$371:$E$394,'Table 3 PV_.PX.NTN._.PTC.2031'!$B15-2023,1)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Assumptions'!$E$371:$E$394,'Table 3 PV_.PX.NTN._.PTC.2031'!$B16-2023,1)</f>
        <v>23.863747481640001</v>
      </c>
      <c r="F16" s="237"/>
      <c r="G16" s="70">
        <f t="shared" ref="G16:G35" si="1">(D16+E16+F16)/(8.76*$C$61)</f>
        <v>38.074542243651457</v>
      </c>
      <c r="H16" s="69"/>
      <c r="I16" s="69">
        <f>-I64</f>
        <v>-49.06</v>
      </c>
      <c r="J16" s="70">
        <f t="shared" ref="J16:J35" si="2">(G16+H16+I16)</f>
        <v>-10.985457756348545</v>
      </c>
      <c r="K16" s="70">
        <f t="shared" ref="K16:K35" si="3">ROUND(J16*$C$61*8.76,2)</f>
        <v>-29.08</v>
      </c>
      <c r="L16" s="69">
        <f t="shared" ref="L16:L35" si="4"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Assumptions'!$E$371:$E$394,'Table 3 PV_.PX.NTN._.PTC.2031'!$B17-2023,1)/INDEX('2025 IRP Assumptions'!$E$371:$E$394,'Table 3 PV_.PX.NTN._.PTC.2031'!$B17-2023-1,1)</f>
        <v>78.587932386487694</v>
      </c>
      <c r="E17" s="69" cm="1">
        <f t="array" ref="E17">$E$9*INDEX('2025 IRP Assumptions'!$E$371:$E$394,'Table 3 PV_.PX.NTN._.PTC.2031'!$B17-2023,1)</f>
        <v>24.383977170120001</v>
      </c>
      <c r="F17" s="237"/>
      <c r="G17" s="70">
        <f t="shared" si="1"/>
        <v>38.904567254001257</v>
      </c>
      <c r="H17" s="69"/>
      <c r="I17" s="69">
        <f t="shared" ref="I17:I25" si="5">-I65</f>
        <v>-50.39</v>
      </c>
      <c r="J17" s="70">
        <f t="shared" si="2"/>
        <v>-11.485432745998743</v>
      </c>
      <c r="K17" s="70">
        <f t="shared" si="3"/>
        <v>-30.4</v>
      </c>
      <c r="L17" s="69">
        <f t="shared" si="4"/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Assumptions'!$E$371:$E$394,'Table 3 PV_.PX.NTN._.PTC.2031'!$B18-2023,1)/INDEX('2025 IRP Assumptions'!$E$371:$E$394,'Table 3 PV_.PX.NTN._.PTC.2031'!$B18-2023-1,1)</f>
        <v>80.301149313452228</v>
      </c>
      <c r="E18" s="69" cm="1">
        <f t="array" ref="E18">$E$9*INDEX('2025 IRP Assumptions'!$E$371:$E$394,'Table 3 PV_.PX.NTN._.PTC.2031'!$B18-2023,1)</f>
        <v>24.915547872719998</v>
      </c>
      <c r="F18" s="237"/>
      <c r="G18" s="70">
        <f t="shared" si="1"/>
        <v>39.752686820603387</v>
      </c>
      <c r="H18" s="69"/>
      <c r="I18" s="69">
        <f t="shared" si="5"/>
        <v>-50.39</v>
      </c>
      <c r="J18" s="70">
        <f t="shared" si="2"/>
        <v>-10.637313179396614</v>
      </c>
      <c r="K18" s="70">
        <f t="shared" si="3"/>
        <v>-28.15</v>
      </c>
      <c r="L18" s="69">
        <f t="shared" si="4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Assumptions'!$E$371:$E$394,'Table 3 PV_.PX.NTN._.PTC.2031'!$B19-2023,1)/INDEX('2025 IRP Assumptions'!$E$371:$E$394,'Table 3 PV_.PX.NTN._.PTC.2031'!$B19-2023-1,1)</f>
        <v>82.051714428350522</v>
      </c>
      <c r="E19" s="69" cm="1">
        <f t="array" ref="E19">$E$9*INDEX('2025 IRP Assumptions'!$E$371:$E$394,'Table 3 PV_.PX.NTN._.PTC.2031'!$B19-2023,1)</f>
        <v>25.458706834919997</v>
      </c>
      <c r="F19" s="237"/>
      <c r="G19" s="70">
        <f t="shared" si="1"/>
        <v>40.619295422928424</v>
      </c>
      <c r="H19" s="69"/>
      <c r="I19" s="69">
        <f t="shared" si="5"/>
        <v>-51.71</v>
      </c>
      <c r="J19" s="70">
        <f t="shared" si="2"/>
        <v>-11.090704577071577</v>
      </c>
      <c r="K19" s="70">
        <f t="shared" si="3"/>
        <v>-29.35</v>
      </c>
      <c r="L19" s="69">
        <f t="shared" si="4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Assumptions'!$E$371:$E$394,'Table 3 PV_.PX.NTN._.PTC.2031'!$B20-2023,1)/INDEX('2025 IRP Assumptions'!$E$371:$E$394,'Table 3 PV_.PX.NTN._.PTC.2031'!$B20-2023-1,1)</f>
        <v>83.840441781870993</v>
      </c>
      <c r="E20" s="69" cm="1">
        <f t="array" ref="E20">$E$9*INDEX('2025 IRP Assumptions'!$E$371:$E$394,'Table 3 PV_.PX.NTN._.PTC.2031'!$B20-2023,1)</f>
        <v>26.013706637399999</v>
      </c>
      <c r="F20" s="237"/>
      <c r="G20" s="70">
        <f t="shared" si="1"/>
        <v>41.504796052743622</v>
      </c>
      <c r="H20" s="69"/>
      <c r="I20" s="69">
        <f t="shared" si="5"/>
        <v>-53.04</v>
      </c>
      <c r="J20" s="70">
        <f t="shared" si="2"/>
        <v>-11.535203947256377</v>
      </c>
      <c r="K20" s="70">
        <f t="shared" si="3"/>
        <v>-30.53</v>
      </c>
      <c r="L20" s="69">
        <f t="shared" si="4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Assumptions'!$E$371:$E$394,'Table 3 PV_.PX.NTN._.PTC.2031'!$B21-2023,1)/INDEX('2025 IRP Assumptions'!$E$371:$E$394,'Table 3 PV_.PX.NTN._.PTC.2031'!$B21-2023-1,1)</f>
        <v>85.668163413310992</v>
      </c>
      <c r="E21" s="69" cm="1">
        <f t="array" ref="E21">$E$9*INDEX('2025 IRP Assumptions'!$E$371:$E$394,'Table 3 PV_.PX.NTN._.PTC.2031'!$B21-2023,1)</f>
        <v>26.580805442279999</v>
      </c>
      <c r="F21" s="237"/>
      <c r="G21" s="70">
        <f t="shared" si="1"/>
        <v>42.409600606988086</v>
      </c>
      <c r="H21" s="69"/>
      <c r="I21" s="69">
        <f t="shared" si="5"/>
        <v>-54.37</v>
      </c>
      <c r="J21" s="70">
        <f t="shared" si="2"/>
        <v>-11.960399393011912</v>
      </c>
      <c r="K21" s="70">
        <f t="shared" si="3"/>
        <v>-31.66</v>
      </c>
      <c r="L21" s="69">
        <f t="shared" si="4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Assumptions'!$E$371:$E$394,'Table 3 PV_.PX.NTN._.PTC.2031'!$B22-2023,1)/INDEX('2025 IRP Assumptions'!$E$371:$E$394,'Table 3 PV_.PX.NTN._.PTC.2031'!$B22-2023-1,1)</f>
        <v>87.535729350576801</v>
      </c>
      <c r="E22" s="69" cm="1">
        <f t="array" ref="E22">$E$9*INDEX('2025 IRP Assumptions'!$E$371:$E$394,'Table 3 PV_.PX.NTN._.PTC.2031'!$B22-2023,1)</f>
        <v>27.160266993119997</v>
      </c>
      <c r="F22" s="237"/>
      <c r="G22" s="70">
        <f t="shared" si="1"/>
        <v>43.334129887772832</v>
      </c>
      <c r="H22" s="69"/>
      <c r="I22" s="69">
        <f t="shared" si="5"/>
        <v>-55.69</v>
      </c>
      <c r="J22" s="70">
        <f t="shared" si="2"/>
        <v>-12.355870112227166</v>
      </c>
      <c r="K22" s="70">
        <f t="shared" si="3"/>
        <v>-32.700000000000003</v>
      </c>
      <c r="L22" s="69">
        <f t="shared" si="4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Assumptions'!$E$371:$E$394,'Table 3 PV_.PX.NTN._.PTC.2031'!$B23-2023,1)/INDEX('2025 IRP Assumptions'!$E$371:$E$394,'Table 3 PV_.PX.NTN._.PTC.2031'!$B23-2023-1,1)</f>
        <v>89.44400827152954</v>
      </c>
      <c r="E23" s="69" cm="1">
        <f t="array" ref="E23">$E$9*INDEX('2025 IRP Assumptions'!$E$371:$E$394,'Table 3 PV_.PX.NTN._.PTC.2031'!$B23-2023,1)</f>
        <v>27.75236082012</v>
      </c>
      <c r="F23" s="237"/>
      <c r="G23" s="70">
        <f t="shared" si="1"/>
        <v>44.278813929776767</v>
      </c>
      <c r="H23" s="69"/>
      <c r="I23" s="69">
        <f t="shared" si="5"/>
        <v>-55.69</v>
      </c>
      <c r="J23" s="70">
        <f t="shared" si="2"/>
        <v>-11.411186070223231</v>
      </c>
      <c r="K23" s="70">
        <f t="shared" si="3"/>
        <v>-30.2</v>
      </c>
      <c r="L23" s="69">
        <f t="shared" si="4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Assumptions'!$E$371:$E$394,'Table 3 PV_.PX.NTN._.PTC.2031'!$B24-2023,1)/INDEX('2025 IRP Assumptions'!$E$371:$E$394,'Table 3 PV_.PX.NTN._.PTC.2031'!$B24-2023-1,1)</f>
        <v>91.393887636254348</v>
      </c>
      <c r="E24" s="69" cm="1">
        <f t="array" ref="E24">$E$9*INDEX('2025 IRP Assumptions'!$E$371:$E$394,'Table 3 PV_.PX.NTN._.PTC.2031'!$B24-2023,1)</f>
        <v>28.35736228116</v>
      </c>
      <c r="F24" s="237"/>
      <c r="G24" s="70">
        <f t="shared" si="1"/>
        <v>45.244092065725901</v>
      </c>
      <c r="H24" s="69"/>
      <c r="I24" s="69">
        <f t="shared" si="5"/>
        <v>-57.02</v>
      </c>
      <c r="J24" s="70">
        <f t="shared" si="2"/>
        <v>-11.775907934274102</v>
      </c>
      <c r="K24" s="70">
        <f t="shared" si="3"/>
        <v>-31.17</v>
      </c>
      <c r="L24" s="69">
        <f t="shared" si="4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Assumptions'!$E$371:$E$394,'Table 3 PV_.PX.NTN._.PTC.2031'!$B25-2023,1)/INDEX('2025 IRP Assumptions'!$E$371:$E$394,'Table 3 PV_.PX.NTN._.PTC.2031'!$B25-2023-1,1)</f>
        <v>93.386274414540893</v>
      </c>
      <c r="E25" s="69" cm="1">
        <f t="array" ref="E25">$E$9*INDEX('2025 IRP Assumptions'!$E$371:$E$394,'Table 3 PV_.PX.NTN._.PTC.2031'!$B25-2023,1)</f>
        <v>28.975552787519998</v>
      </c>
      <c r="F25" s="237"/>
      <c r="G25" s="70">
        <f t="shared" si="1"/>
        <v>46.230413286529</v>
      </c>
      <c r="H25" s="69"/>
      <c r="I25" s="69">
        <f t="shared" si="5"/>
        <v>-58.35</v>
      </c>
      <c r="J25" s="70">
        <f t="shared" si="2"/>
        <v>-12.119586713471001</v>
      </c>
      <c r="K25" s="70">
        <f t="shared" si="3"/>
        <v>-32.08</v>
      </c>
      <c r="L25" s="69">
        <f t="shared" si="4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Assumptions'!$E$371:$E$394,'Table 3 PV_.PX.NTN._.PTC.2031'!$B26-2023,1)/INDEX('2025 IRP Assumptions'!$E$371:$E$394,'Table 3 PV_.PX.NTN._.PTC.2031'!$B26-2023-1,1)</f>
        <v>95.422095152017988</v>
      </c>
      <c r="E26" s="69" cm="1">
        <f t="array" ref="E26">$E$9*INDEX('2025 IRP Assumptions'!$E$371:$E$394,'Table 3 PV_.PX.NTN._.PTC.2031'!$B26-2023,1)</f>
        <v>29.607219824399998</v>
      </c>
      <c r="F26" s="237"/>
      <c r="G26" s="70">
        <f t="shared" si="1"/>
        <v>47.238236274017169</v>
      </c>
      <c r="H26" s="69"/>
      <c r="I26" s="69"/>
      <c r="J26" s="70">
        <f t="shared" si="2"/>
        <v>47.238236274017169</v>
      </c>
      <c r="K26" s="70">
        <f t="shared" si="3"/>
        <v>125.03</v>
      </c>
      <c r="L26" s="69">
        <f t="shared" si="4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Assumptions'!$E$371:$E$394,'Table 3 PV_.PX.NTN._.PTC.2031'!$B27-2023,1)/INDEX('2025 IRP Assumptions'!$E$371:$E$394,'Table 3 PV_.PX.NTN._.PTC.2031'!$B27-2023-1,1)</f>
        <v>97.502296829903244</v>
      </c>
      <c r="E27" s="69" cm="1">
        <f t="array" ref="E27">$E$9*INDEX('2025 IRP Assumptions'!$E$371:$E$394,'Table 3 PV_.PX.NTN._.PTC.2031'!$B27-2023,1)</f>
        <v>30.252657217679999</v>
      </c>
      <c r="F27" s="237"/>
      <c r="G27" s="70">
        <f t="shared" si="1"/>
        <v>48.268029826558674</v>
      </c>
      <c r="H27" s="69"/>
      <c r="I27" s="69"/>
      <c r="J27" s="70">
        <f t="shared" si="2"/>
        <v>48.268029826558674</v>
      </c>
      <c r="K27" s="70">
        <f t="shared" si="3"/>
        <v>127.75</v>
      </c>
      <c r="L27" s="69">
        <f t="shared" si="4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Assumptions'!$E$371:$E$394,'Table 3 PV_.PX.NTN._.PTC.2031'!$B28-2023,1)/INDEX('2025 IRP Assumptions'!$E$371:$E$394,'Table 3 PV_.PX.NTN._.PTC.2031'!$B28-2023-1,1)</f>
        <v>99.627846931137697</v>
      </c>
      <c r="E28" s="69" cm="1">
        <f t="array" ref="E28">$E$9*INDEX('2025 IRP Assumptions'!$E$371:$E$394,'Table 3 PV_.PX.NTN._.PTC.2031'!$B28-2023,1)</f>
        <v>30.91216515444</v>
      </c>
      <c r="F28" s="237"/>
      <c r="G28" s="70">
        <f t="shared" si="1"/>
        <v>49.320272891798588</v>
      </c>
      <c r="H28" s="69"/>
      <c r="I28" s="69"/>
      <c r="J28" s="70">
        <f t="shared" si="2"/>
        <v>49.320272891798588</v>
      </c>
      <c r="K28" s="70">
        <f t="shared" si="3"/>
        <v>130.54</v>
      </c>
      <c r="L28" s="69">
        <f t="shared" si="4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Assumptions'!$E$371:$E$394,'Table 3 PV_.PX.NTN._.PTC.2031'!$B29-2023,1)/INDEX('2025 IRP Assumptions'!$E$371:$E$394,'Table 3 PV_.PX.NTN._.PTC.2031'!$B29-2023-1,1)</f>
        <v>101.79973396946248</v>
      </c>
      <c r="E29" s="69" cm="1">
        <f t="array" ref="E29">$E$9*INDEX('2025 IRP Assumptions'!$E$371:$E$394,'Table 3 PV_.PX.NTN._.PTC.2031'!$B29-2023,1)</f>
        <v>31.58605034712</v>
      </c>
      <c r="F29" s="237"/>
      <c r="G29" s="70">
        <f t="shared" si="1"/>
        <v>50.395454828575545</v>
      </c>
      <c r="H29" s="69"/>
      <c r="I29" s="69"/>
      <c r="J29" s="70">
        <f t="shared" si="2"/>
        <v>50.395454828575545</v>
      </c>
      <c r="K29" s="70">
        <f t="shared" si="3"/>
        <v>133.38999999999999</v>
      </c>
      <c r="L29" s="69">
        <f t="shared" si="4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Assumptions'!$E$371:$E$394,'Table 3 PV_.PX.NTN._.PTC.2031'!$B30-2023,1)/INDEX('2025 IRP Assumptions'!$E$371:$E$394,'Table 3 PV_.PX.NTN._.PTC.2031'!$B30-2023-1,1)</f>
        <v>104.01896821689942</v>
      </c>
      <c r="E30" s="69" cm="1">
        <f t="array" ref="E30">$E$9*INDEX('2025 IRP Assumptions'!$E$371:$E$394,'Table 3 PV_.PX.NTN._.PTC.2031'!$B30-2023,1)</f>
        <v>32.274626259240002</v>
      </c>
      <c r="F30" s="237"/>
      <c r="G30" s="70">
        <f t="shared" si="1"/>
        <v>51.494075767057417</v>
      </c>
      <c r="H30" s="69"/>
      <c r="I30" s="69"/>
      <c r="J30" s="70">
        <f t="shared" si="2"/>
        <v>51.494075767057417</v>
      </c>
      <c r="K30" s="70">
        <f t="shared" si="3"/>
        <v>136.29</v>
      </c>
      <c r="L30" s="69">
        <f t="shared" si="4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Assumptions'!$E$371:$E$394,'Table 3 PV_.PX.NTN._.PTC.2031'!$B31-2023,1)/INDEX('2025 IRP Assumptions'!$E$371:$E$394,'Table 3 PV_.PX.NTN._.PTC.2031'!$B31-2023-1,1)</f>
        <v>106.28658170375095</v>
      </c>
      <c r="E31" s="69" cm="1">
        <f t="array" ref="E31">$E$9*INDEX('2025 IRP Assumptions'!$E$371:$E$394,'Table 3 PV_.PX.NTN._.PTC.2031'!$B31-2023,1)</f>
        <v>32.978213105400002</v>
      </c>
      <c r="F31" s="237"/>
      <c r="G31" s="70">
        <f t="shared" si="1"/>
        <v>52.616646608741299</v>
      </c>
      <c r="H31" s="69"/>
      <c r="I31" s="69"/>
      <c r="J31" s="70">
        <f t="shared" si="2"/>
        <v>52.616646608741299</v>
      </c>
      <c r="K31" s="70">
        <f t="shared" si="3"/>
        <v>139.26</v>
      </c>
      <c r="L31" s="69">
        <f t="shared" si="4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Assumptions'!$E$371:$E$394,'Table 3 PV_.PX.NTN._.PTC.2031'!$B32-2023,1)/INDEX('2025 IRP Assumptions'!$E$371:$E$394,'Table 3 PV_.PX.NTN._.PTC.2031'!$B32-2023-1,1)</f>
        <v>108.6036291444845</v>
      </c>
      <c r="E32" s="69" cm="1">
        <f t="array" ref="E32">$E$9*INDEX('2025 IRP Assumptions'!$E$371:$E$394,'Table 3 PV_.PX.NTN._.PTC.2031'!$B32-2023,1)</f>
        <v>33.69713813856</v>
      </c>
      <c r="F32" s="237"/>
      <c r="G32" s="70">
        <f t="shared" si="1"/>
        <v>53.763689484807976</v>
      </c>
      <c r="H32" s="69"/>
      <c r="I32" s="69"/>
      <c r="J32" s="70">
        <f t="shared" si="2"/>
        <v>53.763689484807976</v>
      </c>
      <c r="K32" s="70">
        <f t="shared" si="3"/>
        <v>142.30000000000001</v>
      </c>
      <c r="L32" s="69">
        <f t="shared" si="4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54.935737895136803</v>
      </c>
      <c r="H33" s="69"/>
      <c r="I33" s="322"/>
      <c r="J33" s="70">
        <f t="shared" si="2"/>
        <v>54.935737895136803</v>
      </c>
      <c r="K33" s="70">
        <f t="shared" si="3"/>
        <v>145.4</v>
      </c>
      <c r="L33" s="69">
        <f t="shared" si="4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56.13333696036522</v>
      </c>
      <c r="H34" s="69"/>
      <c r="I34" s="322"/>
      <c r="J34" s="70">
        <f t="shared" si="2"/>
        <v>56.13333696036522</v>
      </c>
      <c r="K34" s="70">
        <f t="shared" si="3"/>
        <v>148.57</v>
      </c>
      <c r="L34" s="69">
        <f t="shared" si="4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57.357043684760306</v>
      </c>
      <c r="H35" s="69"/>
      <c r="I35" s="322"/>
      <c r="J35" s="70">
        <f t="shared" si="2"/>
        <v>57.357043684760306</v>
      </c>
      <c r="K35" s="70">
        <f t="shared" si="3"/>
        <v>151.81</v>
      </c>
      <c r="L35" s="69">
        <f t="shared" si="4"/>
        <v>151.81159261279529</v>
      </c>
      <c r="P35" s="79"/>
      <c r="Q35" s="69"/>
      <c r="R35" s="69"/>
    </row>
    <row r="36" spans="2:18" ht="15" hidden="1">
      <c r="B36" s="68"/>
      <c r="C36" s="71"/>
      <c r="D36" s="232"/>
      <c r="E36" s="232"/>
      <c r="F36" s="237"/>
      <c r="G36" s="70"/>
      <c r="H36" s="69"/>
      <c r="I36" s="322"/>
      <c r="J36" s="70"/>
      <c r="K36" s="70"/>
      <c r="L36" s="69"/>
      <c r="P36" s="79"/>
      <c r="Q36" s="69"/>
      <c r="R36" s="69"/>
    </row>
    <row r="37" spans="2:18" ht="15" hidden="1">
      <c r="B37" s="68"/>
      <c r="C37" s="71"/>
      <c r="D37" s="232"/>
      <c r="E37" s="232"/>
      <c r="F37" s="237"/>
      <c r="G37" s="70"/>
      <c r="H37" s="69"/>
      <c r="I37" s="322"/>
      <c r="J37" s="70"/>
      <c r="K37" s="70"/>
      <c r="L37" s="69"/>
      <c r="P37" s="79"/>
      <c r="Q37" s="69"/>
      <c r="R37" s="69"/>
    </row>
    <row r="38" spans="2:18" ht="15" hidden="1">
      <c r="B38" s="68"/>
      <c r="C38" s="71"/>
      <c r="D38" s="232"/>
      <c r="E38" s="232"/>
      <c r="F38" s="237"/>
      <c r="G38" s="70"/>
      <c r="H38" s="69"/>
      <c r="I38" s="322"/>
      <c r="J38" s="70"/>
      <c r="K38" s="70"/>
      <c r="L38" s="69"/>
      <c r="P38" s="79"/>
      <c r="Q38" s="69"/>
      <c r="R38" s="69"/>
    </row>
    <row r="39" spans="2:18" ht="15" hidden="1">
      <c r="B39" s="68"/>
      <c r="C39" s="71"/>
      <c r="D39" s="232"/>
      <c r="E39" s="232"/>
      <c r="F39" s="237"/>
      <c r="G39" s="70"/>
      <c r="H39" s="69"/>
      <c r="I39" s="322"/>
      <c r="J39" s="70"/>
      <c r="K39" s="70"/>
      <c r="L39" s="69"/>
      <c r="P39" s="79"/>
      <c r="Q39" s="69"/>
      <c r="R39" s="69"/>
    </row>
    <row r="40" spans="2:18" ht="15" hidden="1">
      <c r="B40" s="68"/>
      <c r="C40" s="71"/>
      <c r="D40" s="232"/>
      <c r="E40" s="232"/>
      <c r="F40" s="237"/>
      <c r="G40" s="70"/>
      <c r="H40" s="69"/>
      <c r="I40" s="322"/>
      <c r="J40" s="70"/>
      <c r="K40" s="70"/>
      <c r="L40" s="69"/>
      <c r="P40" s="79"/>
      <c r="Q40" s="69"/>
      <c r="R40" s="69"/>
    </row>
    <row r="41" spans="2:18" ht="15" hidden="1">
      <c r="B41" s="68"/>
      <c r="C41" s="71"/>
      <c r="D41" s="232"/>
      <c r="E41" s="232"/>
      <c r="F41" s="237"/>
      <c r="G41" s="70"/>
      <c r="H41" s="69"/>
      <c r="I41" s="322"/>
      <c r="J41" s="70"/>
      <c r="K41" s="70"/>
      <c r="L41" s="69"/>
      <c r="P41" s="79"/>
      <c r="Q41" s="69"/>
      <c r="R41" s="69"/>
    </row>
    <row r="42" spans="2:18" ht="15" hidden="1">
      <c r="B42" s="68"/>
      <c r="C42" s="71"/>
      <c r="D42" s="232"/>
      <c r="E42" s="232"/>
      <c r="F42" s="237"/>
      <c r="G42" s="70"/>
      <c r="H42" s="69"/>
      <c r="I42" s="322"/>
      <c r="J42" s="70"/>
      <c r="K42" s="70"/>
      <c r="L42" s="69"/>
      <c r="P42" s="79"/>
      <c r="Q42" s="69"/>
      <c r="R42" s="69"/>
    </row>
    <row r="43" spans="2:18" ht="15" hidden="1">
      <c r="B43" s="68"/>
      <c r="C43" s="71"/>
      <c r="D43" s="232"/>
      <c r="E43" s="232"/>
      <c r="F43" s="237"/>
      <c r="G43" s="70"/>
      <c r="H43" s="69"/>
      <c r="I43" s="322"/>
      <c r="J43" s="70"/>
      <c r="K43" s="70"/>
      <c r="L43" s="69"/>
      <c r="P43" s="79"/>
      <c r="Q43" s="69"/>
      <c r="R43" s="69"/>
    </row>
    <row r="44" spans="2:18" ht="15" hidden="1">
      <c r="B44" s="68"/>
      <c r="C44" s="71"/>
      <c r="D44" s="232"/>
      <c r="E44" s="232"/>
      <c r="F44" s="237"/>
      <c r="G44" s="70"/>
      <c r="H44" s="69"/>
      <c r="I44" s="322"/>
      <c r="J44" s="70"/>
      <c r="K44" s="70"/>
      <c r="L44" s="69"/>
      <c r="P44" s="79"/>
      <c r="Q44" s="69"/>
      <c r="R44" s="69"/>
    </row>
    <row r="45" spans="2:18" ht="15" hidden="1">
      <c r="B45" s="68"/>
      <c r="C45" s="71"/>
      <c r="D45" s="232"/>
      <c r="E45" s="232"/>
      <c r="F45" s="237"/>
      <c r="G45" s="70"/>
      <c r="H45" s="69"/>
      <c r="I45" s="322"/>
      <c r="J45" s="70"/>
      <c r="K45" s="70"/>
      <c r="L45" s="69"/>
      <c r="P45" s="79"/>
      <c r="Q45" s="69"/>
      <c r="R45" s="69"/>
    </row>
    <row r="46" spans="2:18" ht="15" hidden="1">
      <c r="B46" s="68"/>
      <c r="C46" s="71"/>
      <c r="D46" s="232"/>
      <c r="E46" s="232"/>
      <c r="F46" s="237"/>
      <c r="G46" s="70"/>
      <c r="H46" s="69"/>
      <c r="I46" s="322"/>
      <c r="J46" s="70"/>
      <c r="K46" s="70"/>
      <c r="L46" s="69"/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303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10.605054704525907</v>
      </c>
      <c r="K48" s="70">
        <f>-PMT(Discount_Rate,COUNT(K$16:K$40),NPV(Discount_Rate,K$16:K$40))</f>
        <v>28.069059149361877</v>
      </c>
      <c r="L48" s="70">
        <f>-PMT(Discount_Rate,COUNT(L$16:L$40),NPV(Discount_Rate,L$16:L$40))</f>
        <v>119.31866728070321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30.2%)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250</v>
      </c>
    </row>
    <row r="58" spans="2:20">
      <c r="B58"/>
      <c r="C58" s="153"/>
      <c r="P58" s="143"/>
      <c r="T58" s="156"/>
    </row>
    <row r="59" spans="2:20">
      <c r="B59"/>
      <c r="C59" s="77"/>
      <c r="Q59" s="61" t="s">
        <v>187</v>
      </c>
      <c r="R59" s="143">
        <v>100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155">
        <v>0.30214406753877532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C63" s="155"/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129.8511264722423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7">I65*(8.76*$C$61)</f>
        <v>133.37134657432307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8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7"/>
        <v>133.37134657432307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8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7"/>
        <v>136.86509885608743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8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7"/>
        <v>140.3853189581682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8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7"/>
        <v>143.90553906024894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8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7"/>
        <v>147.3992913420133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8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7"/>
        <v>147.3992913420133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8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7"/>
        <v>150.9195114440941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8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7"/>
        <v>154.43973154617484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65.738090441674046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76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78FAB-9259-475F-BB5E-F76CD6BD7A13}">
  <sheetPr>
    <tabColor rgb="FFFFFF00"/>
    <pageSetUpPr fitToPage="1"/>
  </sheetPr>
  <dimension ref="B1:AC89"/>
  <sheetViews>
    <sheetView topLeftCell="A34" zoomScaleNormal="100" workbookViewId="0">
      <selection activeCell="G65" sqref="G6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3.33203125" style="61" customWidth="1"/>
    <col min="6" max="6" width="18.83203125" style="61" customWidth="1"/>
    <col min="7" max="7" width="23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Assumptions'!$E$371:$E$394,'PV_.PX.BDG._.PTC.2031'!$B10-2023,1)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Assumptions'!$E$371:$E$394,'PV_.PX.BDG._.PTC.2031'!$B11-2023,1)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Assumptions'!$E$371:$E$394,'PV_.PX.BDG._.PTC.2031'!$B12-2023,1)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Assumptions'!$E$371:$E$394,'PV_.PX.BDG._.PTC.2031'!$B13-2023,1)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Assumptions'!$E$371:$E$394,'PV_.PX.BDG._.PTC.2031'!$B14-2023,1)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Assumptions'!$E$371:$E$394,'PV_.PX.BDG._.PTC.2031'!$B15-2023,1)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Assumptions'!$E$371:$E$394,'PV_.PX.BDG._.PTC.2031'!$B16-2023,1)</f>
        <v>23.863747481640001</v>
      </c>
      <c r="F16" s="237"/>
      <c r="G16" s="70">
        <f t="shared" ref="G16:G46" si="1">(D16+E16+F16)/(8.76*$C$61)</f>
        <v>38.406509695055568</v>
      </c>
      <c r="H16" s="69"/>
      <c r="I16" s="69">
        <f>-I64</f>
        <v>-49.06</v>
      </c>
      <c r="J16" s="70">
        <f>(G16+H16+I16)</f>
        <v>-10.653490304944434</v>
      </c>
      <c r="K16" s="70">
        <f t="shared" ref="K16:K46" si="2">ROUND(J16*$C$61*8.76,2)</f>
        <v>-27.95</v>
      </c>
      <c r="L16" s="69">
        <f t="shared" ref="L16:L46" si="3"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Assumptions'!$E$371:$E$394,'PV_.PX.BDG._.PTC.2031'!$B17-2023,1)/INDEX('2025 IRP Assumptions'!$E$371:$E$394,'PV_.PX.BDG._.PTC.2031'!$B17-2023-1,1)</f>
        <v>78.587932386487694</v>
      </c>
      <c r="E17" s="69" cm="1">
        <f t="array" ref="E17">$E$9*INDEX('2025 IRP Assumptions'!$E$371:$E$394,'PV_.PX.BDG._.PTC.2031'!$B17-2023,1)</f>
        <v>24.383977170120001</v>
      </c>
      <c r="F17" s="237"/>
      <c r="G17" s="70">
        <f t="shared" si="1"/>
        <v>39.243771595753891</v>
      </c>
      <c r="H17" s="69"/>
      <c r="I17" s="69">
        <f t="shared" ref="I17:I25" si="4">-I65</f>
        <v>-50.39</v>
      </c>
      <c r="J17" s="70">
        <f t="shared" ref="J17:J35" si="5">(G17+H17+I17)</f>
        <v>-11.146228404246109</v>
      </c>
      <c r="K17" s="70">
        <f t="shared" si="2"/>
        <v>-29.25</v>
      </c>
      <c r="L17" s="69">
        <f t="shared" si="3"/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Assumptions'!$E$371:$E$394,'PV_.PX.BDG._.PTC.2031'!$B18-2023,1)/INDEX('2025 IRP Assumptions'!$E$371:$E$394,'PV_.PX.BDG._.PTC.2031'!$B18-2023-1,1)</f>
        <v>80.301149313452228</v>
      </c>
      <c r="E18" s="69" cm="1">
        <f t="array" ref="E18">$E$9*INDEX('2025 IRP Assumptions'!$E$371:$E$394,'PV_.PX.BDG._.PTC.2031'!$B18-2023,1)</f>
        <v>24.915547872719998</v>
      </c>
      <c r="F18" s="237"/>
      <c r="G18" s="70">
        <f t="shared" si="1"/>
        <v>40.099285817010276</v>
      </c>
      <c r="H18" s="69"/>
      <c r="I18" s="69">
        <f t="shared" si="4"/>
        <v>-50.39</v>
      </c>
      <c r="J18" s="70">
        <f t="shared" si="5"/>
        <v>-10.290714182989724</v>
      </c>
      <c r="K18" s="70">
        <f t="shared" si="2"/>
        <v>-27</v>
      </c>
      <c r="L18" s="69">
        <f t="shared" si="3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Assumptions'!$E$371:$E$394,'PV_.PX.BDG._.PTC.2031'!$B19-2023,1)/INDEX('2025 IRP Assumptions'!$E$371:$E$394,'PV_.PX.BDG._.PTC.2031'!$B19-2023-1,1)</f>
        <v>82.051714428350522</v>
      </c>
      <c r="E19" s="69" cm="1">
        <f t="array" ref="E19">$E$9*INDEX('2025 IRP Assumptions'!$E$371:$E$394,'PV_.PX.BDG._.PTC.2031'!$B19-2023,1)</f>
        <v>25.458706834919997</v>
      </c>
      <c r="F19" s="237"/>
      <c r="G19" s="70">
        <f t="shared" si="1"/>
        <v>40.973450277715379</v>
      </c>
      <c r="H19" s="69"/>
      <c r="I19" s="69">
        <f t="shared" si="4"/>
        <v>-51.71</v>
      </c>
      <c r="J19" s="70">
        <f t="shared" si="5"/>
        <v>-10.736549722284622</v>
      </c>
      <c r="K19" s="70">
        <f t="shared" si="2"/>
        <v>-28.17</v>
      </c>
      <c r="L19" s="69">
        <f t="shared" si="3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Assumptions'!$E$371:$E$394,'PV_.PX.BDG._.PTC.2031'!$B20-2023,1)/INDEX('2025 IRP Assumptions'!$E$371:$E$394,'PV_.PX.BDG._.PTC.2031'!$B20-2023-1,1)</f>
        <v>83.840441781870993</v>
      </c>
      <c r="E20" s="69" cm="1">
        <f t="array" ref="E20">$E$9*INDEX('2025 IRP Assumptions'!$E$371:$E$394,'PV_.PX.BDG._.PTC.2031'!$B20-2023,1)</f>
        <v>26.013706637399999</v>
      </c>
      <c r="F20" s="237"/>
      <c r="G20" s="70">
        <f t="shared" si="1"/>
        <v>41.86667148327421</v>
      </c>
      <c r="H20" s="69"/>
      <c r="I20" s="69">
        <f t="shared" si="4"/>
        <v>-53.04</v>
      </c>
      <c r="J20" s="70">
        <f t="shared" si="5"/>
        <v>-11.173328516725789</v>
      </c>
      <c r="K20" s="70">
        <f t="shared" si="2"/>
        <v>-29.32</v>
      </c>
      <c r="L20" s="69">
        <f t="shared" si="3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Assumptions'!$E$371:$E$394,'PV_.PX.BDG._.PTC.2031'!$B21-2023,1)/INDEX('2025 IRP Assumptions'!$E$371:$E$394,'PV_.PX.BDG._.PTC.2031'!$B21-2023-1,1)</f>
        <v>85.668163413310992</v>
      </c>
      <c r="E21" s="69" cm="1">
        <f t="array" ref="E21">$E$9*INDEX('2025 IRP Assumptions'!$E$371:$E$394,'PV_.PX.BDG._.PTC.2031'!$B21-2023,1)</f>
        <v>26.580805442279999</v>
      </c>
      <c r="F21" s="237"/>
      <c r="G21" s="70">
        <f t="shared" si="1"/>
        <v>42.779364921906819</v>
      </c>
      <c r="H21" s="69"/>
      <c r="I21" s="69">
        <f t="shared" si="4"/>
        <v>-54.37</v>
      </c>
      <c r="J21" s="70">
        <f t="shared" si="5"/>
        <v>-11.590635078093179</v>
      </c>
      <c r="K21" s="70">
        <f t="shared" si="2"/>
        <v>-30.41</v>
      </c>
      <c r="L21" s="69">
        <f t="shared" si="3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Assumptions'!$E$371:$E$394,'PV_.PX.BDG._.PTC.2031'!$B22-2023,1)/INDEX('2025 IRP Assumptions'!$E$371:$E$394,'PV_.PX.BDG._.PTC.2031'!$B22-2023-1,1)</f>
        <v>87.535729350576801</v>
      </c>
      <c r="E22" s="69" cm="1">
        <f t="array" ref="E22">$E$9*INDEX('2025 IRP Assumptions'!$E$371:$E$394,'PV_.PX.BDG._.PTC.2031'!$B22-2023,1)</f>
        <v>27.160266993119997</v>
      </c>
      <c r="F22" s="237"/>
      <c r="G22" s="70">
        <f t="shared" si="1"/>
        <v>43.711955064648265</v>
      </c>
      <c r="H22" s="69"/>
      <c r="I22" s="69">
        <f t="shared" si="4"/>
        <v>-55.69</v>
      </c>
      <c r="J22" s="70">
        <f t="shared" si="5"/>
        <v>-11.978044935351733</v>
      </c>
      <c r="K22" s="70">
        <f t="shared" si="2"/>
        <v>-31.43</v>
      </c>
      <c r="L22" s="69">
        <f t="shared" si="3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Assumptions'!$E$371:$E$394,'PV_.PX.BDG._.PTC.2031'!$B23-2023,1)/INDEX('2025 IRP Assumptions'!$E$371:$E$394,'PV_.PX.BDG._.PTC.2031'!$B23-2023-1,1)</f>
        <v>89.44400827152954</v>
      </c>
      <c r="E23" s="69" cm="1">
        <f t="array" ref="E23">$E$9*INDEX('2025 IRP Assumptions'!$E$371:$E$394,'PV_.PX.BDG._.PTC.2031'!$B23-2023,1)</f>
        <v>27.75236082012</v>
      </c>
      <c r="F23" s="237"/>
      <c r="G23" s="70">
        <f t="shared" si="1"/>
        <v>44.664875695599193</v>
      </c>
      <c r="H23" s="69"/>
      <c r="I23" s="69">
        <f t="shared" si="4"/>
        <v>-55.69</v>
      </c>
      <c r="J23" s="70">
        <f t="shared" si="5"/>
        <v>-11.025124304400805</v>
      </c>
      <c r="K23" s="70">
        <f t="shared" si="2"/>
        <v>-28.93</v>
      </c>
      <c r="L23" s="69">
        <f t="shared" si="3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Assumptions'!$E$371:$E$394,'PV_.PX.BDG._.PTC.2031'!$B24-2023,1)/INDEX('2025 IRP Assumptions'!$E$371:$E$394,'PV_.PX.BDG._.PTC.2031'!$B24-2023-1,1)</f>
        <v>91.393887636254348</v>
      </c>
      <c r="E24" s="69" cm="1">
        <f t="array" ref="E24">$E$9*INDEX('2025 IRP Assumptions'!$E$371:$E$394,'PV_.PX.BDG._.PTC.2031'!$B24-2023,1)</f>
        <v>28.35736228116</v>
      </c>
      <c r="F24" s="237"/>
      <c r="G24" s="70">
        <f t="shared" si="1"/>
        <v>45.638569977975948</v>
      </c>
      <c r="H24" s="69"/>
      <c r="I24" s="69">
        <f t="shared" si="4"/>
        <v>-57.02</v>
      </c>
      <c r="J24" s="70">
        <f t="shared" si="5"/>
        <v>-11.381430022024055</v>
      </c>
      <c r="K24" s="70">
        <f t="shared" si="2"/>
        <v>-29.86</v>
      </c>
      <c r="L24" s="69">
        <f t="shared" si="3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Assumptions'!$E$371:$E$394,'PV_.PX.BDG._.PTC.2031'!$B25-2023,1)/INDEX('2025 IRP Assumptions'!$E$371:$E$394,'PV_.PX.BDG._.PTC.2031'!$B25-2023-1,1)</f>
        <v>93.386274414540893</v>
      </c>
      <c r="E25" s="69" cm="1">
        <f t="array" ref="E25">$E$9*INDEX('2025 IRP Assumptions'!$E$371:$E$394,'PV_.PX.BDG._.PTC.2031'!$B25-2023,1)</f>
        <v>28.975552787519998</v>
      </c>
      <c r="F25" s="237"/>
      <c r="G25" s="70">
        <f t="shared" si="1"/>
        <v>46.633490817386161</v>
      </c>
      <c r="H25" s="69"/>
      <c r="I25" s="69">
        <f t="shared" si="4"/>
        <v>-58.35</v>
      </c>
      <c r="J25" s="70">
        <f t="shared" si="5"/>
        <v>-11.716509182613841</v>
      </c>
      <c r="K25" s="70">
        <f t="shared" si="2"/>
        <v>-30.74</v>
      </c>
      <c r="L25" s="69">
        <f t="shared" si="3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Assumptions'!$E$371:$E$394,'PV_.PX.BDG._.PTC.2031'!$B26-2023,1)/INDEX('2025 IRP Assumptions'!$E$371:$E$394,'PV_.PX.BDG._.PTC.2031'!$B26-2023-1,1)</f>
        <v>95.422095152017988</v>
      </c>
      <c r="E26" s="69" cm="1">
        <f t="array" ref="E26">$E$9*INDEX('2025 IRP Assumptions'!$E$371:$E$394,'PV_.PX.BDG._.PTC.2031'!$B26-2023,1)</f>
        <v>29.607219824399998</v>
      </c>
      <c r="F26" s="237"/>
      <c r="G26" s="70">
        <f t="shared" si="1"/>
        <v>47.650100894853821</v>
      </c>
      <c r="H26" s="69"/>
      <c r="I26" s="69"/>
      <c r="J26" s="70">
        <f t="shared" si="5"/>
        <v>47.650100894853821</v>
      </c>
      <c r="K26" s="70">
        <f t="shared" si="2"/>
        <v>125.03</v>
      </c>
      <c r="L26" s="69">
        <f t="shared" si="3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Assumptions'!$E$371:$E$394,'PV_.PX.BDG._.PTC.2031'!$B27-2023,1)/INDEX('2025 IRP Assumptions'!$E$371:$E$394,'PV_.PX.BDG._.PTC.2031'!$B27-2023-1,1)</f>
        <v>97.502296829903244</v>
      </c>
      <c r="E27" s="69" cm="1">
        <f t="array" ref="E27">$E$9*INDEX('2025 IRP Assumptions'!$E$371:$E$394,'PV_.PX.BDG._.PTC.2031'!$B27-2023,1)</f>
        <v>30.252657217679999</v>
      </c>
      <c r="F27" s="237"/>
      <c r="G27" s="70">
        <f t="shared" si="1"/>
        <v>48.688873096144981</v>
      </c>
      <c r="H27" s="69"/>
      <c r="I27" s="69"/>
      <c r="J27" s="70">
        <f t="shared" si="5"/>
        <v>48.688873096144981</v>
      </c>
      <c r="K27" s="70">
        <f t="shared" si="2"/>
        <v>127.75</v>
      </c>
      <c r="L27" s="69">
        <f t="shared" si="3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Assumptions'!$E$371:$E$394,'PV_.PX.BDG._.PTC.2031'!$B28-2023,1)/INDEX('2025 IRP Assumptions'!$E$371:$E$394,'PV_.PX.BDG._.PTC.2031'!$B28-2023-1,1)</f>
        <v>99.627846931137697</v>
      </c>
      <c r="E28" s="69" cm="1">
        <f t="array" ref="E28">$E$9*INDEX('2025 IRP Assumptions'!$E$371:$E$394,'PV_.PX.BDG._.PTC.2031'!$B28-2023,1)</f>
        <v>30.91216515444</v>
      </c>
      <c r="F28" s="237"/>
      <c r="G28" s="70">
        <f t="shared" si="1"/>
        <v>49.750290544792847</v>
      </c>
      <c r="H28" s="69"/>
      <c r="I28" s="69"/>
      <c r="J28" s="70">
        <f t="shared" si="5"/>
        <v>49.750290544792847</v>
      </c>
      <c r="K28" s="70">
        <f t="shared" si="2"/>
        <v>130.54</v>
      </c>
      <c r="L28" s="69">
        <f t="shared" si="3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Assumptions'!$E$371:$E$394,'PV_.PX.BDG._.PTC.2031'!$B29-2023,1)/INDEX('2025 IRP Assumptions'!$E$371:$E$394,'PV_.PX.BDG._.PTC.2031'!$B29-2023-1,1)</f>
        <v>101.79973396946248</v>
      </c>
      <c r="E29" s="69" cm="1">
        <f t="array" ref="E29">$E$9*INDEX('2025 IRP Assumptions'!$E$371:$E$394,'PV_.PX.BDG._.PTC.2031'!$B29-2023,1)</f>
        <v>31.58605034712</v>
      </c>
      <c r="F29" s="237"/>
      <c r="G29" s="70">
        <f t="shared" si="1"/>
        <v>50.834846866298143</v>
      </c>
      <c r="H29" s="69"/>
      <c r="I29" s="69"/>
      <c r="J29" s="70">
        <f t="shared" si="5"/>
        <v>50.834846866298143</v>
      </c>
      <c r="K29" s="70">
        <f t="shared" si="2"/>
        <v>133.38999999999999</v>
      </c>
      <c r="L29" s="69">
        <f t="shared" si="3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Assumptions'!$E$371:$E$394,'PV_.PX.BDG._.PTC.2031'!$B30-2023,1)/INDEX('2025 IRP Assumptions'!$E$371:$E$394,'PV_.PX.BDG._.PTC.2031'!$B30-2023-1,1)</f>
        <v>104.01896821689942</v>
      </c>
      <c r="E30" s="69" cm="1">
        <f t="array" ref="E30">$E$9*INDEX('2025 IRP Assumptions'!$E$371:$E$394,'PV_.PX.BDG._.PTC.2031'!$B30-2023,1)</f>
        <v>32.274626259240002</v>
      </c>
      <c r="F30" s="237"/>
      <c r="G30" s="70">
        <f t="shared" si="1"/>
        <v>51.943046551404812</v>
      </c>
      <c r="H30" s="69"/>
      <c r="I30" s="69"/>
      <c r="J30" s="70">
        <f t="shared" si="5"/>
        <v>51.943046551404812</v>
      </c>
      <c r="K30" s="70">
        <f t="shared" si="2"/>
        <v>136.29</v>
      </c>
      <c r="L30" s="69">
        <f t="shared" si="3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Assumptions'!$E$371:$E$394,'PV_.PX.BDG._.PTC.2031'!$B31-2023,1)/INDEX('2025 IRP Assumptions'!$E$371:$E$394,'PV_.PX.BDG._.PTC.2031'!$B31-2023-1,1)</f>
        <v>106.28658170375095</v>
      </c>
      <c r="E31" s="69" cm="1">
        <f t="array" ref="E31">$E$9*INDEX('2025 IRP Assumptions'!$E$371:$E$394,'PV_.PX.BDG._.PTC.2031'!$B31-2023,1)</f>
        <v>32.978213105400002</v>
      </c>
      <c r="F31" s="237"/>
      <c r="G31" s="70">
        <f t="shared" si="1"/>
        <v>53.075404956099945</v>
      </c>
      <c r="H31" s="69"/>
      <c r="I31" s="69"/>
      <c r="J31" s="70">
        <f t="shared" si="5"/>
        <v>53.075404956099945</v>
      </c>
      <c r="K31" s="70">
        <f t="shared" si="2"/>
        <v>139.26</v>
      </c>
      <c r="L31" s="69">
        <f t="shared" si="3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Assumptions'!$E$371:$E$394,'PV_.PX.BDG._.PTC.2031'!$B32-2023,1)/INDEX('2025 IRP Assumptions'!$E$371:$E$394,'PV_.PX.BDG._.PTC.2031'!$B32-2023-1,1)</f>
        <v>108.6036291444845</v>
      </c>
      <c r="E32" s="69" cm="1">
        <f t="array" ref="E32">$E$9*INDEX('2025 IRP Assumptions'!$E$371:$E$394,'PV_.PX.BDG._.PTC.2031'!$B32-2023,1)</f>
        <v>33.69713813856</v>
      </c>
      <c r="F32" s="237"/>
      <c r="G32" s="70">
        <f t="shared" si="1"/>
        <v>54.232448763964626</v>
      </c>
      <c r="H32" s="69"/>
      <c r="I32" s="69"/>
      <c r="J32" s="70">
        <f t="shared" si="5"/>
        <v>54.232448763964626</v>
      </c>
      <c r="K32" s="70">
        <f t="shared" si="2"/>
        <v>142.30000000000001</v>
      </c>
      <c r="L32" s="69">
        <f t="shared" si="3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55.414716126400862</v>
      </c>
      <c r="H33" s="69"/>
      <c r="I33" s="69"/>
      <c r="J33" s="70">
        <f t="shared" si="5"/>
        <v>55.414716126400862</v>
      </c>
      <c r="K33" s="70">
        <f t="shared" si="2"/>
        <v>145.4</v>
      </c>
      <c r="L33" s="69">
        <f t="shared" si="3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56.622756916888733</v>
      </c>
      <c r="H34" s="69"/>
      <c r="I34" s="69"/>
      <c r="J34" s="70">
        <f t="shared" si="5"/>
        <v>56.622756916888733</v>
      </c>
      <c r="K34" s="70">
        <f t="shared" si="2"/>
        <v>148.57</v>
      </c>
      <c r="L34" s="69">
        <f t="shared" si="3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57.857132996149964</v>
      </c>
      <c r="H35" s="69"/>
      <c r="I35" s="69"/>
      <c r="J35" s="70">
        <f t="shared" si="5"/>
        <v>57.857132996149964</v>
      </c>
      <c r="K35" s="70">
        <f t="shared" si="2"/>
        <v>151.81</v>
      </c>
      <c r="L35" s="69">
        <f t="shared" si="3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32">
        <f t="shared" ref="D36:E36" si="7">D35*D35/D34</f>
        <v>118.38806732561402</v>
      </c>
      <c r="E36" s="232">
        <f t="shared" si="7"/>
        <v>36.733017948424198</v>
      </c>
      <c r="F36" s="237"/>
      <c r="G36" s="70">
        <f t="shared" si="1"/>
        <v>59.118418473469802</v>
      </c>
      <c r="H36" s="69"/>
      <c r="I36" s="69"/>
      <c r="J36" s="70">
        <f t="shared" ref="J36:J45" si="8">(G36+H36+I36)</f>
        <v>59.118418473469802</v>
      </c>
      <c r="K36" s="70">
        <f t="shared" si="2"/>
        <v>155.12</v>
      </c>
      <c r="L36" s="69">
        <f t="shared" si="3"/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32">
        <f t="shared" ref="D37:E37" si="9">D36*D36/D35</f>
        <v>120.96892714830341</v>
      </c>
      <c r="E37" s="232">
        <f t="shared" si="9"/>
        <v>37.533797725734615</v>
      </c>
      <c r="F37" s="237"/>
      <c r="G37" s="70">
        <f t="shared" si="1"/>
        <v>60.407199973715691</v>
      </c>
      <c r="H37" s="69"/>
      <c r="I37" s="69"/>
      <c r="J37" s="70">
        <f t="shared" si="8"/>
        <v>60.407199973715691</v>
      </c>
      <c r="K37" s="70">
        <f t="shared" si="2"/>
        <v>158.5</v>
      </c>
      <c r="L37" s="69">
        <f t="shared" si="3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32">
        <f t="shared" ref="D38:E38" si="10">D37*D37/D36</f>
        <v>123.60604971414624</v>
      </c>
      <c r="E38" s="232">
        <f t="shared" si="10"/>
        <v>38.35203450188596</v>
      </c>
      <c r="F38" s="237"/>
      <c r="G38" s="70">
        <f t="shared" si="1"/>
        <v>61.724076910176976</v>
      </c>
      <c r="H38" s="69"/>
      <c r="I38" s="69"/>
      <c r="J38" s="70">
        <f t="shared" si="8"/>
        <v>61.724076910176976</v>
      </c>
      <c r="K38" s="70">
        <f t="shared" si="2"/>
        <v>161.96</v>
      </c>
      <c r="L38" s="69">
        <f t="shared" si="3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32">
        <f t="shared" ref="D39:E39" si="11">D38*D38/D37</f>
        <v>126.30066155092186</v>
      </c>
      <c r="E39" s="232">
        <f t="shared" si="11"/>
        <v>39.188108839446329</v>
      </c>
      <c r="F39" s="237"/>
      <c r="G39" s="70">
        <f t="shared" si="1"/>
        <v>63.069661763352464</v>
      </c>
      <c r="H39" s="69"/>
      <c r="I39" s="69"/>
      <c r="J39" s="70">
        <f t="shared" si="8"/>
        <v>63.069661763352464</v>
      </c>
      <c r="K39" s="70">
        <f t="shared" si="2"/>
        <v>165.49</v>
      </c>
      <c r="L39" s="69">
        <f t="shared" si="3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32">
        <f t="shared" ref="D40:E40" si="12">D39*D39/D38</f>
        <v>129.05401592471475</v>
      </c>
      <c r="E40" s="232">
        <f t="shared" si="12"/>
        <v>40.042409597247648</v>
      </c>
      <c r="F40" s="237"/>
      <c r="G40" s="70">
        <f t="shared" si="1"/>
        <v>64.444580365815611</v>
      </c>
      <c r="H40" s="69"/>
      <c r="I40" s="69"/>
      <c r="J40" s="70">
        <f t="shared" si="8"/>
        <v>64.444580365815611</v>
      </c>
      <c r="K40" s="70">
        <f t="shared" si="2"/>
        <v>169.1</v>
      </c>
      <c r="L40" s="69">
        <f t="shared" si="3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32">
        <f t="shared" ref="D41:E41" si="13">D40*D40/D39</f>
        <v>131.86739342280956</v>
      </c>
      <c r="E41" s="232">
        <f t="shared" si="13"/>
        <v>40.915334111244249</v>
      </c>
      <c r="F41" s="237"/>
      <c r="G41" s="70">
        <f t="shared" si="1"/>
        <v>65.849472193289742</v>
      </c>
      <c r="H41" s="69"/>
      <c r="I41" s="69"/>
      <c r="J41" s="70">
        <f t="shared" si="8"/>
        <v>65.849472193289742</v>
      </c>
      <c r="K41" s="70">
        <f t="shared" si="2"/>
        <v>172.78</v>
      </c>
      <c r="L41" s="69">
        <f t="shared" si="3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32">
        <f t="shared" ref="D42:E42" si="14">D41*D41/D40</f>
        <v>134.74210254929324</v>
      </c>
      <c r="E42" s="232">
        <f t="shared" si="14"/>
        <v>41.807288379314109</v>
      </c>
      <c r="F42" s="237"/>
      <c r="G42" s="70">
        <f t="shared" si="1"/>
        <v>67.284990662068694</v>
      </c>
      <c r="H42" s="69"/>
      <c r="I42" s="69"/>
      <c r="J42" s="70">
        <f t="shared" si="8"/>
        <v>67.284990662068694</v>
      </c>
      <c r="K42" s="70">
        <f t="shared" si="2"/>
        <v>176.55</v>
      </c>
      <c r="L42" s="69">
        <f t="shared" si="3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32">
        <f t="shared" ref="D43:E43" si="15">D42*D42/D41</f>
        <v>137.67948033364135</v>
      </c>
      <c r="E43" s="232">
        <f t="shared" si="15"/>
        <v>42.718687250088784</v>
      </c>
      <c r="F43" s="237"/>
      <c r="G43" s="70">
        <f t="shared" si="1"/>
        <v>68.751803432921264</v>
      </c>
      <c r="H43" s="69"/>
      <c r="I43" s="69"/>
      <c r="J43" s="70">
        <f t="shared" si="8"/>
        <v>68.751803432921264</v>
      </c>
      <c r="K43" s="70">
        <f t="shared" si="2"/>
        <v>180.4</v>
      </c>
      <c r="L43" s="69">
        <f t="shared" si="3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32">
        <f t="shared" ref="D44:E44" si="16">D43*D43/D42</f>
        <v>140.6808929525715</v>
      </c>
      <c r="E44" s="232">
        <f t="shared" si="16"/>
        <v>43.649954615899851</v>
      </c>
      <c r="F44" s="237"/>
      <c r="G44" s="70">
        <f t="shared" si="1"/>
        <v>70.250592721620762</v>
      </c>
      <c r="H44" s="69"/>
      <c r="I44" s="69"/>
      <c r="J44" s="70">
        <f t="shared" si="8"/>
        <v>70.250592721620762</v>
      </c>
      <c r="K44" s="70">
        <f t="shared" si="2"/>
        <v>184.33</v>
      </c>
      <c r="L44" s="69">
        <f t="shared" si="3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32">
        <f t="shared" ref="D45:E46" si="17">D44*D44/D43</f>
        <v>143.74773636545322</v>
      </c>
      <c r="E45" s="232">
        <f t="shared" si="17"/>
        <v>44.601523609931547</v>
      </c>
      <c r="F45" s="237"/>
      <c r="G45" s="70">
        <f t="shared" si="1"/>
        <v>71.782055616244094</v>
      </c>
      <c r="H45" s="69"/>
      <c r="I45" s="69"/>
      <c r="J45" s="70">
        <f t="shared" si="8"/>
        <v>71.782055616244094</v>
      </c>
      <c r="K45" s="70">
        <f t="shared" si="2"/>
        <v>188.35</v>
      </c>
      <c r="L45" s="69">
        <f t="shared" si="3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32">
        <f t="shared" si="17"/>
        <v>146.8814369635698</v>
      </c>
      <c r="E46" s="232">
        <f t="shared" si="17"/>
        <v>45.573836807671363</v>
      </c>
      <c r="F46" s="237"/>
      <c r="G46" s="70">
        <f t="shared" si="1"/>
        <v>73.346904401387974</v>
      </c>
      <c r="H46" s="69"/>
      <c r="I46" s="69"/>
      <c r="J46" s="70">
        <f t="shared" ref="J46" si="18">(G46+H46+I46)</f>
        <v>73.346904401387974</v>
      </c>
      <c r="K46" s="70">
        <f t="shared" si="2"/>
        <v>192.46</v>
      </c>
      <c r="L46" s="69">
        <f t="shared" si="3"/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304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15.961702570057668</v>
      </c>
      <c r="K48" s="70">
        <f>-PMT(Discount_Rate,COUNT(K$16:K$40),NPV(Discount_Rate,K$16:K$40))</f>
        <v>41.882045453941984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30.0%)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242</v>
      </c>
    </row>
    <row r="58" spans="2:20">
      <c r="B58" s="326" t="str">
        <f>'2025 IRP Assumptions'!A470&amp;"$"</f>
        <v>2028$</v>
      </c>
      <c r="D58" s="79">
        <v>0</v>
      </c>
      <c r="E58" s="61" t="s">
        <v>86</v>
      </c>
      <c r="P58" s="143"/>
      <c r="T58" s="156"/>
    </row>
    <row r="59" spans="2:20">
      <c r="B59"/>
      <c r="C59" s="77"/>
      <c r="Q59" s="61" t="s">
        <v>187</v>
      </c>
      <c r="R59" s="143">
        <v>88.5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323">
        <v>0.29953247911654929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128.72875560701129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19">I65*(8.76*$C$61)</f>
        <v>132.21854861470237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0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19"/>
        <v>132.21854861470237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0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19"/>
        <v>135.68210257722285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0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19"/>
        <v>139.17189558491395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0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19"/>
        <v>142.66168859260503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0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19"/>
        <v>146.12524255512551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0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19"/>
        <v>146.12524255512551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0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19"/>
        <v>149.61503556281662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0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19"/>
        <v>153.10482857050772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65.169881913552985</v>
      </c>
    </row>
    <row r="79" spans="3:10">
      <c r="J79" s="79"/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4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D2495-3B6A-418E-B6A0-95CB07098F26}">
  <sheetPr>
    <tabColor rgb="FFFFFF00"/>
    <pageSetUpPr fitToPage="1"/>
  </sheetPr>
  <dimension ref="B1:AC89"/>
  <sheetViews>
    <sheetView workbookViewId="0">
      <selection activeCell="E5" sqref="E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3.5" style="61" customWidth="1"/>
    <col min="7" max="7" width="23.832031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PV_.PX.HTG._.PTC.Utility_Scale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33%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Assumptions'!$E$371:$E$394,'PV_.PX.HTG._.PTC.2031'!$B10-2023,1)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Assumptions'!$E$371:$E$394,'PV_.PX.HTG._.PTC.2031'!$B11-2023,1)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Assumptions'!$E$371:$E$394,'PV_.PX.HTG._.PTC.2031'!$B12-2023,1)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Assumptions'!$E$371:$E$394,'PV_.PX.HTG._.PTC.2031'!$B13-2023,1)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Assumptions'!$E$371:$E$394,'PV_.PX.HTG._.PTC.2031'!$B14-2023,1)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Assumptions'!$E$371:$E$394,'PV_.PX.HTG._.PTC.2031'!$B15-2023,1)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Assumptions'!$E$371:$E$394,'PV_.PX.HTG._.PTC.2031'!$B16-2023,1)</f>
        <v>23.863747481640001</v>
      </c>
      <c r="F16" s="237"/>
      <c r="G16" s="70">
        <f t="shared" ref="G16:G46" si="1">(D16+E16+F16)/(8.76*$C$61)</f>
        <v>35.196896705670014</v>
      </c>
      <c r="H16" s="69"/>
      <c r="I16" s="69">
        <f>-I64</f>
        <v>-49.06</v>
      </c>
      <c r="J16" s="70">
        <f>(G16+H16+I16)</f>
        <v>-13.863103294329989</v>
      </c>
      <c r="K16" s="70">
        <f t="shared" ref="K16:K46" si="2">ROUND(J16*$C$61*8.76,2)</f>
        <v>-39.69</v>
      </c>
      <c r="L16" s="69">
        <f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Assumptions'!$E$371:$E$394,'PV_.PX.HTG._.PTC.2031'!$B17-2023,1)/INDEX('2025 IRP Assumptions'!$E$371:$E$394,'PV_.PX.HTG._.PTC.2031'!$B17-2023-1,1)</f>
        <v>78.587932386487694</v>
      </c>
      <c r="E17" s="69" cm="1">
        <f t="array" ref="E17">$E$9*INDEX('2025 IRP Assumptions'!$E$371:$E$394,'PV_.PX.HTG._.PTC.2031'!$B17-2023,1)</f>
        <v>24.383977170120001</v>
      </c>
      <c r="F17" s="237"/>
      <c r="G17" s="70">
        <f t="shared" si="1"/>
        <v>35.964189044090077</v>
      </c>
      <c r="H17" s="69"/>
      <c r="I17" s="69">
        <f t="shared" ref="I17:I25" si="3">-I65</f>
        <v>-50.39</v>
      </c>
      <c r="J17" s="70">
        <f t="shared" ref="J17:J35" si="4">(G17+H17+I17)</f>
        <v>-14.425810955909924</v>
      </c>
      <c r="K17" s="70">
        <f t="shared" si="2"/>
        <v>-41.3</v>
      </c>
      <c r="L17" s="69">
        <f t="shared" ref="L17:L35" si="5">(D17+E17+F17)</f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Assumptions'!$E$371:$E$394,'PV_.PX.HTG._.PTC.2031'!$B18-2023,1)/INDEX('2025 IRP Assumptions'!$E$371:$E$394,'PV_.PX.HTG._.PTC.2031'!$B18-2023-1,1)</f>
        <v>80.301149313452228</v>
      </c>
      <c r="E18" s="69" cm="1">
        <f t="array" ref="E18">$E$9*INDEX('2025 IRP Assumptions'!$E$371:$E$394,'PV_.PX.HTG._.PTC.2031'!$B18-2023,1)</f>
        <v>24.915547872719998</v>
      </c>
      <c r="F18" s="237"/>
      <c r="G18" s="70">
        <f t="shared" si="1"/>
        <v>36.748208365681002</v>
      </c>
      <c r="H18" s="69"/>
      <c r="I18" s="69">
        <f t="shared" si="3"/>
        <v>-50.39</v>
      </c>
      <c r="J18" s="70">
        <f t="shared" si="4"/>
        <v>-13.641791634318999</v>
      </c>
      <c r="K18" s="70">
        <f t="shared" si="2"/>
        <v>-39.06</v>
      </c>
      <c r="L18" s="69">
        <f t="shared" si="5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Assumptions'!$E$371:$E$394,'PV_.PX.HTG._.PTC.2031'!$B19-2023,1)/INDEX('2025 IRP Assumptions'!$E$371:$E$394,'PV_.PX.HTG._.PTC.2031'!$B19-2023-1,1)</f>
        <v>82.051714428350522</v>
      </c>
      <c r="E19" s="69" cm="1">
        <f t="array" ref="E19">$E$9*INDEX('2025 IRP Assumptions'!$E$371:$E$394,'PV_.PX.HTG._.PTC.2031'!$B19-2023,1)</f>
        <v>25.458706834919997</v>
      </c>
      <c r="F19" s="237"/>
      <c r="G19" s="70">
        <f t="shared" si="1"/>
        <v>37.549319335448878</v>
      </c>
      <c r="H19" s="69"/>
      <c r="I19" s="69">
        <f t="shared" si="3"/>
        <v>-51.71</v>
      </c>
      <c r="J19" s="70">
        <f t="shared" si="4"/>
        <v>-14.160680664551123</v>
      </c>
      <c r="K19" s="70">
        <f t="shared" si="2"/>
        <v>-40.54</v>
      </c>
      <c r="L19" s="69">
        <f t="shared" si="5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Assumptions'!$E$371:$E$394,'PV_.PX.HTG._.PTC.2031'!$B20-2023,1)/INDEX('2025 IRP Assumptions'!$E$371:$E$394,'PV_.PX.HTG._.PTC.2031'!$B20-2023-1,1)</f>
        <v>83.840441781870993</v>
      </c>
      <c r="E20" s="69" cm="1">
        <f t="array" ref="E20">$E$9*INDEX('2025 IRP Assumptions'!$E$371:$E$394,'PV_.PX.HTG._.PTC.2031'!$B20-2023,1)</f>
        <v>26.013706637399999</v>
      </c>
      <c r="F20" s="237"/>
      <c r="G20" s="70">
        <f t="shared" si="1"/>
        <v>38.367894487343392</v>
      </c>
      <c r="H20" s="69"/>
      <c r="I20" s="69">
        <f t="shared" si="3"/>
        <v>-53.04</v>
      </c>
      <c r="J20" s="70">
        <f t="shared" si="4"/>
        <v>-14.672105512656607</v>
      </c>
      <c r="K20" s="70">
        <f t="shared" si="2"/>
        <v>-42.01</v>
      </c>
      <c r="L20" s="69">
        <f t="shared" si="5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Assumptions'!$E$371:$E$394,'PV_.PX.HTG._.PTC.2031'!$B21-2023,1)/INDEX('2025 IRP Assumptions'!$E$371:$E$394,'PV_.PX.HTG._.PTC.2031'!$B21-2023-1,1)</f>
        <v>85.668163413310992</v>
      </c>
      <c r="E21" s="69" cm="1">
        <f t="array" ref="E21">$E$9*INDEX('2025 IRP Assumptions'!$E$371:$E$394,'PV_.PX.HTG._.PTC.2031'!$B21-2023,1)</f>
        <v>26.580805442279999</v>
      </c>
      <c r="F21" s="237"/>
      <c r="G21" s="70">
        <f t="shared" si="1"/>
        <v>39.204314587439868</v>
      </c>
      <c r="H21" s="69"/>
      <c r="I21" s="69">
        <f t="shared" si="3"/>
        <v>-54.37</v>
      </c>
      <c r="J21" s="70">
        <f t="shared" si="4"/>
        <v>-15.16568541256013</v>
      </c>
      <c r="K21" s="70">
        <f t="shared" si="2"/>
        <v>-43.42</v>
      </c>
      <c r="L21" s="69">
        <f t="shared" si="5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Assumptions'!$E$371:$E$394,'PV_.PX.HTG._.PTC.2031'!$B22-2023,1)/INDEX('2025 IRP Assumptions'!$E$371:$E$394,'PV_.PX.HTG._.PTC.2031'!$B22-2023-1,1)</f>
        <v>87.535729350576801</v>
      </c>
      <c r="E22" s="69" cm="1">
        <f t="array" ref="E22">$E$9*INDEX('2025 IRP Assumptions'!$E$371:$E$394,'PV_.PX.HTG._.PTC.2031'!$B22-2023,1)</f>
        <v>27.160266993119997</v>
      </c>
      <c r="F22" s="237"/>
      <c r="G22" s="70">
        <f t="shared" si="1"/>
        <v>40.058968633939237</v>
      </c>
      <c r="H22" s="69"/>
      <c r="I22" s="69">
        <f t="shared" si="3"/>
        <v>-55.69</v>
      </c>
      <c r="J22" s="70">
        <f t="shared" si="4"/>
        <v>-15.63103136606076</v>
      </c>
      <c r="K22" s="70">
        <f t="shared" si="2"/>
        <v>-44.75</v>
      </c>
      <c r="L22" s="69">
        <f t="shared" si="5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Assumptions'!$E$371:$E$394,'PV_.PX.HTG._.PTC.2031'!$B23-2023,1)/INDEX('2025 IRP Assumptions'!$E$371:$E$394,'PV_.PX.HTG._.PTC.2031'!$B23-2023-1,1)</f>
        <v>89.44400827152954</v>
      </c>
      <c r="E23" s="69" cm="1">
        <f t="array" ref="E23">$E$9*INDEX('2025 IRP Assumptions'!$E$371:$E$394,'PV_.PX.HTG._.PTC.2031'!$B23-2023,1)</f>
        <v>27.75236082012</v>
      </c>
      <c r="F23" s="237"/>
      <c r="G23" s="70">
        <f t="shared" si="1"/>
        <v>40.932254159819756</v>
      </c>
      <c r="H23" s="69"/>
      <c r="I23" s="69">
        <f t="shared" si="3"/>
        <v>-55.69</v>
      </c>
      <c r="J23" s="70">
        <f t="shared" si="4"/>
        <v>-14.757745840180242</v>
      </c>
      <c r="K23" s="70">
        <f t="shared" si="2"/>
        <v>-42.25</v>
      </c>
      <c r="L23" s="69">
        <f t="shared" si="5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Assumptions'!$E$371:$E$394,'PV_.PX.HTG._.PTC.2031'!$B24-2023,1)/INDEX('2025 IRP Assumptions'!$E$371:$E$394,'PV_.PX.HTG._.PTC.2031'!$B24-2023-1,1)</f>
        <v>91.393887636254348</v>
      </c>
      <c r="E24" s="69" cm="1">
        <f t="array" ref="E24">$E$9*INDEX('2025 IRP Assumptions'!$E$371:$E$394,'PV_.PX.HTG._.PTC.2031'!$B24-2023,1)</f>
        <v>28.35736228116</v>
      </c>
      <c r="F24" s="237"/>
      <c r="G24" s="70">
        <f t="shared" si="1"/>
        <v>41.824577293367305</v>
      </c>
      <c r="H24" s="69"/>
      <c r="I24" s="69">
        <f t="shared" si="3"/>
        <v>-57.02</v>
      </c>
      <c r="J24" s="70">
        <f t="shared" si="4"/>
        <v>-15.195422706632698</v>
      </c>
      <c r="K24" s="70">
        <f t="shared" si="2"/>
        <v>-43.51</v>
      </c>
      <c r="L24" s="69">
        <f t="shared" si="5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Assumptions'!$E$371:$E$394,'PV_.PX.HTG._.PTC.2031'!$B25-2023,1)/INDEX('2025 IRP Assumptions'!$E$371:$E$394,'PV_.PX.HTG._.PTC.2031'!$B25-2023-1,1)</f>
        <v>93.386274414540893</v>
      </c>
      <c r="E25" s="69" cm="1">
        <f t="array" ref="E25">$E$9*INDEX('2025 IRP Assumptions'!$E$371:$E$394,'PV_.PX.HTG._.PTC.2031'!$B25-2023,1)</f>
        <v>28.975552787519998</v>
      </c>
      <c r="F25" s="237"/>
      <c r="G25" s="70">
        <f t="shared" si="1"/>
        <v>42.736353091092234</v>
      </c>
      <c r="H25" s="69"/>
      <c r="I25" s="69">
        <f t="shared" si="3"/>
        <v>-58.35</v>
      </c>
      <c r="J25" s="70">
        <f t="shared" si="4"/>
        <v>-15.613646908907768</v>
      </c>
      <c r="K25" s="70">
        <f t="shared" si="2"/>
        <v>-44.7</v>
      </c>
      <c r="L25" s="69">
        <f t="shared" si="5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Assumptions'!$E$371:$E$394,'PV_.PX.HTG._.PTC.2031'!$B26-2023,1)/INDEX('2025 IRP Assumptions'!$E$371:$E$394,'PV_.PX.HTG._.PTC.2031'!$B26-2023-1,1)</f>
        <v>95.422095152017988</v>
      </c>
      <c r="E26" s="69" cm="1">
        <f t="array" ref="E26">$E$9*INDEX('2025 IRP Assumptions'!$E$371:$E$394,'PV_.PX.HTG._.PTC.2031'!$B26-2023,1)</f>
        <v>29.607219824399998</v>
      </c>
      <c r="F26" s="237"/>
      <c r="G26" s="70">
        <f t="shared" si="1"/>
        <v>43.668005567994577</v>
      </c>
      <c r="H26" s="69"/>
      <c r="I26" s="69"/>
      <c r="J26" s="70">
        <f t="shared" si="4"/>
        <v>43.668005567994577</v>
      </c>
      <c r="K26" s="70">
        <f t="shared" si="2"/>
        <v>125.03</v>
      </c>
      <c r="L26" s="69">
        <f t="shared" si="5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Assumptions'!$E$371:$E$394,'PV_.PX.HTG._.PTC.2031'!$B27-2023,1)/INDEX('2025 IRP Assumptions'!$E$371:$E$394,'PV_.PX.HTG._.PTC.2031'!$B27-2023-1,1)</f>
        <v>97.502296829903244</v>
      </c>
      <c r="E27" s="69" cm="1">
        <f t="array" ref="E27">$E$9*INDEX('2025 IRP Assumptions'!$E$371:$E$394,'PV_.PX.HTG._.PTC.2031'!$B27-2023,1)</f>
        <v>30.252657217679999</v>
      </c>
      <c r="F27" s="237"/>
      <c r="G27" s="70">
        <f t="shared" si="1"/>
        <v>44.619968091011174</v>
      </c>
      <c r="H27" s="69"/>
      <c r="I27" s="69"/>
      <c r="J27" s="70">
        <f t="shared" si="4"/>
        <v>44.619968091011174</v>
      </c>
      <c r="K27" s="70">
        <f t="shared" si="2"/>
        <v>127.75</v>
      </c>
      <c r="L27" s="69">
        <f t="shared" si="5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Assumptions'!$E$371:$E$394,'PV_.PX.HTG._.PTC.2031'!$B28-2023,1)/INDEX('2025 IRP Assumptions'!$E$371:$E$394,'PV_.PX.HTG._.PTC.2031'!$B28-2023-1,1)</f>
        <v>99.627846931137697</v>
      </c>
      <c r="E28" s="69" cm="1">
        <f t="array" ref="E28">$E$9*INDEX('2025 IRP Assumptions'!$E$371:$E$394,'PV_.PX.HTG._.PTC.2031'!$B28-2023,1)</f>
        <v>30.91216515444</v>
      </c>
      <c r="F28" s="237"/>
      <c r="G28" s="70">
        <f t="shared" si="1"/>
        <v>45.592683409280887</v>
      </c>
      <c r="H28" s="69"/>
      <c r="I28" s="69"/>
      <c r="J28" s="70">
        <f t="shared" si="4"/>
        <v>45.592683409280887</v>
      </c>
      <c r="K28" s="70">
        <f t="shared" si="2"/>
        <v>130.54</v>
      </c>
      <c r="L28" s="69">
        <f t="shared" si="5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Assumptions'!$E$371:$E$394,'PV_.PX.HTG._.PTC.2031'!$B29-2023,1)/INDEX('2025 IRP Assumptions'!$E$371:$E$394,'PV_.PX.HTG._.PTC.2031'!$B29-2023-1,1)</f>
        <v>101.79973396946248</v>
      </c>
      <c r="E29" s="69" cm="1">
        <f t="array" ref="E29">$E$9*INDEX('2025 IRP Assumptions'!$E$371:$E$394,'PV_.PX.HTG._.PTC.2031'!$B29-2023,1)</f>
        <v>31.58605034712</v>
      </c>
      <c r="F29" s="237"/>
      <c r="G29" s="70">
        <f t="shared" si="1"/>
        <v>46.586603896265878</v>
      </c>
      <c r="H29" s="69"/>
      <c r="I29" s="69"/>
      <c r="J29" s="70">
        <f t="shared" si="4"/>
        <v>46.586603896265878</v>
      </c>
      <c r="K29" s="70">
        <f t="shared" si="2"/>
        <v>133.38999999999999</v>
      </c>
      <c r="L29" s="69">
        <f t="shared" si="5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Assumptions'!$E$371:$E$394,'PV_.PX.HTG._.PTC.2031'!$B30-2023,1)/INDEX('2025 IRP Assumptions'!$E$371:$E$394,'PV_.PX.HTG._.PTC.2031'!$B30-2023-1,1)</f>
        <v>104.01896821689942</v>
      </c>
      <c r="E30" s="69" cm="1">
        <f t="array" ref="E30">$E$9*INDEX('2025 IRP Assumptions'!$E$371:$E$394,'PV_.PX.HTG._.PTC.2031'!$B30-2023,1)</f>
        <v>32.274626259240002</v>
      </c>
      <c r="F30" s="237"/>
      <c r="G30" s="70">
        <f t="shared" si="1"/>
        <v>47.602191882668528</v>
      </c>
      <c r="H30" s="69"/>
      <c r="I30" s="69"/>
      <c r="J30" s="70">
        <f t="shared" si="4"/>
        <v>47.602191882668528</v>
      </c>
      <c r="K30" s="70">
        <f t="shared" si="2"/>
        <v>136.29</v>
      </c>
      <c r="L30" s="69">
        <f t="shared" si="5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Assumptions'!$E$371:$E$394,'PV_.PX.HTG._.PTC.2031'!$B31-2023,1)/INDEX('2025 IRP Assumptions'!$E$371:$E$394,'PV_.PX.HTG._.PTC.2031'!$B31-2023-1,1)</f>
        <v>106.28658170375095</v>
      </c>
      <c r="E31" s="69" cm="1">
        <f t="array" ref="E31">$E$9*INDEX('2025 IRP Assumptions'!$E$371:$E$394,'PV_.PX.HTG._.PTC.2031'!$B31-2023,1)</f>
        <v>32.978213105400002</v>
      </c>
      <c r="F31" s="237"/>
      <c r="G31" s="70">
        <f t="shared" si="1"/>
        <v>48.639919656431395</v>
      </c>
      <c r="H31" s="69"/>
      <c r="I31" s="69"/>
      <c r="J31" s="70">
        <f t="shared" si="4"/>
        <v>48.639919656431395</v>
      </c>
      <c r="K31" s="70">
        <f t="shared" si="2"/>
        <v>139.26</v>
      </c>
      <c r="L31" s="69">
        <f t="shared" si="5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Assumptions'!$E$371:$E$394,'PV_.PX.HTG._.PTC.2031'!$B32-2023,1)/INDEX('2025 IRP Assumptions'!$E$371:$E$394,'PV_.PX.HTG._.PTC.2031'!$B32-2023-1,1)</f>
        <v>108.6036291444845</v>
      </c>
      <c r="E32" s="69" cm="1">
        <f t="array" ref="E32">$E$9*INDEX('2025 IRP Assumptions'!$E$371:$E$394,'PV_.PX.HTG._.PTC.2031'!$B32-2023,1)</f>
        <v>33.69713813856</v>
      </c>
      <c r="F32" s="237"/>
      <c r="G32" s="70">
        <f t="shared" si="1"/>
        <v>49.700269886449597</v>
      </c>
      <c r="H32" s="69"/>
      <c r="I32" s="69"/>
      <c r="J32" s="70">
        <f t="shared" si="4"/>
        <v>49.700269886449597</v>
      </c>
      <c r="K32" s="70">
        <f t="shared" si="2"/>
        <v>142.30000000000001</v>
      </c>
      <c r="L32" s="69">
        <f t="shared" si="5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50.78373575107905</v>
      </c>
      <c r="H33" s="69"/>
      <c r="I33" s="69"/>
      <c r="J33" s="70">
        <f t="shared" si="4"/>
        <v>50.78373575107905</v>
      </c>
      <c r="K33" s="70">
        <f t="shared" si="2"/>
        <v>145.4</v>
      </c>
      <c r="L33" s="69">
        <f t="shared" si="5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51.890821171145525</v>
      </c>
      <c r="H34" s="69"/>
      <c r="I34" s="69"/>
      <c r="J34" s="70">
        <f t="shared" si="4"/>
        <v>51.890821171145525</v>
      </c>
      <c r="K34" s="70">
        <f t="shared" si="2"/>
        <v>148.57</v>
      </c>
      <c r="L34" s="69">
        <f t="shared" si="5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53.022041052948552</v>
      </c>
      <c r="H35" s="69"/>
      <c r="I35" s="69"/>
      <c r="J35" s="70">
        <f t="shared" si="4"/>
        <v>53.022041052948552</v>
      </c>
      <c r="K35" s="70">
        <f t="shared" si="2"/>
        <v>151.81</v>
      </c>
      <c r="L35" s="69">
        <f t="shared" si="5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32">
        <f t="shared" ref="D36:E36" si="7">D35*D35/D34</f>
        <v>118.38806732561402</v>
      </c>
      <c r="E36" s="232">
        <f t="shared" si="7"/>
        <v>36.733017948424198</v>
      </c>
      <c r="F36" s="237"/>
      <c r="G36" s="70">
        <f t="shared" si="1"/>
        <v>54.177921527744807</v>
      </c>
      <c r="H36" s="69"/>
      <c r="I36" s="69"/>
      <c r="J36" s="70">
        <f t="shared" ref="J36:J45" si="8">(G36+H36+I36)</f>
        <v>54.177921527744807</v>
      </c>
      <c r="K36" s="70">
        <f t="shared" si="2"/>
        <v>155.12</v>
      </c>
      <c r="L36" s="69">
        <f t="shared" ref="L36:L45" si="9">(D36+E36+F36)</f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32">
        <f t="shared" ref="D37:E37" si="10">D36*D36/D35</f>
        <v>120.96892714830341</v>
      </c>
      <c r="E37" s="232">
        <f t="shared" si="10"/>
        <v>37.533797725734615</v>
      </c>
      <c r="F37" s="237"/>
      <c r="G37" s="70">
        <f t="shared" si="1"/>
        <v>55.359000196452179</v>
      </c>
      <c r="H37" s="69"/>
      <c r="I37" s="69"/>
      <c r="J37" s="70">
        <f t="shared" si="8"/>
        <v>55.359000196452179</v>
      </c>
      <c r="K37" s="70">
        <f t="shared" si="2"/>
        <v>158.5</v>
      </c>
      <c r="L37" s="69">
        <f t="shared" si="9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32">
        <f t="shared" ref="D38:E38" si="11">D37*D37/D36</f>
        <v>123.60604971414624</v>
      </c>
      <c r="E38" s="232">
        <f t="shared" si="11"/>
        <v>38.35203450188596</v>
      </c>
      <c r="F38" s="237"/>
      <c r="G38" s="70">
        <f t="shared" si="1"/>
        <v>56.565826379688353</v>
      </c>
      <c r="H38" s="69"/>
      <c r="I38" s="69"/>
      <c r="J38" s="70">
        <f t="shared" si="8"/>
        <v>56.565826379688353</v>
      </c>
      <c r="K38" s="70">
        <f t="shared" si="2"/>
        <v>161.96</v>
      </c>
      <c r="L38" s="69">
        <f t="shared" si="9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32">
        <f t="shared" ref="D39:E39" si="12">D38*D38/D37</f>
        <v>126.30066155092186</v>
      </c>
      <c r="E39" s="232">
        <f t="shared" si="12"/>
        <v>39.188108839446329</v>
      </c>
      <c r="F39" s="237"/>
      <c r="G39" s="70">
        <f t="shared" si="1"/>
        <v>57.798961373260262</v>
      </c>
      <c r="H39" s="69"/>
      <c r="I39" s="69"/>
      <c r="J39" s="70">
        <f t="shared" si="8"/>
        <v>57.798961373260262</v>
      </c>
      <c r="K39" s="70">
        <f t="shared" si="2"/>
        <v>165.49</v>
      </c>
      <c r="L39" s="69">
        <f t="shared" si="9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32">
        <f t="shared" ref="D40:E40" si="13">D39*D39/D38</f>
        <v>129.05401592471475</v>
      </c>
      <c r="E40" s="232">
        <f t="shared" si="13"/>
        <v>40.042409597247648</v>
      </c>
      <c r="F40" s="237"/>
      <c r="G40" s="70">
        <f t="shared" si="1"/>
        <v>59.058978709223226</v>
      </c>
      <c r="H40" s="69"/>
      <c r="I40" s="69"/>
      <c r="J40" s="70">
        <f t="shared" si="8"/>
        <v>59.058978709223226</v>
      </c>
      <c r="K40" s="70">
        <f t="shared" si="2"/>
        <v>169.1</v>
      </c>
      <c r="L40" s="69">
        <f t="shared" si="9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32">
        <f t="shared" ref="D41:E41" si="14">D40*D40/D39</f>
        <v>131.86739342280956</v>
      </c>
      <c r="E41" s="232">
        <f t="shared" si="14"/>
        <v>40.915334111244249</v>
      </c>
      <c r="F41" s="237"/>
      <c r="G41" s="70">
        <f t="shared" si="1"/>
        <v>60.346464422631144</v>
      </c>
      <c r="H41" s="69"/>
      <c r="I41" s="69"/>
      <c r="J41" s="70">
        <f t="shared" si="8"/>
        <v>60.346464422631144</v>
      </c>
      <c r="K41" s="70">
        <f t="shared" si="2"/>
        <v>172.78</v>
      </c>
      <c r="L41" s="69">
        <f t="shared" si="9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32">
        <f t="shared" ref="D42:E42" si="15">D41*D41/D40</f>
        <v>134.74210254929324</v>
      </c>
      <c r="E42" s="232">
        <f t="shared" si="15"/>
        <v>41.807288379314109</v>
      </c>
      <c r="F42" s="237"/>
      <c r="G42" s="70">
        <f t="shared" si="1"/>
        <v>61.662017324101882</v>
      </c>
      <c r="H42" s="69"/>
      <c r="I42" s="69"/>
      <c r="J42" s="70">
        <f t="shared" si="8"/>
        <v>61.662017324101882</v>
      </c>
      <c r="K42" s="70">
        <f t="shared" si="2"/>
        <v>176.55</v>
      </c>
      <c r="L42" s="69">
        <f t="shared" si="9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32">
        <f t="shared" ref="D43:E43" si="16">D42*D42/D41</f>
        <v>137.67948033364135</v>
      </c>
      <c r="E43" s="232">
        <f t="shared" si="16"/>
        <v>42.718687250088784</v>
      </c>
      <c r="F43" s="237"/>
      <c r="G43" s="70">
        <f t="shared" si="1"/>
        <v>63.006249278324532</v>
      </c>
      <c r="H43" s="69"/>
      <c r="I43" s="69"/>
      <c r="J43" s="70">
        <f t="shared" si="8"/>
        <v>63.006249278324532</v>
      </c>
      <c r="K43" s="70">
        <f t="shared" si="2"/>
        <v>180.4</v>
      </c>
      <c r="L43" s="69">
        <f t="shared" si="9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32">
        <f t="shared" ref="D44:E44" si="17">D43*D43/D42</f>
        <v>140.6808929525715</v>
      </c>
      <c r="E44" s="232">
        <f t="shared" si="17"/>
        <v>43.649954615899851</v>
      </c>
      <c r="F44" s="237"/>
      <c r="G44" s="70">
        <f t="shared" si="1"/>
        <v>64.379785488638177</v>
      </c>
      <c r="H44" s="69"/>
      <c r="I44" s="69"/>
      <c r="J44" s="70">
        <f t="shared" si="8"/>
        <v>64.379785488638177</v>
      </c>
      <c r="K44" s="70">
        <f t="shared" si="2"/>
        <v>184.33</v>
      </c>
      <c r="L44" s="69">
        <f t="shared" si="9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32">
        <f t="shared" ref="D45:E46" si="18">D44*D44/D43</f>
        <v>143.74773636545322</v>
      </c>
      <c r="E45" s="232">
        <f t="shared" si="18"/>
        <v>44.601523609931547</v>
      </c>
      <c r="F45" s="237"/>
      <c r="G45" s="70">
        <f t="shared" si="1"/>
        <v>65.78326478781446</v>
      </c>
      <c r="H45" s="69"/>
      <c r="I45" s="69"/>
      <c r="J45" s="70">
        <f t="shared" si="8"/>
        <v>65.78326478781446</v>
      </c>
      <c r="K45" s="70">
        <f t="shared" si="2"/>
        <v>188.35</v>
      </c>
      <c r="L45" s="69">
        <f t="shared" si="9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32">
        <f t="shared" si="18"/>
        <v>146.8814369635698</v>
      </c>
      <c r="E46" s="232">
        <f t="shared" si="18"/>
        <v>45.573836807671363</v>
      </c>
      <c r="F46" s="237"/>
      <c r="G46" s="70">
        <f t="shared" si="1"/>
        <v>67.217339935179197</v>
      </c>
      <c r="H46" s="69"/>
      <c r="I46" s="69"/>
      <c r="J46" s="70">
        <f t="shared" ref="J46" si="19">(G46+H46+I46)</f>
        <v>67.217339935179197</v>
      </c>
      <c r="K46" s="70">
        <f t="shared" si="2"/>
        <v>192.46</v>
      </c>
      <c r="L46" s="69">
        <f t="shared" ref="L46" si="20">(D46+E46+F46)</f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303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12.029357860491595</v>
      </c>
      <c r="K48" s="70">
        <f>-PMT(Discount_Rate,COUNT(K$16:K$40),NPV(Discount_Rate,K$16:K$40))</f>
        <v>34.442990016268126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32.7%)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249</v>
      </c>
    </row>
    <row r="58" spans="2:20">
      <c r="B58"/>
      <c r="C58" s="153"/>
      <c r="P58" s="143"/>
      <c r="T58" s="156"/>
    </row>
    <row r="59" spans="2:20">
      <c r="B59"/>
      <c r="C59" s="77"/>
      <c r="Q59" s="61" t="s">
        <v>187</v>
      </c>
      <c r="R59" s="143">
        <v>405.94040000000001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155">
        <v>0.32684691378829861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140.46756001237642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144.27558803554115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144.27558803554115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148.054984269058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151.86301229222269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155.67104031538742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159.45043654890426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159.45043654890426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163.25846457206899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167.06649259523368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71.112738218630753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1AB7D-9E05-4B50-91F9-1BC452168844}">
  <sheetPr>
    <tabColor rgb="FFFFFF00"/>
    <pageSetUpPr fitToPage="1"/>
  </sheetPr>
  <dimension ref="B1:AD89"/>
  <sheetViews>
    <sheetView workbookViewId="0">
      <selection activeCell="F5" sqref="F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6" width="11.1640625" style="61" customWidth="1"/>
    <col min="7" max="7" width="13.5" style="61" customWidth="1"/>
    <col min="8" max="8" width="20.1640625" style="61" customWidth="1"/>
    <col min="9" max="9" width="9.5" style="61" bestFit="1" customWidth="1"/>
    <col min="10" max="10" width="10.5" style="61" customWidth="1"/>
    <col min="11" max="11" width="12.6640625" style="61" customWidth="1"/>
    <col min="12" max="12" width="14" style="61" customWidth="1"/>
    <col min="13" max="13" width="13.33203125" style="61" customWidth="1"/>
    <col min="14" max="14" width="3.1640625" style="61" customWidth="1"/>
    <col min="15" max="15" width="15" style="61" hidden="1" customWidth="1"/>
    <col min="16" max="16" width="5.6640625" style="61" customWidth="1"/>
    <col min="17" max="17" width="9.33203125" style="61" customWidth="1"/>
    <col min="18" max="19" width="16" style="61" customWidth="1"/>
    <col min="20" max="20" width="23.5" style="61" customWidth="1"/>
    <col min="21" max="21" width="18.1640625" style="61" customWidth="1"/>
    <col min="22" max="22" width="13.33203125" style="61" customWidth="1"/>
    <col min="23" max="23" width="18.1640625" style="61" customWidth="1"/>
    <col min="24" max="24" width="12.83203125" style="61" customWidth="1"/>
    <col min="25" max="25" width="15.33203125" style="61" customWidth="1"/>
    <col min="26" max="27" width="9.33203125" style="61"/>
    <col min="28" max="28" width="13.33203125" style="61" customWidth="1"/>
    <col min="29" max="29" width="13.6640625" style="61" customWidth="1"/>
    <col min="30" max="30" width="12" style="61" bestFit="1" customWidth="1"/>
    <col min="31" max="16384" width="9.33203125" style="61"/>
  </cols>
  <sheetData>
    <row r="1" spans="2:30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  <c r="L1" s="60"/>
    </row>
    <row r="2" spans="2:30" ht="15.75">
      <c r="B2" s="59" t="str">
        <f>U57</f>
        <v>PV_.PX.UTS._.PTC.Utility_Scale</v>
      </c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2:30" ht="15.75">
      <c r="B3" s="59" t="str">
        <f>TEXT($C$61,"0%")&amp;" Capacity Factor"</f>
        <v>33% Capacity Factor</v>
      </c>
      <c r="C3" s="60"/>
      <c r="D3" s="60"/>
      <c r="E3" s="60"/>
      <c r="F3" s="60"/>
      <c r="G3" s="60"/>
      <c r="H3" s="60"/>
      <c r="I3" s="60"/>
      <c r="J3" s="60"/>
      <c r="K3" s="60"/>
      <c r="L3" s="60"/>
    </row>
    <row r="4" spans="2:30">
      <c r="B4" s="60"/>
      <c r="C4" s="60"/>
      <c r="D4" s="60"/>
      <c r="E4" s="60"/>
      <c r="F4" s="60"/>
      <c r="G4" s="60"/>
      <c r="H4" s="60"/>
      <c r="I4" s="60"/>
      <c r="J4" s="60"/>
      <c r="R4" s="236"/>
      <c r="S4" s="236"/>
    </row>
    <row r="5" spans="2:30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 t="s">
        <v>76</v>
      </c>
      <c r="G5" s="14"/>
      <c r="H5" s="63" t="s">
        <v>59</v>
      </c>
      <c r="I5" s="14" t="s">
        <v>13</v>
      </c>
      <c r="J5" s="63" t="s">
        <v>113</v>
      </c>
      <c r="K5" s="63" t="s">
        <v>65</v>
      </c>
      <c r="L5" s="14" t="s">
        <v>49</v>
      </c>
      <c r="M5" s="63" t="s">
        <v>87</v>
      </c>
      <c r="O5" s="100"/>
      <c r="P5" s="100"/>
      <c r="R5" s="236"/>
      <c r="S5" s="236"/>
      <c r="U5" s="142"/>
      <c r="AA5" s="100"/>
      <c r="AB5" s="100"/>
    </row>
    <row r="6" spans="2:30" ht="24" customHeight="1">
      <c r="B6" s="64"/>
      <c r="C6" s="65" t="s">
        <v>8</v>
      </c>
      <c r="D6" s="66" t="s">
        <v>9</v>
      </c>
      <c r="E6" s="66" t="s">
        <v>9</v>
      </c>
      <c r="F6" s="66" t="s">
        <v>9</v>
      </c>
      <c r="G6" s="16"/>
      <c r="H6" s="65" t="s">
        <v>31</v>
      </c>
      <c r="I6" s="15" t="s">
        <v>31</v>
      </c>
      <c r="J6" s="15" t="s">
        <v>31</v>
      </c>
      <c r="K6" s="65" t="s">
        <v>31</v>
      </c>
      <c r="L6" s="16" t="s">
        <v>9</v>
      </c>
      <c r="M6" s="66" t="s">
        <v>9</v>
      </c>
      <c r="X6" s="79"/>
      <c r="Y6" s="79"/>
    </row>
    <row r="7" spans="2:30">
      <c r="C7" s="67" t="s">
        <v>1</v>
      </c>
      <c r="D7" s="67" t="s">
        <v>2</v>
      </c>
      <c r="E7" s="67" t="s">
        <v>3</v>
      </c>
      <c r="F7" s="67" t="s">
        <v>5</v>
      </c>
      <c r="G7" s="67"/>
      <c r="H7" s="67" t="s">
        <v>5</v>
      </c>
      <c r="I7" s="67" t="s">
        <v>7</v>
      </c>
      <c r="J7" s="67" t="s">
        <v>22</v>
      </c>
      <c r="K7" s="67" t="s">
        <v>22</v>
      </c>
      <c r="L7" s="67" t="s">
        <v>23</v>
      </c>
      <c r="M7" s="67" t="s">
        <v>24</v>
      </c>
      <c r="V7" s="79"/>
    </row>
    <row r="8" spans="2:30" ht="21.75" customHeight="1">
      <c r="Y8" s="72"/>
    </row>
    <row r="9" spans="2:30">
      <c r="B9" s="68">
        <v>2024</v>
      </c>
      <c r="C9" s="157">
        <f>INDEX('2025 IRP Assumptions'!$E$2:$E$58,MATCH($U$57,'2025 IRP Assumptions'!$C$2:$C$58,0),1)</f>
        <v>1216.55</v>
      </c>
      <c r="D9" s="69"/>
      <c r="E9" s="205">
        <f>INDEX('2025 IRP Assumptions'!$E$62:$E$118,MATCH($U$57,'2025 IRP Assumptions'!$C$62:$C$118,0),1)</f>
        <v>20.52</v>
      </c>
      <c r="F9" s="69"/>
      <c r="G9" s="69"/>
      <c r="H9" s="70"/>
      <c r="I9" s="69"/>
      <c r="J9" s="69"/>
      <c r="K9" s="70"/>
      <c r="L9" s="70"/>
      <c r="M9" s="69"/>
      <c r="U9" s="71"/>
      <c r="Y9" s="158"/>
    </row>
    <row r="10" spans="2:30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Assumptions'!$E$371:$E$394,'PV_.PX.UTS._.PTC.2031'!$B10-2023,1)</f>
        <v>20.967336</v>
      </c>
      <c r="F10" s="69"/>
      <c r="G10" s="69"/>
      <c r="H10" s="70"/>
      <c r="I10" s="69"/>
      <c r="J10" s="69"/>
      <c r="K10" s="70"/>
      <c r="L10" s="70"/>
      <c r="M10" s="69"/>
      <c r="R10" s="69"/>
      <c r="S10" s="69"/>
      <c r="V10" s="156"/>
      <c r="Y10" s="158"/>
    </row>
    <row r="11" spans="2:30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Assumptions'!$E$371:$E$394,'PV_.PX.UTS._.PTC.2031'!$B11-2023,1)</f>
        <v>21.424423924799999</v>
      </c>
      <c r="F11" s="69"/>
      <c r="G11" s="69"/>
      <c r="H11" s="70"/>
      <c r="I11" s="69"/>
      <c r="J11" s="69"/>
      <c r="K11" s="70"/>
      <c r="L11" s="70"/>
      <c r="M11" s="69"/>
      <c r="R11" s="69"/>
      <c r="S11" s="69"/>
      <c r="Y11" s="158"/>
      <c r="AD11" s="144"/>
    </row>
    <row r="12" spans="2:30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Assumptions'!$E$371:$E$394,'PV_.PX.UTS._.PTC.2031'!$B12-2023,1)</f>
        <v>21.891476361600002</v>
      </c>
      <c r="F12" s="69"/>
      <c r="G12" s="69"/>
      <c r="H12" s="70"/>
      <c r="I12" s="69"/>
      <c r="J12" s="69"/>
      <c r="K12" s="70"/>
      <c r="L12" s="70"/>
      <c r="M12" s="69"/>
      <c r="Q12" s="79"/>
      <c r="R12" s="69"/>
      <c r="S12" s="69"/>
      <c r="V12" s="160"/>
      <c r="Y12" s="158"/>
      <c r="Z12" s="160"/>
    </row>
    <row r="13" spans="2:30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Assumptions'!$E$371:$E$394,'PV_.PX.UTS._.PTC.2031'!$B13-2023,1)</f>
        <v>22.36871055564</v>
      </c>
      <c r="F13" s="237"/>
      <c r="G13" s="237"/>
      <c r="H13" s="70"/>
      <c r="I13" s="69"/>
      <c r="J13" s="69"/>
      <c r="K13" s="70"/>
      <c r="L13" s="70"/>
      <c r="M13" s="69"/>
      <c r="Q13" s="79"/>
      <c r="R13" s="69"/>
      <c r="S13" s="69"/>
      <c r="V13" s="160"/>
      <c r="X13" s="79"/>
      <c r="Y13" s="158"/>
      <c r="Z13" s="160"/>
    </row>
    <row r="14" spans="2:30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Assumptions'!$E$371:$E$394,'PV_.PX.UTS._.PTC.2031'!$B14-2023,1)</f>
        <v>22.856348451240002</v>
      </c>
      <c r="F14" s="237"/>
      <c r="G14" s="237"/>
      <c r="H14" s="70"/>
      <c r="I14" s="69"/>
      <c r="J14" s="69"/>
      <c r="K14" s="70"/>
      <c r="L14" s="70"/>
      <c r="M14" s="69"/>
      <c r="Q14" s="79"/>
      <c r="R14" s="69"/>
      <c r="S14" s="69"/>
      <c r="V14" s="160"/>
      <c r="W14" s="79"/>
      <c r="X14" s="79"/>
      <c r="Y14" s="158"/>
      <c r="Z14" s="160"/>
      <c r="AA14" s="79"/>
    </row>
    <row r="15" spans="2:30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Assumptions'!$E$371:$E$394,'PV_.PX.UTS._.PTC.2031'!$B15-2023,1)</f>
        <v>23.354616835439998</v>
      </c>
      <c r="F15" s="237"/>
      <c r="G15" s="237"/>
      <c r="H15" s="70"/>
      <c r="I15" s="69"/>
      <c r="J15" s="69"/>
      <c r="K15" s="70"/>
      <c r="L15" s="70"/>
      <c r="M15" s="69"/>
      <c r="Q15" s="79"/>
      <c r="R15" s="69"/>
      <c r="S15" s="69"/>
      <c r="V15" s="160"/>
      <c r="W15" s="79"/>
      <c r="X15" s="79"/>
      <c r="Y15" s="158"/>
      <c r="Z15" s="160"/>
      <c r="AA15" s="79"/>
      <c r="AB15" s="79"/>
    </row>
    <row r="16" spans="2:30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Assumptions'!$E$371:$E$394,'PV_.PX.UTS._.PTC.2031'!$B16-2023,1)</f>
        <v>23.863747481640001</v>
      </c>
      <c r="F16" s="237">
        <f>$D$58*(1+Inflation)^('PV_.PX.BDG._.PTC.2031'!$B16-VALUE(LEFT('PV_.PX.BDG._.PTC.2031'!$B$58,4)))</f>
        <v>2.6872828898456427</v>
      </c>
      <c r="G16" s="237"/>
      <c r="H16" s="70">
        <f t="shared" ref="H16:H46" si="1">(D16+E16+G16)/(8.76*$C$61)</f>
        <v>35.196896705670014</v>
      </c>
      <c r="I16" s="69"/>
      <c r="J16" s="69">
        <f>-J64</f>
        <v>-49.06</v>
      </c>
      <c r="K16" s="70">
        <f t="shared" ref="K16:K35" si="2">(H16+I16+J16)</f>
        <v>-13.863103294329989</v>
      </c>
      <c r="L16" s="70">
        <f t="shared" ref="L16:L46" si="3">ROUND(K16*$C$61*8.76,2)</f>
        <v>-39.69</v>
      </c>
      <c r="M16" s="69">
        <f t="shared" ref="M16:M35" si="4">(D16+E16+G16)</f>
        <v>100.77501427340231</v>
      </c>
      <c r="Q16" s="79"/>
      <c r="R16" s="69"/>
      <c r="S16" s="69"/>
      <c r="V16" s="160"/>
      <c r="W16" s="79"/>
      <c r="X16" s="79"/>
      <c r="Y16" s="158"/>
      <c r="Z16" s="160"/>
      <c r="AA16" s="79"/>
      <c r="AB16" s="79"/>
    </row>
    <row r="17" spans="2:28">
      <c r="B17" s="68">
        <f t="shared" si="0"/>
        <v>2032</v>
      </c>
      <c r="C17" s="71"/>
      <c r="D17" s="69" cm="1">
        <f t="array" ref="D17">D16*INDEX('2025 IRP Assumptions'!$E$371:$E$394,'PV_.PX.UTS._.PTC.2031'!$B17-2023,1)/INDEX('2025 IRP Assumptions'!$E$371:$E$394,'PV_.PX.UTS._.PTC.2031'!$B17-2023-1,1)</f>
        <v>78.587932386487694</v>
      </c>
      <c r="E17" s="69" cm="1">
        <f t="array" ref="E17">$E$9*INDEX('2025 IRP Assumptions'!$E$371:$E$394,'PV_.PX.UTS._.PTC.2031'!$B17-2023,1)</f>
        <v>24.383977170120001</v>
      </c>
      <c r="F17" s="237">
        <f>$D$58*(1+Inflation)^('PV_.PX.BDG._.PTC.2031'!$B17-VALUE(LEFT('PV_.PX.BDG._.PTC.2031'!$B$58,4)))</f>
        <v>2.7458656568442783</v>
      </c>
      <c r="G17" s="237"/>
      <c r="H17" s="70">
        <f t="shared" si="1"/>
        <v>35.964189044090077</v>
      </c>
      <c r="I17" s="69"/>
      <c r="J17" s="69">
        <f t="shared" ref="J17:J25" si="5">-J65</f>
        <v>-50.39</v>
      </c>
      <c r="K17" s="70">
        <f t="shared" si="2"/>
        <v>-14.425810955909924</v>
      </c>
      <c r="L17" s="70">
        <f t="shared" si="3"/>
        <v>-41.3</v>
      </c>
      <c r="M17" s="69">
        <f t="shared" si="4"/>
        <v>102.9719095566077</v>
      </c>
      <c r="Q17" s="79"/>
      <c r="R17" s="69"/>
      <c r="S17" s="69"/>
      <c r="U17" s="79"/>
      <c r="W17" s="79"/>
      <c r="X17" s="79"/>
      <c r="Z17" s="79"/>
      <c r="AA17" s="79"/>
      <c r="AB17" s="79"/>
    </row>
    <row r="18" spans="2:28">
      <c r="B18" s="68">
        <f t="shared" si="0"/>
        <v>2033</v>
      </c>
      <c r="C18" s="71"/>
      <c r="D18" s="69" cm="1">
        <f t="array" ref="D18">D17*INDEX('2025 IRP Assumptions'!$E$371:$E$394,'PV_.PX.UTS._.PTC.2031'!$B18-2023,1)/INDEX('2025 IRP Assumptions'!$E$371:$E$394,'PV_.PX.UTS._.PTC.2031'!$B18-2023-1,1)</f>
        <v>80.301149313452228</v>
      </c>
      <c r="E18" s="69" cm="1">
        <f t="array" ref="E18">$E$9*INDEX('2025 IRP Assumptions'!$E$371:$E$394,'PV_.PX.UTS._.PTC.2031'!$B18-2023,1)</f>
        <v>24.915547872719998</v>
      </c>
      <c r="F18" s="237">
        <f>$D$58*(1+Inflation)^('PV_.PX.BDG._.PTC.2031'!$B18-VALUE(LEFT('PV_.PX.BDG._.PTC.2031'!$B$58,4)))</f>
        <v>2.8057255281634839</v>
      </c>
      <c r="G18" s="237"/>
      <c r="H18" s="70">
        <f t="shared" si="1"/>
        <v>36.748208365681002</v>
      </c>
      <c r="I18" s="69"/>
      <c r="J18" s="69">
        <f t="shared" si="5"/>
        <v>-50.39</v>
      </c>
      <c r="K18" s="70">
        <f t="shared" si="2"/>
        <v>-13.641791634318999</v>
      </c>
      <c r="L18" s="70">
        <f t="shared" si="3"/>
        <v>-39.06</v>
      </c>
      <c r="M18" s="69">
        <f t="shared" si="4"/>
        <v>105.21669718617223</v>
      </c>
      <c r="Q18" s="79"/>
      <c r="R18" s="69"/>
      <c r="S18" s="69"/>
      <c r="U18" s="79"/>
      <c r="W18" s="79"/>
      <c r="X18" s="79"/>
      <c r="Z18" s="79"/>
      <c r="AA18" s="79"/>
      <c r="AB18" s="79"/>
    </row>
    <row r="19" spans="2:28">
      <c r="B19" s="68">
        <f t="shared" si="0"/>
        <v>2034</v>
      </c>
      <c r="C19" s="71"/>
      <c r="D19" s="69" cm="1">
        <f t="array" ref="D19">D18*INDEX('2025 IRP Assumptions'!$E$371:$E$394,'PV_.PX.UTS._.PTC.2031'!$B19-2023,1)/INDEX('2025 IRP Assumptions'!$E$371:$E$394,'PV_.PX.UTS._.PTC.2031'!$B19-2023-1,1)</f>
        <v>82.051714428350522</v>
      </c>
      <c r="E19" s="69" cm="1">
        <f t="array" ref="E19">$E$9*INDEX('2025 IRP Assumptions'!$E$371:$E$394,'PV_.PX.UTS._.PTC.2031'!$B19-2023,1)</f>
        <v>25.458706834919997</v>
      </c>
      <c r="F19" s="237">
        <f>$D$58*(1+Inflation)^('PV_.PX.BDG._.PTC.2031'!$B19-VALUE(LEFT('PV_.PX.BDG._.PTC.2031'!$B$58,4)))</f>
        <v>2.8668903446774481</v>
      </c>
      <c r="G19" s="237"/>
      <c r="H19" s="70">
        <f t="shared" si="1"/>
        <v>37.549319335448878</v>
      </c>
      <c r="I19" s="69"/>
      <c r="J19" s="69">
        <f t="shared" si="5"/>
        <v>-51.71</v>
      </c>
      <c r="K19" s="70">
        <f t="shared" si="2"/>
        <v>-14.160680664551123</v>
      </c>
      <c r="L19" s="70">
        <f t="shared" si="3"/>
        <v>-40.54</v>
      </c>
      <c r="M19" s="69">
        <f t="shared" si="4"/>
        <v>107.51042126327052</v>
      </c>
      <c r="Q19" s="79"/>
      <c r="R19" s="69"/>
      <c r="S19" s="69"/>
      <c r="U19" s="79"/>
      <c r="W19" s="79"/>
      <c r="X19" s="79"/>
      <c r="Z19" s="79"/>
      <c r="AA19" s="79"/>
      <c r="AB19" s="79"/>
    </row>
    <row r="20" spans="2:28">
      <c r="B20" s="68">
        <f t="shared" si="0"/>
        <v>2035</v>
      </c>
      <c r="C20" s="71"/>
      <c r="D20" s="69" cm="1">
        <f t="array" ref="D20">D19*INDEX('2025 IRP Assumptions'!$E$371:$E$394,'PV_.PX.UTS._.PTC.2031'!$B20-2023,1)/INDEX('2025 IRP Assumptions'!$E$371:$E$394,'PV_.PX.UTS._.PTC.2031'!$B20-2023-1,1)</f>
        <v>83.840441781870993</v>
      </c>
      <c r="E20" s="69" cm="1">
        <f t="array" ref="E20">$E$9*INDEX('2025 IRP Assumptions'!$E$371:$E$394,'PV_.PX.UTS._.PTC.2031'!$B20-2023,1)</f>
        <v>26.013706637399999</v>
      </c>
      <c r="F20" s="237">
        <f>$D$58*(1+Inflation)^('PV_.PX.BDG._.PTC.2031'!$B20-VALUE(LEFT('PV_.PX.BDG._.PTC.2031'!$B$58,4)))</f>
        <v>2.9293885541914162</v>
      </c>
      <c r="G20" s="237"/>
      <c r="H20" s="70">
        <f t="shared" si="1"/>
        <v>38.367894487343392</v>
      </c>
      <c r="I20" s="69"/>
      <c r="J20" s="69">
        <f t="shared" si="5"/>
        <v>-53.04</v>
      </c>
      <c r="K20" s="70">
        <f t="shared" si="2"/>
        <v>-14.672105512656607</v>
      </c>
      <c r="L20" s="70">
        <f t="shared" si="3"/>
        <v>-42.01</v>
      </c>
      <c r="M20" s="69">
        <f t="shared" si="4"/>
        <v>109.85414841927098</v>
      </c>
      <c r="Q20" s="79"/>
      <c r="R20" s="69"/>
      <c r="S20" s="69"/>
      <c r="U20" s="79"/>
      <c r="W20" s="79"/>
      <c r="X20" s="79"/>
      <c r="Z20" s="79"/>
      <c r="AA20" s="79"/>
      <c r="AB20" s="79"/>
    </row>
    <row r="21" spans="2:28">
      <c r="B21" s="68">
        <f t="shared" si="0"/>
        <v>2036</v>
      </c>
      <c r="C21" s="71"/>
      <c r="D21" s="69" cm="1">
        <f t="array" ref="D21">D20*INDEX('2025 IRP Assumptions'!$E$371:$E$394,'PV_.PX.UTS._.PTC.2031'!$B21-2023,1)/INDEX('2025 IRP Assumptions'!$E$371:$E$394,'PV_.PX.UTS._.PTC.2031'!$B21-2023-1,1)</f>
        <v>85.668163413310992</v>
      </c>
      <c r="E21" s="69" cm="1">
        <f t="array" ref="E21">$E$9*INDEX('2025 IRP Assumptions'!$E$371:$E$394,'PV_.PX.UTS._.PTC.2031'!$B21-2023,1)</f>
        <v>26.580805442279999</v>
      </c>
      <c r="F21" s="237">
        <f>$D$58*(1+Inflation)^('PV_.PX.BDG._.PTC.2031'!$B21-VALUE(LEFT('PV_.PX.BDG._.PTC.2031'!$B$58,4)))</f>
        <v>2.9932492246727898</v>
      </c>
      <c r="G21" s="237"/>
      <c r="H21" s="70">
        <f t="shared" si="1"/>
        <v>39.204314587439868</v>
      </c>
      <c r="I21" s="69"/>
      <c r="J21" s="69">
        <f t="shared" si="5"/>
        <v>-54.37</v>
      </c>
      <c r="K21" s="70">
        <f t="shared" si="2"/>
        <v>-15.16568541256013</v>
      </c>
      <c r="L21" s="70">
        <f t="shared" si="3"/>
        <v>-43.42</v>
      </c>
      <c r="M21" s="69">
        <f t="shared" si="4"/>
        <v>112.24896885559099</v>
      </c>
      <c r="Q21" s="79"/>
      <c r="R21" s="69"/>
      <c r="S21" s="69"/>
      <c r="U21" s="79"/>
      <c r="W21" s="79"/>
      <c r="X21" s="79"/>
      <c r="Z21" s="79"/>
      <c r="AA21" s="79"/>
      <c r="AB21" s="79"/>
    </row>
    <row r="22" spans="2:28">
      <c r="B22" s="68">
        <f t="shared" si="0"/>
        <v>2037</v>
      </c>
      <c r="C22" s="71"/>
      <c r="D22" s="69" cm="1">
        <f t="array" ref="D22">D21*INDEX('2025 IRP Assumptions'!$E$371:$E$394,'PV_.PX.UTS._.PTC.2031'!$B22-2023,1)/INDEX('2025 IRP Assumptions'!$E$371:$E$394,'PV_.PX.UTS._.PTC.2031'!$B22-2023-1,1)</f>
        <v>87.535729350576801</v>
      </c>
      <c r="E22" s="69" cm="1">
        <f t="array" ref="E22">$E$9*INDEX('2025 IRP Assumptions'!$E$371:$E$394,'PV_.PX.UTS._.PTC.2031'!$B22-2023,1)</f>
        <v>27.160266993119997</v>
      </c>
      <c r="F22" s="237">
        <f>$D$58*(1+Inflation)^('PV_.PX.BDG._.PTC.2031'!$B22-VALUE(LEFT('PV_.PX.BDG._.PTC.2031'!$B$58,4)))</f>
        <v>3.0585020577706565</v>
      </c>
      <c r="G22" s="237"/>
      <c r="H22" s="70">
        <f t="shared" si="1"/>
        <v>40.058968633939237</v>
      </c>
      <c r="I22" s="69"/>
      <c r="J22" s="69">
        <f t="shared" si="5"/>
        <v>-55.69</v>
      </c>
      <c r="K22" s="70">
        <f t="shared" si="2"/>
        <v>-15.63103136606076</v>
      </c>
      <c r="L22" s="70">
        <f t="shared" si="3"/>
        <v>-44.75</v>
      </c>
      <c r="M22" s="69">
        <f t="shared" si="4"/>
        <v>114.69599634369681</v>
      </c>
      <c r="Q22" s="79"/>
      <c r="R22" s="69"/>
      <c r="S22" s="69"/>
      <c r="U22" s="79"/>
      <c r="W22" s="79"/>
      <c r="X22" s="79"/>
      <c r="Z22" s="79"/>
      <c r="AA22" s="79"/>
      <c r="AB22" s="79"/>
    </row>
    <row r="23" spans="2:28">
      <c r="B23" s="68">
        <f t="shared" si="0"/>
        <v>2038</v>
      </c>
      <c r="C23" s="71"/>
      <c r="D23" s="69" cm="1">
        <f t="array" ref="D23">D22*INDEX('2025 IRP Assumptions'!$E$371:$E$394,'PV_.PX.UTS._.PTC.2031'!$B23-2023,1)/INDEX('2025 IRP Assumptions'!$E$371:$E$394,'PV_.PX.UTS._.PTC.2031'!$B23-2023-1,1)</f>
        <v>89.44400827152954</v>
      </c>
      <c r="E23" s="69" cm="1">
        <f t="array" ref="E23">$E$9*INDEX('2025 IRP Assumptions'!$E$371:$E$394,'PV_.PX.UTS._.PTC.2031'!$B23-2023,1)</f>
        <v>27.75236082012</v>
      </c>
      <c r="F23" s="237">
        <f>$D$58*(1+Inflation)^('PV_.PX.BDG._.PTC.2031'!$B23-VALUE(LEFT('PV_.PX.BDG._.PTC.2031'!$B$58,4)))</f>
        <v>3.1251774026300572</v>
      </c>
      <c r="G23" s="237"/>
      <c r="H23" s="70">
        <f t="shared" si="1"/>
        <v>40.932254159819756</v>
      </c>
      <c r="I23" s="69"/>
      <c r="J23" s="69">
        <f t="shared" si="5"/>
        <v>-55.69</v>
      </c>
      <c r="K23" s="70">
        <f t="shared" si="2"/>
        <v>-14.757745840180242</v>
      </c>
      <c r="L23" s="70">
        <f t="shared" si="3"/>
        <v>-42.25</v>
      </c>
      <c r="M23" s="69">
        <f t="shared" si="4"/>
        <v>117.19636909164954</v>
      </c>
      <c r="Q23" s="79"/>
      <c r="R23" s="69"/>
      <c r="S23" s="69"/>
      <c r="U23" s="79"/>
      <c r="W23" s="79"/>
      <c r="X23" s="79"/>
      <c r="Z23" s="79"/>
      <c r="AA23" s="79"/>
      <c r="AB23" s="79"/>
    </row>
    <row r="24" spans="2:28">
      <c r="B24" s="68">
        <f t="shared" si="0"/>
        <v>2039</v>
      </c>
      <c r="C24" s="71"/>
      <c r="D24" s="69" cm="1">
        <f t="array" ref="D24">D23*INDEX('2025 IRP Assumptions'!$E$371:$E$394,'PV_.PX.UTS._.PTC.2031'!$B24-2023,1)/INDEX('2025 IRP Assumptions'!$E$371:$E$394,'PV_.PX.UTS._.PTC.2031'!$B24-2023-1,1)</f>
        <v>91.393887636254348</v>
      </c>
      <c r="E24" s="69" cm="1">
        <f t="array" ref="E24">$E$9*INDEX('2025 IRP Assumptions'!$E$371:$E$394,'PV_.PX.UTS._.PTC.2031'!$B24-2023,1)</f>
        <v>28.35736228116</v>
      </c>
      <c r="F24" s="237">
        <f>$D$58*(1+Inflation)^('PV_.PX.BDG._.PTC.2031'!$B24-VALUE(LEFT('PV_.PX.BDG._.PTC.2031'!$B$58,4)))</f>
        <v>3.1933062700073926</v>
      </c>
      <c r="G24" s="237"/>
      <c r="H24" s="70">
        <f t="shared" si="1"/>
        <v>41.824577293367305</v>
      </c>
      <c r="I24" s="69"/>
      <c r="J24" s="69">
        <f t="shared" si="5"/>
        <v>-57.02</v>
      </c>
      <c r="K24" s="70">
        <f t="shared" si="2"/>
        <v>-15.195422706632698</v>
      </c>
      <c r="L24" s="70">
        <f t="shared" si="3"/>
        <v>-43.51</v>
      </c>
      <c r="M24" s="69">
        <f t="shared" si="4"/>
        <v>119.75124991741436</v>
      </c>
      <c r="Q24" s="79"/>
      <c r="R24" s="69"/>
      <c r="S24" s="69"/>
      <c r="U24" s="79"/>
      <c r="W24" s="79"/>
      <c r="X24" s="79"/>
      <c r="Z24" s="79"/>
      <c r="AA24" s="79"/>
      <c r="AB24" s="79"/>
    </row>
    <row r="25" spans="2:28">
      <c r="B25" s="68">
        <f t="shared" si="0"/>
        <v>2040</v>
      </c>
      <c r="C25" s="71"/>
      <c r="D25" s="69" cm="1">
        <f t="array" ref="D25">D24*INDEX('2025 IRP Assumptions'!$E$371:$E$394,'PV_.PX.UTS._.PTC.2031'!$B25-2023,1)/INDEX('2025 IRP Assumptions'!$E$371:$E$394,'PV_.PX.UTS._.PTC.2031'!$B25-2023-1,1)</f>
        <v>93.386274414540893</v>
      </c>
      <c r="E25" s="69" cm="1">
        <f t="array" ref="E25">$E$9*INDEX('2025 IRP Assumptions'!$E$371:$E$394,'PV_.PX.UTS._.PTC.2031'!$B25-2023,1)</f>
        <v>28.975552787519998</v>
      </c>
      <c r="F25" s="237">
        <f>$D$58*(1+Inflation)^('PV_.PX.BDG._.PTC.2031'!$B25-VALUE(LEFT('PV_.PX.BDG._.PTC.2031'!$B$58,4)))</f>
        <v>3.2629203466935541</v>
      </c>
      <c r="G25" s="237"/>
      <c r="H25" s="70">
        <f t="shared" si="1"/>
        <v>42.736353091092234</v>
      </c>
      <c r="I25" s="69"/>
      <c r="J25" s="69">
        <f t="shared" si="5"/>
        <v>-58.35</v>
      </c>
      <c r="K25" s="70">
        <f t="shared" si="2"/>
        <v>-15.613646908907768</v>
      </c>
      <c r="L25" s="70">
        <f t="shared" si="3"/>
        <v>-44.7</v>
      </c>
      <c r="M25" s="69">
        <f t="shared" si="4"/>
        <v>122.36182720206089</v>
      </c>
      <c r="Q25" s="79"/>
      <c r="R25" s="69"/>
      <c r="S25" s="69"/>
      <c r="U25" s="79"/>
      <c r="W25" s="79"/>
      <c r="X25" s="79"/>
      <c r="Z25" s="79"/>
      <c r="AA25" s="79"/>
      <c r="AB25" s="79"/>
    </row>
    <row r="26" spans="2:28">
      <c r="B26" s="68">
        <f t="shared" si="0"/>
        <v>2041</v>
      </c>
      <c r="C26" s="71"/>
      <c r="D26" s="69" cm="1">
        <f t="array" ref="D26">D25*INDEX('2025 IRP Assumptions'!$E$371:$E$394,'PV_.PX.UTS._.PTC.2031'!$B26-2023,1)/INDEX('2025 IRP Assumptions'!$E$371:$E$394,'PV_.PX.UTS._.PTC.2031'!$B26-2023-1,1)</f>
        <v>95.422095152017988</v>
      </c>
      <c r="E26" s="69" cm="1">
        <f t="array" ref="E26">$E$9*INDEX('2025 IRP Assumptions'!$E$371:$E$394,'PV_.PX.UTS._.PTC.2031'!$B26-2023,1)</f>
        <v>29.607219824399998</v>
      </c>
      <c r="F26" s="237">
        <f>$D$58*(1+Inflation)^('PV_.PX.BDG._.PTC.2031'!$B26-VALUE(LEFT('PV_.PX.BDG._.PTC.2031'!$B$58,4)))</f>
        <v>3.3340520102514746</v>
      </c>
      <c r="G26" s="237"/>
      <c r="H26" s="70">
        <f t="shared" si="1"/>
        <v>43.668005567994577</v>
      </c>
      <c r="I26" s="69"/>
      <c r="J26" s="69"/>
      <c r="K26" s="70">
        <f t="shared" si="2"/>
        <v>43.668005567994577</v>
      </c>
      <c r="L26" s="70">
        <f t="shared" si="3"/>
        <v>125.03</v>
      </c>
      <c r="M26" s="69">
        <f t="shared" si="4"/>
        <v>125.02931497641799</v>
      </c>
      <c r="Q26" s="79"/>
      <c r="R26" s="69"/>
      <c r="S26" s="69"/>
    </row>
    <row r="27" spans="2:28">
      <c r="B27" s="68">
        <f t="shared" si="0"/>
        <v>2042</v>
      </c>
      <c r="C27" s="71"/>
      <c r="D27" s="69" cm="1">
        <f t="array" ref="D27">D26*INDEX('2025 IRP Assumptions'!$E$371:$E$394,'PV_.PX.UTS._.PTC.2031'!$B27-2023,1)/INDEX('2025 IRP Assumptions'!$E$371:$E$394,'PV_.PX.UTS._.PTC.2031'!$B27-2023-1,1)</f>
        <v>97.502296829903244</v>
      </c>
      <c r="E27" s="69" cm="1">
        <f t="array" ref="E27">$E$9*INDEX('2025 IRP Assumptions'!$E$371:$E$394,'PV_.PX.UTS._.PTC.2031'!$B27-2023,1)</f>
        <v>30.252657217679999</v>
      </c>
      <c r="F27" s="237">
        <f>$D$58*(1+Inflation)^('PV_.PX.BDG._.PTC.2031'!$B27-VALUE(LEFT('PV_.PX.BDG._.PTC.2031'!$B$58,4)))</f>
        <v>3.4067343440749567</v>
      </c>
      <c r="G27" s="237"/>
      <c r="H27" s="70">
        <f t="shared" si="1"/>
        <v>44.619968091011174</v>
      </c>
      <c r="I27" s="69"/>
      <c r="J27" s="69"/>
      <c r="K27" s="70">
        <f t="shared" si="2"/>
        <v>44.619968091011174</v>
      </c>
      <c r="L27" s="70">
        <f t="shared" si="3"/>
        <v>127.75</v>
      </c>
      <c r="M27" s="69">
        <f t="shared" si="4"/>
        <v>127.75495404758324</v>
      </c>
      <c r="Q27" s="79"/>
      <c r="R27" s="69"/>
      <c r="S27" s="69"/>
    </row>
    <row r="28" spans="2:28">
      <c r="B28" s="68">
        <f t="shared" si="0"/>
        <v>2043</v>
      </c>
      <c r="C28" s="71"/>
      <c r="D28" s="69" cm="1">
        <f t="array" ref="D28">D27*INDEX('2025 IRP Assumptions'!$E$371:$E$394,'PV_.PX.UTS._.PTC.2031'!$B28-2023,1)/INDEX('2025 IRP Assumptions'!$E$371:$E$394,'PV_.PX.UTS._.PTC.2031'!$B28-2023-1,1)</f>
        <v>99.627846931137697</v>
      </c>
      <c r="E28" s="69" cm="1">
        <f t="array" ref="E28">$E$9*INDEX('2025 IRP Assumptions'!$E$371:$E$394,'PV_.PX.UTS._.PTC.2031'!$B28-2023,1)</f>
        <v>30.91216515444</v>
      </c>
      <c r="F28" s="237">
        <f>$D$58*(1+Inflation)^('PV_.PX.BDG._.PTC.2031'!$B28-VALUE(LEFT('PV_.PX.BDG._.PTC.2031'!$B$58,4)))</f>
        <v>3.4810011527757907</v>
      </c>
      <c r="G28" s="237"/>
      <c r="H28" s="70">
        <f t="shared" si="1"/>
        <v>45.592683409280887</v>
      </c>
      <c r="I28" s="69"/>
      <c r="J28" s="69"/>
      <c r="K28" s="70">
        <f t="shared" si="2"/>
        <v>45.592683409280887</v>
      </c>
      <c r="L28" s="70">
        <f t="shared" si="3"/>
        <v>130.54</v>
      </c>
      <c r="M28" s="69">
        <f t="shared" si="4"/>
        <v>130.5400120855777</v>
      </c>
      <c r="Q28" s="79"/>
      <c r="R28" s="69"/>
      <c r="S28" s="69"/>
    </row>
    <row r="29" spans="2:28">
      <c r="B29" s="68">
        <f t="shared" si="0"/>
        <v>2044</v>
      </c>
      <c r="C29" s="71"/>
      <c r="D29" s="69" cm="1">
        <f t="array" ref="D29">D28*INDEX('2025 IRP Assumptions'!$E$371:$E$394,'PV_.PX.UTS._.PTC.2031'!$B29-2023,1)/INDEX('2025 IRP Assumptions'!$E$371:$E$394,'PV_.PX.UTS._.PTC.2031'!$B29-2023-1,1)</f>
        <v>101.79973396946248</v>
      </c>
      <c r="E29" s="69" cm="1">
        <f t="array" ref="E29">$E$9*INDEX('2025 IRP Assumptions'!$E$371:$E$394,'PV_.PX.UTS._.PTC.2031'!$B29-2023,1)</f>
        <v>31.58605034712</v>
      </c>
      <c r="F29" s="237">
        <f>$D$58*(1+Inflation)^('PV_.PX.BDG._.PTC.2031'!$B29-VALUE(LEFT('PV_.PX.BDG._.PTC.2031'!$B$58,4)))</f>
        <v>3.5568869779063035</v>
      </c>
      <c r="G29" s="237"/>
      <c r="H29" s="70">
        <f t="shared" si="1"/>
        <v>46.586603896265878</v>
      </c>
      <c r="I29" s="69"/>
      <c r="J29" s="69"/>
      <c r="K29" s="70">
        <f t="shared" si="2"/>
        <v>46.586603896265878</v>
      </c>
      <c r="L29" s="70">
        <f t="shared" si="3"/>
        <v>133.38999999999999</v>
      </c>
      <c r="M29" s="69">
        <f t="shared" si="4"/>
        <v>133.38578431658249</v>
      </c>
      <c r="Q29" s="79"/>
      <c r="R29" s="69"/>
      <c r="S29" s="69"/>
    </row>
    <row r="30" spans="2:28">
      <c r="B30" s="68">
        <f t="shared" si="0"/>
        <v>2045</v>
      </c>
      <c r="C30" s="71"/>
      <c r="D30" s="69" cm="1">
        <f t="array" ref="D30">D29*INDEX('2025 IRP Assumptions'!$E$371:$E$394,'PV_.PX.UTS._.PTC.2031'!$B30-2023,1)/INDEX('2025 IRP Assumptions'!$E$371:$E$394,'PV_.PX.UTS._.PTC.2031'!$B30-2023-1,1)</f>
        <v>104.01896821689942</v>
      </c>
      <c r="E30" s="69" cm="1">
        <f t="array" ref="E30">$E$9*INDEX('2025 IRP Assumptions'!$E$371:$E$394,'PV_.PX.UTS._.PTC.2031'!$B30-2023,1)</f>
        <v>32.274626259240002</v>
      </c>
      <c r="F30" s="237">
        <f>$D$58*(1+Inflation)^('PV_.PX.BDG._.PTC.2031'!$B30-VALUE(LEFT('PV_.PX.BDG._.PTC.2031'!$B$58,4)))</f>
        <v>3.6344271140246613</v>
      </c>
      <c r="G30" s="237"/>
      <c r="H30" s="70">
        <f t="shared" si="1"/>
        <v>47.602191882668528</v>
      </c>
      <c r="I30" s="69"/>
      <c r="J30" s="69"/>
      <c r="K30" s="70">
        <f t="shared" si="2"/>
        <v>47.602191882668528</v>
      </c>
      <c r="L30" s="70">
        <f t="shared" si="3"/>
        <v>136.29</v>
      </c>
      <c r="M30" s="69">
        <f t="shared" si="4"/>
        <v>136.29359447613942</v>
      </c>
      <c r="Q30" s="79"/>
      <c r="R30" s="69"/>
      <c r="S30" s="69"/>
    </row>
    <row r="31" spans="2:28">
      <c r="B31" s="68">
        <f t="shared" si="0"/>
        <v>2046</v>
      </c>
      <c r="C31" s="71"/>
      <c r="D31" s="69" cm="1">
        <f t="array" ref="D31">D30*INDEX('2025 IRP Assumptions'!$E$371:$E$394,'PV_.PX.UTS._.PTC.2031'!$B31-2023,1)/INDEX('2025 IRP Assumptions'!$E$371:$E$394,'PV_.PX.UTS._.PTC.2031'!$B31-2023-1,1)</f>
        <v>106.28658170375095</v>
      </c>
      <c r="E31" s="69" cm="1">
        <f t="array" ref="E31">$E$9*INDEX('2025 IRP Assumptions'!$E$371:$E$394,'PV_.PX.UTS._.PTC.2031'!$B31-2023,1)</f>
        <v>32.978213105400002</v>
      </c>
      <c r="F31" s="237">
        <f>$D$58*(1+Inflation)^('PV_.PX.BDG._.PTC.2031'!$B31-VALUE(LEFT('PV_.PX.BDG._.PTC.2031'!$B$58,4)))</f>
        <v>3.713657625110399</v>
      </c>
      <c r="G31" s="237"/>
      <c r="H31" s="70">
        <f t="shared" si="1"/>
        <v>48.639919656431395</v>
      </c>
      <c r="I31" s="69"/>
      <c r="J31" s="69"/>
      <c r="K31" s="70">
        <f t="shared" si="2"/>
        <v>48.639919656431395</v>
      </c>
      <c r="L31" s="70">
        <f t="shared" si="3"/>
        <v>139.26</v>
      </c>
      <c r="M31" s="69">
        <f t="shared" si="4"/>
        <v>139.26479480915094</v>
      </c>
      <c r="Q31" s="79"/>
      <c r="R31" s="69"/>
      <c r="S31" s="69"/>
    </row>
    <row r="32" spans="2:28">
      <c r="B32" s="68">
        <f t="shared" si="0"/>
        <v>2047</v>
      </c>
      <c r="C32" s="71"/>
      <c r="D32" s="69" cm="1">
        <f t="array" ref="D32">D31*INDEX('2025 IRP Assumptions'!$E$371:$E$394,'PV_.PX.UTS._.PTC.2031'!$B32-2023,1)/INDEX('2025 IRP Assumptions'!$E$371:$E$394,'PV_.PX.UTS._.PTC.2031'!$B32-2023-1,1)</f>
        <v>108.6036291444845</v>
      </c>
      <c r="E32" s="69" cm="1">
        <f t="array" ref="E32">$E$9*INDEX('2025 IRP Assumptions'!$E$371:$E$394,'PV_.PX.UTS._.PTC.2031'!$B32-2023,1)</f>
        <v>33.69713813856</v>
      </c>
      <c r="F32" s="237">
        <f>$D$58*(1+Inflation)^('PV_.PX.BDG._.PTC.2031'!$B32-VALUE(LEFT('PV_.PX.BDG._.PTC.2031'!$B$58,4)))</f>
        <v>3.7946153613378062</v>
      </c>
      <c r="G32" s="237"/>
      <c r="H32" s="70">
        <f t="shared" si="1"/>
        <v>49.700269886449597</v>
      </c>
      <c r="I32" s="69"/>
      <c r="J32" s="69"/>
      <c r="K32" s="70">
        <f t="shared" si="2"/>
        <v>49.700269886449597</v>
      </c>
      <c r="L32" s="70">
        <f t="shared" si="3"/>
        <v>142.30000000000001</v>
      </c>
      <c r="M32" s="69">
        <f t="shared" si="4"/>
        <v>142.30076728304451</v>
      </c>
      <c r="Q32" s="79"/>
      <c r="R32" s="69"/>
      <c r="S32" s="69"/>
    </row>
    <row r="33" spans="2:19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2">
        <f t="shared" ref="F33" si="7">F32*F32/F31</f>
        <v>3.8773379762149709</v>
      </c>
      <c r="G33" s="237"/>
      <c r="H33" s="70">
        <f t="shared" si="1"/>
        <v>50.78373575107905</v>
      </c>
      <c r="I33" s="69"/>
      <c r="J33" s="69"/>
      <c r="K33" s="70">
        <f t="shared" si="2"/>
        <v>50.78373575107905</v>
      </c>
      <c r="L33" s="70">
        <f t="shared" si="3"/>
        <v>145.4</v>
      </c>
      <c r="M33" s="69">
        <f t="shared" si="4"/>
        <v>145.4029239557147</v>
      </c>
      <c r="Q33" s="79"/>
      <c r="R33" s="69"/>
      <c r="S33" s="69"/>
    </row>
    <row r="34" spans="2:19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2">
        <f t="shared" ref="F34" si="8">F33*F33/F32</f>
        <v>3.9618639440964576</v>
      </c>
      <c r="G34" s="237"/>
      <c r="H34" s="70">
        <f t="shared" si="1"/>
        <v>51.890821171145525</v>
      </c>
      <c r="I34" s="69"/>
      <c r="J34" s="69"/>
      <c r="K34" s="70">
        <f t="shared" si="2"/>
        <v>51.890821171145525</v>
      </c>
      <c r="L34" s="70">
        <f t="shared" si="3"/>
        <v>148.57</v>
      </c>
      <c r="M34" s="69">
        <f t="shared" si="4"/>
        <v>148.57270764266974</v>
      </c>
      <c r="Q34" s="79"/>
      <c r="R34" s="69"/>
      <c r="S34" s="69"/>
    </row>
    <row r="35" spans="2:19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2">
        <f t="shared" ref="F35" si="9">F34*F34/F33</f>
        <v>4.0482325780777604</v>
      </c>
      <c r="G35" s="237"/>
      <c r="H35" s="70">
        <f t="shared" si="1"/>
        <v>53.022041052948552</v>
      </c>
      <c r="I35" s="69"/>
      <c r="J35" s="69"/>
      <c r="K35" s="70">
        <f t="shared" si="2"/>
        <v>53.022041052948552</v>
      </c>
      <c r="L35" s="70">
        <f t="shared" si="3"/>
        <v>151.81</v>
      </c>
      <c r="M35" s="69">
        <f t="shared" si="4"/>
        <v>151.81159261279529</v>
      </c>
      <c r="Q35" s="79"/>
      <c r="R35" s="69"/>
      <c r="S35" s="69"/>
    </row>
    <row r="36" spans="2:19" ht="15">
      <c r="B36" s="68">
        <f t="shared" si="0"/>
        <v>2051</v>
      </c>
      <c r="C36" s="71"/>
      <c r="D36" s="232">
        <f t="shared" ref="D36:F36" si="10">D35*D35/D34</f>
        <v>118.38806732561402</v>
      </c>
      <c r="E36" s="232">
        <f t="shared" si="10"/>
        <v>36.733017948424198</v>
      </c>
      <c r="F36" s="232">
        <f t="shared" si="10"/>
        <v>4.1364840482798559</v>
      </c>
      <c r="G36" s="237"/>
      <c r="H36" s="70">
        <f t="shared" si="1"/>
        <v>54.177921527744807</v>
      </c>
      <c r="I36" s="69"/>
      <c r="J36" s="69"/>
      <c r="K36" s="70">
        <f t="shared" ref="K36:K46" si="11">(H36+I36+J36)</f>
        <v>54.177921527744807</v>
      </c>
      <c r="L36" s="70">
        <f t="shared" si="3"/>
        <v>155.12</v>
      </c>
      <c r="M36" s="69">
        <f t="shared" ref="M36:M46" si="12">(D36+E36+G36)</f>
        <v>155.12108527403822</v>
      </c>
      <c r="Q36" s="79"/>
      <c r="R36" s="69"/>
      <c r="S36" s="69"/>
    </row>
    <row r="37" spans="2:19" ht="15">
      <c r="B37" s="68">
        <f t="shared" si="0"/>
        <v>2052</v>
      </c>
      <c r="C37" s="71"/>
      <c r="D37" s="232">
        <f t="shared" ref="D37:F37" si="13">D36*D36/D35</f>
        <v>120.96892714830341</v>
      </c>
      <c r="E37" s="232">
        <f t="shared" si="13"/>
        <v>37.533797725734615</v>
      </c>
      <c r="F37" s="232">
        <f t="shared" si="13"/>
        <v>4.2266594005323572</v>
      </c>
      <c r="G37" s="237"/>
      <c r="H37" s="70">
        <f t="shared" si="1"/>
        <v>55.359000196452179</v>
      </c>
      <c r="I37" s="69"/>
      <c r="J37" s="69"/>
      <c r="K37" s="70">
        <f t="shared" si="11"/>
        <v>55.359000196452179</v>
      </c>
      <c r="L37" s="70">
        <f t="shared" si="3"/>
        <v>158.5</v>
      </c>
      <c r="M37" s="69">
        <f t="shared" si="12"/>
        <v>158.50272487403802</v>
      </c>
      <c r="Q37" s="79"/>
      <c r="R37" s="69"/>
      <c r="S37" s="69"/>
    </row>
    <row r="38" spans="2:19" ht="15">
      <c r="B38" s="68">
        <f t="shared" si="0"/>
        <v>2053</v>
      </c>
      <c r="C38" s="71"/>
      <c r="D38" s="232">
        <f t="shared" ref="D38:F38" si="14">D37*D37/D36</f>
        <v>123.60604971414624</v>
      </c>
      <c r="E38" s="232">
        <f t="shared" si="14"/>
        <v>38.35203450188596</v>
      </c>
      <c r="F38" s="232">
        <f t="shared" si="14"/>
        <v>4.3188005754639631</v>
      </c>
      <c r="G38" s="237"/>
      <c r="H38" s="70">
        <f t="shared" si="1"/>
        <v>56.565826379688353</v>
      </c>
      <c r="I38" s="69"/>
      <c r="J38" s="69"/>
      <c r="K38" s="70">
        <f t="shared" si="11"/>
        <v>56.565826379688353</v>
      </c>
      <c r="L38" s="70">
        <f t="shared" si="3"/>
        <v>161.96</v>
      </c>
      <c r="M38" s="69">
        <f t="shared" si="12"/>
        <v>161.9580842160322</v>
      </c>
      <c r="Q38" s="79"/>
      <c r="R38" s="69"/>
      <c r="S38" s="69"/>
    </row>
    <row r="39" spans="2:19" ht="15">
      <c r="B39" s="68">
        <f t="shared" si="0"/>
        <v>2054</v>
      </c>
      <c r="C39" s="71"/>
      <c r="D39" s="232">
        <f t="shared" ref="D39:F39" si="15">D38*D38/D37</f>
        <v>126.30066155092186</v>
      </c>
      <c r="E39" s="232">
        <f t="shared" si="15"/>
        <v>39.188108839446329</v>
      </c>
      <c r="F39" s="232">
        <f t="shared" si="15"/>
        <v>4.4129504280090783</v>
      </c>
      <c r="G39" s="237"/>
      <c r="H39" s="70">
        <f t="shared" si="1"/>
        <v>57.798961373260262</v>
      </c>
      <c r="I39" s="69"/>
      <c r="J39" s="69"/>
      <c r="K39" s="70">
        <f t="shared" si="11"/>
        <v>57.798961373260262</v>
      </c>
      <c r="L39" s="70">
        <f t="shared" si="3"/>
        <v>165.49</v>
      </c>
      <c r="M39" s="69">
        <f t="shared" si="12"/>
        <v>165.48877039036819</v>
      </c>
      <c r="Q39" s="79"/>
      <c r="R39" s="69"/>
      <c r="S39" s="69"/>
    </row>
    <row r="40" spans="2:19" ht="15">
      <c r="B40" s="68">
        <f t="shared" si="0"/>
        <v>2055</v>
      </c>
      <c r="C40" s="71"/>
      <c r="D40" s="232">
        <f t="shared" ref="D40:F40" si="16">D39*D39/D38</f>
        <v>129.05401592471475</v>
      </c>
      <c r="E40" s="232">
        <f t="shared" si="16"/>
        <v>40.042409597247648</v>
      </c>
      <c r="F40" s="232">
        <f t="shared" si="16"/>
        <v>4.5091527473396775</v>
      </c>
      <c r="G40" s="237"/>
      <c r="H40" s="70">
        <f t="shared" si="1"/>
        <v>59.058978709223226</v>
      </c>
      <c r="I40" s="69"/>
      <c r="J40" s="69"/>
      <c r="K40" s="70">
        <f t="shared" si="11"/>
        <v>59.058978709223226</v>
      </c>
      <c r="L40" s="70">
        <f t="shared" si="3"/>
        <v>169.1</v>
      </c>
      <c r="M40" s="69">
        <f t="shared" si="12"/>
        <v>169.0964255219624</v>
      </c>
      <c r="Q40" s="79"/>
      <c r="R40" s="69"/>
      <c r="S40" s="69"/>
    </row>
    <row r="41" spans="2:19" ht="15">
      <c r="B41" s="68">
        <f t="shared" si="0"/>
        <v>2056</v>
      </c>
      <c r="C41" s="71"/>
      <c r="D41" s="232">
        <f t="shared" ref="D41:F41" si="17">D40*D40/D39</f>
        <v>131.86739342280956</v>
      </c>
      <c r="E41" s="232">
        <f t="shared" si="17"/>
        <v>40.915334111244249</v>
      </c>
      <c r="F41" s="232">
        <f t="shared" si="17"/>
        <v>4.6074522772316833</v>
      </c>
      <c r="G41" s="237"/>
      <c r="H41" s="70">
        <f t="shared" si="1"/>
        <v>60.346464422631144</v>
      </c>
      <c r="I41" s="69"/>
      <c r="J41" s="69"/>
      <c r="K41" s="70">
        <f t="shared" si="11"/>
        <v>60.346464422631144</v>
      </c>
      <c r="L41" s="70">
        <f t="shared" si="3"/>
        <v>172.78</v>
      </c>
      <c r="M41" s="69">
        <f t="shared" si="12"/>
        <v>172.78272753405381</v>
      </c>
      <c r="Q41" s="79"/>
      <c r="R41" s="69"/>
      <c r="S41" s="69"/>
    </row>
    <row r="42" spans="2:19" ht="15">
      <c r="B42" s="68">
        <f t="shared" si="0"/>
        <v>2057</v>
      </c>
      <c r="C42" s="71"/>
      <c r="D42" s="232">
        <f t="shared" ref="D42:F42" si="18">D41*D41/D40</f>
        <v>134.74210254929324</v>
      </c>
      <c r="E42" s="232">
        <f t="shared" si="18"/>
        <v>41.807288379314109</v>
      </c>
      <c r="F42" s="232">
        <f t="shared" si="18"/>
        <v>4.7078947368753354</v>
      </c>
      <c r="G42" s="237"/>
      <c r="H42" s="70">
        <f t="shared" si="1"/>
        <v>61.662017324101882</v>
      </c>
      <c r="I42" s="69"/>
      <c r="J42" s="69"/>
      <c r="K42" s="70">
        <f t="shared" si="11"/>
        <v>61.662017324101882</v>
      </c>
      <c r="L42" s="70">
        <f t="shared" si="3"/>
        <v>176.55</v>
      </c>
      <c r="M42" s="69">
        <f t="shared" si="12"/>
        <v>176.54939092860735</v>
      </c>
      <c r="Q42" s="79"/>
      <c r="R42" s="69"/>
      <c r="S42" s="69"/>
    </row>
    <row r="43" spans="2:19" ht="15">
      <c r="B43" s="68">
        <f t="shared" si="0"/>
        <v>2058</v>
      </c>
      <c r="C43" s="71"/>
      <c r="D43" s="232">
        <f t="shared" ref="D43:F43" si="19">D42*D42/D41</f>
        <v>137.67948033364135</v>
      </c>
      <c r="E43" s="232">
        <f t="shared" si="19"/>
        <v>42.718687250088784</v>
      </c>
      <c r="F43" s="232">
        <f t="shared" si="19"/>
        <v>4.8105268421392191</v>
      </c>
      <c r="G43" s="237"/>
      <c r="H43" s="70">
        <f t="shared" si="1"/>
        <v>63.006249278324532</v>
      </c>
      <c r="I43" s="69"/>
      <c r="J43" s="69"/>
      <c r="K43" s="70">
        <f t="shared" si="11"/>
        <v>63.006249278324532</v>
      </c>
      <c r="L43" s="70">
        <f t="shared" si="3"/>
        <v>180.4</v>
      </c>
      <c r="M43" s="69">
        <f t="shared" si="12"/>
        <v>180.39816758373013</v>
      </c>
      <c r="Q43" s="79"/>
      <c r="R43" s="69"/>
      <c r="S43" s="69"/>
    </row>
    <row r="44" spans="2:19" ht="15">
      <c r="B44" s="68">
        <f t="shared" si="0"/>
        <v>2059</v>
      </c>
      <c r="C44" s="71"/>
      <c r="D44" s="232">
        <f t="shared" ref="D44:F44" si="20">D43*D43/D42</f>
        <v>140.6808929525715</v>
      </c>
      <c r="E44" s="232">
        <f t="shared" si="20"/>
        <v>43.649954615899851</v>
      </c>
      <c r="F44" s="232">
        <f t="shared" si="20"/>
        <v>4.9153963272978549</v>
      </c>
      <c r="G44" s="237"/>
      <c r="H44" s="70">
        <f t="shared" si="1"/>
        <v>64.379785488638177</v>
      </c>
      <c r="I44" s="69"/>
      <c r="J44" s="69"/>
      <c r="K44" s="70">
        <f t="shared" si="11"/>
        <v>64.379785488638177</v>
      </c>
      <c r="L44" s="70">
        <f t="shared" si="3"/>
        <v>184.33</v>
      </c>
      <c r="M44" s="69">
        <f t="shared" si="12"/>
        <v>184.33084756847134</v>
      </c>
      <c r="Q44" s="79"/>
      <c r="R44" s="69"/>
      <c r="S44" s="69"/>
    </row>
    <row r="45" spans="2:19" ht="15">
      <c r="B45" s="68">
        <f t="shared" si="0"/>
        <v>2060</v>
      </c>
      <c r="C45" s="71"/>
      <c r="D45" s="232">
        <f t="shared" ref="D45:F45" si="21">D44*D44/D43</f>
        <v>143.74773636545322</v>
      </c>
      <c r="E45" s="232">
        <f t="shared" si="21"/>
        <v>44.601523609931547</v>
      </c>
      <c r="F45" s="232">
        <f t="shared" si="21"/>
        <v>5.0225519672329488</v>
      </c>
      <c r="G45" s="237"/>
      <c r="H45" s="70">
        <f t="shared" si="1"/>
        <v>65.78326478781446</v>
      </c>
      <c r="I45" s="69"/>
      <c r="J45" s="69"/>
      <c r="K45" s="70">
        <f t="shared" si="11"/>
        <v>65.78326478781446</v>
      </c>
      <c r="L45" s="70">
        <f t="shared" si="3"/>
        <v>188.35</v>
      </c>
      <c r="M45" s="69">
        <f t="shared" si="12"/>
        <v>188.34925997538477</v>
      </c>
      <c r="Q45" s="79"/>
      <c r="R45" s="69"/>
      <c r="S45" s="69"/>
    </row>
    <row r="46" spans="2:19" ht="15">
      <c r="B46" s="68">
        <f t="shared" si="0"/>
        <v>2061</v>
      </c>
      <c r="C46" s="71"/>
      <c r="D46" s="232">
        <f t="shared" ref="D46:F46" si="22">D45*D45/D44</f>
        <v>146.8814369635698</v>
      </c>
      <c r="E46" s="232">
        <f t="shared" si="22"/>
        <v>45.573836807671363</v>
      </c>
      <c r="F46" s="232">
        <f t="shared" si="22"/>
        <v>5.1320436001186271</v>
      </c>
      <c r="G46" s="237"/>
      <c r="H46" s="70">
        <f t="shared" si="1"/>
        <v>67.217339935179197</v>
      </c>
      <c r="I46" s="69"/>
      <c r="J46" s="69"/>
      <c r="K46" s="70">
        <f t="shared" si="11"/>
        <v>67.217339935179197</v>
      </c>
      <c r="L46" s="70">
        <f t="shared" si="3"/>
        <v>192.46</v>
      </c>
      <c r="M46" s="69">
        <f t="shared" si="12"/>
        <v>192.45527377124117</v>
      </c>
      <c r="Q46" s="79"/>
      <c r="R46" s="69"/>
      <c r="S46" s="69"/>
    </row>
    <row r="47" spans="2:19">
      <c r="B47" s="68"/>
      <c r="C47" s="71"/>
      <c r="D47" s="69"/>
      <c r="E47" s="69"/>
      <c r="F47" s="69"/>
      <c r="G47" s="69"/>
      <c r="H47" s="70"/>
      <c r="I47" s="69"/>
      <c r="J47" s="69"/>
      <c r="K47" s="69"/>
      <c r="L47" s="69"/>
      <c r="M47" s="69"/>
      <c r="N47" s="69"/>
    </row>
    <row r="48" spans="2:19">
      <c r="B48" s="68"/>
      <c r="C48" s="71"/>
      <c r="D48" s="69"/>
      <c r="E48" s="69"/>
      <c r="F48" s="69"/>
      <c r="G48" s="69">
        <f>NPV(Discount_Rate,G16:G40)</f>
        <v>0</v>
      </c>
      <c r="H48" s="70"/>
      <c r="I48" s="69"/>
      <c r="J48" s="70"/>
      <c r="K48" s="70">
        <f>-PMT(Discount_Rate,COUNT(K$16:K$40),NPV(Discount_Rate,K$16:K$40))</f>
        <v>12.029357860491595</v>
      </c>
      <c r="L48" s="70">
        <f>-PMT(Discount_Rate,COUNT(L$16:L$40),NPV(Discount_Rate,L$16:L$40))</f>
        <v>34.442990016268126</v>
      </c>
      <c r="M48" s="70">
        <f>-PMT(Discount_Rate,COUNT(M$16:M$40),NPV(Discount_Rate,M$16:M$40))</f>
        <v>123.46725151754924</v>
      </c>
      <c r="N48" s="73"/>
    </row>
    <row r="49" spans="2:21" ht="14.25">
      <c r="B49" s="74" t="s">
        <v>25</v>
      </c>
      <c r="C49" s="75"/>
      <c r="D49" s="75"/>
      <c r="E49" s="75"/>
      <c r="F49" s="75"/>
      <c r="G49" s="75"/>
      <c r="H49" s="75"/>
      <c r="I49" s="75"/>
      <c r="J49" s="75"/>
    </row>
    <row r="51" spans="2:21">
      <c r="B51" s="61" t="s">
        <v>60</v>
      </c>
      <c r="C51" s="76" t="s">
        <v>61</v>
      </c>
      <c r="D51" s="146" t="s">
        <v>184</v>
      </c>
    </row>
    <row r="52" spans="2:21">
      <c r="C52" s="76" t="str">
        <f>C7</f>
        <v>(a)</v>
      </c>
      <c r="D52" s="61" t="s">
        <v>62</v>
      </c>
    </row>
    <row r="53" spans="2:21">
      <c r="C53" s="76" t="str">
        <f>D7</f>
        <v>(b)</v>
      </c>
      <c r="D53" s="70" t="str">
        <f>"= "&amp;C7&amp;" x "&amp;C60</f>
        <v>= (a) x 0.06861</v>
      </c>
    </row>
    <row r="54" spans="2:21">
      <c r="C54" s="76">
        <f>G7</f>
        <v>0</v>
      </c>
      <c r="D54" s="70" t="str">
        <f>"= ("&amp;$D$7&amp;" + "&amp;$E$7&amp;") /  (8.76 x "&amp;TEXT(C61,"0.0%")&amp;")"</f>
        <v>= ((b) + (c)) /  (8.76 x 32.7%)</v>
      </c>
    </row>
    <row r="55" spans="2:21">
      <c r="C55" s="76" t="str">
        <f>K7</f>
        <v>(g)</v>
      </c>
      <c r="D55" s="70" t="str">
        <f>"= "&amp;$H$7&amp;" + "&amp;$I$7</f>
        <v>= (e) + (f)</v>
      </c>
    </row>
    <row r="56" spans="2:21">
      <c r="C56" s="76" t="str">
        <f>L7</f>
        <v>(h)</v>
      </c>
      <c r="D56" t="str">
        <f>D51</f>
        <v>Plant Costs  - 2025 IRP - Table 7.1 &amp; 7.2</v>
      </c>
    </row>
    <row r="57" spans="2:21">
      <c r="R57" s="61" t="s">
        <v>83</v>
      </c>
      <c r="S57" s="68">
        <v>2031</v>
      </c>
      <c r="U57" s="156" t="s">
        <v>141</v>
      </c>
    </row>
    <row r="58" spans="2:21">
      <c r="B58" s="326" t="str">
        <f>'2025 IRP Assumptions'!A470&amp;"$"</f>
        <v>2028$</v>
      </c>
      <c r="D58" s="79">
        <f>'2025 IRP Assumptions'!I470</f>
        <v>2.5189276399999998</v>
      </c>
      <c r="E58" s="61" t="s">
        <v>86</v>
      </c>
      <c r="Q58" s="143"/>
      <c r="U58" s="156"/>
    </row>
    <row r="59" spans="2:21">
      <c r="B59"/>
      <c r="C59" s="77"/>
      <c r="R59" s="61" t="s">
        <v>187</v>
      </c>
      <c r="S59" s="143">
        <v>73.5</v>
      </c>
    </row>
    <row r="60" spans="2:21">
      <c r="C60" s="154">
        <v>6.8610000000000004E-2</v>
      </c>
      <c r="D60" s="61" t="s">
        <v>195</v>
      </c>
      <c r="E60" s="150"/>
      <c r="K60" s="231"/>
      <c r="M60" s="145"/>
      <c r="N60" s="81"/>
      <c r="O60" s="81"/>
      <c r="Q60" s="82"/>
    </row>
    <row r="61" spans="2:21">
      <c r="C61" s="155">
        <v>0.32684691378829861</v>
      </c>
      <c r="D61" s="61" t="s">
        <v>35</v>
      </c>
    </row>
    <row r="62" spans="2:21">
      <c r="C62" s="161"/>
      <c r="D62" s="80"/>
      <c r="I62" s="321">
        <v>1.1000000000000001</v>
      </c>
      <c r="J62" s="61" t="s">
        <v>302</v>
      </c>
    </row>
    <row r="63" spans="2:21" ht="15">
      <c r="J63" s="105" t="s">
        <v>31</v>
      </c>
      <c r="K63" s="105" t="s">
        <v>299</v>
      </c>
    </row>
    <row r="64" spans="2:21" ht="15">
      <c r="C64" s="105"/>
      <c r="D64" s="105"/>
      <c r="E64" s="105"/>
      <c r="F64" s="327"/>
      <c r="G64" s="105"/>
      <c r="H64" s="233">
        <v>47849</v>
      </c>
      <c r="I64" s="68">
        <f>YEAR(H64)</f>
        <v>2031</v>
      </c>
      <c r="J64" s="69">
        <f>IF($I$62=110%,INDEX('2025 IRP Assumptions'!$E$339:$E$359,MATCH(I64,'2025 IRP Assumptions'!$S$339:$S$359,0),1),INDEX('2025 IRP Assumptions'!$E$307:$E$336,MATCH(I64,'2025 IRP Assumptions'!$S$339:$S$359,0)))</f>
        <v>49.06</v>
      </c>
      <c r="K64" s="79">
        <f>J64*(8.76*$C$61)</f>
        <v>140.46756001237642</v>
      </c>
    </row>
    <row r="65" spans="3:11" ht="15">
      <c r="C65" s="233"/>
      <c r="D65" s="105"/>
      <c r="E65" s="214"/>
      <c r="F65" s="328"/>
      <c r="G65" s="238"/>
      <c r="H65" s="233">
        <v>48214</v>
      </c>
      <c r="I65" s="68">
        <f>YEAR(H65)</f>
        <v>2032</v>
      </c>
      <c r="J65" s="69">
        <f>IF($I$62=110%,INDEX('2025 IRP Assumptions'!$E$339:$E$359,MATCH(I65,'2025 IRP Assumptions'!$S$339:$S$359,0),1),INDEX('2025 IRP Assumptions'!$E$307:$E$336,MATCH(I65,'2025 IRP Assumptions'!$S$339:$S$359,0)))</f>
        <v>50.39</v>
      </c>
      <c r="K65" s="79">
        <f t="shared" ref="K65:K73" si="23">J65*(8.76*$C$61)</f>
        <v>144.27558803554115</v>
      </c>
    </row>
    <row r="66" spans="3:11" ht="15">
      <c r="C66" s="233"/>
      <c r="D66" s="105"/>
      <c r="E66" s="214"/>
      <c r="F66" s="328"/>
      <c r="G66" s="238"/>
      <c r="H66" s="233">
        <v>48580</v>
      </c>
      <c r="I66" s="68">
        <f t="shared" ref="I66:I73" si="24">YEAR(H66)</f>
        <v>2033</v>
      </c>
      <c r="J66" s="69">
        <f>IF($I$62=110%,INDEX('2025 IRP Assumptions'!$E$339:$E$359,MATCH(I66,'2025 IRP Assumptions'!$S$339:$S$359,0),1),INDEX('2025 IRP Assumptions'!$E$307:$E$336,MATCH(I66,'2025 IRP Assumptions'!$S$339:$S$359,0)))</f>
        <v>50.39</v>
      </c>
      <c r="K66" s="79">
        <f t="shared" si="23"/>
        <v>144.27558803554115</v>
      </c>
    </row>
    <row r="67" spans="3:11" ht="15">
      <c r="C67" s="233"/>
      <c r="D67" s="105"/>
      <c r="E67" s="214"/>
      <c r="F67" s="214"/>
      <c r="G67" s="238"/>
      <c r="H67" s="233">
        <v>48945</v>
      </c>
      <c r="I67" s="68">
        <f t="shared" si="24"/>
        <v>2034</v>
      </c>
      <c r="J67" s="69">
        <f>IF($I$62=110%,INDEX('2025 IRP Assumptions'!$E$339:$E$359,MATCH(I67,'2025 IRP Assumptions'!$S$339:$S$359,0),1),INDEX('2025 IRP Assumptions'!$E$307:$E$336,MATCH(I67,'2025 IRP Assumptions'!$S$339:$S$359,0)))</f>
        <v>51.71</v>
      </c>
      <c r="K67" s="79">
        <f t="shared" si="23"/>
        <v>148.054984269058</v>
      </c>
    </row>
    <row r="68" spans="3:11" ht="15">
      <c r="C68" s="233"/>
      <c r="D68" s="105"/>
      <c r="E68" s="214"/>
      <c r="F68" s="214"/>
      <c r="G68" s="238"/>
      <c r="H68" s="233">
        <v>49310</v>
      </c>
      <c r="I68" s="68">
        <f t="shared" si="24"/>
        <v>2035</v>
      </c>
      <c r="J68" s="69">
        <f>IF($I$62=110%,INDEX('2025 IRP Assumptions'!$E$339:$E$359,MATCH(I68,'2025 IRP Assumptions'!$S$339:$S$359,0),1),INDEX('2025 IRP Assumptions'!$E$307:$E$336,MATCH(I68,'2025 IRP Assumptions'!$S$339:$S$359,0)))</f>
        <v>53.04</v>
      </c>
      <c r="K68" s="79">
        <f t="shared" si="23"/>
        <v>151.86301229222269</v>
      </c>
    </row>
    <row r="69" spans="3:11" ht="15">
      <c r="C69" s="233"/>
      <c r="D69" s="105"/>
      <c r="E69" s="214"/>
      <c r="F69" s="214"/>
      <c r="G69" s="238"/>
      <c r="H69" s="233">
        <v>49675</v>
      </c>
      <c r="I69" s="68">
        <f t="shared" si="24"/>
        <v>2036</v>
      </c>
      <c r="J69" s="69">
        <f>IF($I$62=110%,INDEX('2025 IRP Assumptions'!$E$339:$E$359,MATCH(I69,'2025 IRP Assumptions'!$S$339:$S$359,0),1),INDEX('2025 IRP Assumptions'!$E$307:$E$336,MATCH(I69,'2025 IRP Assumptions'!$S$339:$S$359,0)))</f>
        <v>54.37</v>
      </c>
      <c r="K69" s="79">
        <f t="shared" si="23"/>
        <v>155.67104031538742</v>
      </c>
    </row>
    <row r="70" spans="3:11" ht="15">
      <c r="C70" s="233"/>
      <c r="D70" s="105"/>
      <c r="E70" s="214"/>
      <c r="F70" s="214"/>
      <c r="G70" s="238"/>
      <c r="H70" s="233">
        <v>50041</v>
      </c>
      <c r="I70" s="68">
        <f t="shared" si="24"/>
        <v>2037</v>
      </c>
      <c r="J70" s="69">
        <f>IF($I$62=110%,INDEX('2025 IRP Assumptions'!$E$339:$E$359,MATCH(I70,'2025 IRP Assumptions'!$S$339:$S$359,0),1),INDEX('2025 IRP Assumptions'!$E$307:$E$336,MATCH(I70,'2025 IRP Assumptions'!$S$339:$S$359,0)))</f>
        <v>55.69</v>
      </c>
      <c r="K70" s="79">
        <f t="shared" si="23"/>
        <v>159.45043654890426</v>
      </c>
    </row>
    <row r="71" spans="3:11" ht="15">
      <c r="C71" s="233"/>
      <c r="D71" s="105"/>
      <c r="E71" s="214"/>
      <c r="F71" s="214"/>
      <c r="G71" s="238"/>
      <c r="H71" s="233">
        <v>50406</v>
      </c>
      <c r="I71" s="68">
        <f t="shared" si="24"/>
        <v>2038</v>
      </c>
      <c r="J71" s="69">
        <f>IF($I$62=110%,INDEX('2025 IRP Assumptions'!$E$339:$E$359,MATCH(I71,'2025 IRP Assumptions'!$S$339:$S$359,0),1),INDEX('2025 IRP Assumptions'!$E$307:$E$336,MATCH(I71,'2025 IRP Assumptions'!$S$339:$S$359,0)))</f>
        <v>55.69</v>
      </c>
      <c r="K71" s="79">
        <f t="shared" si="23"/>
        <v>159.45043654890426</v>
      </c>
    </row>
    <row r="72" spans="3:11" ht="15">
      <c r="C72" s="233"/>
      <c r="D72" s="105"/>
      <c r="E72" s="214"/>
      <c r="F72" s="214"/>
      <c r="G72" s="238"/>
      <c r="H72" s="233">
        <v>50771</v>
      </c>
      <c r="I72" s="68">
        <f t="shared" si="24"/>
        <v>2039</v>
      </c>
      <c r="J72" s="69">
        <f>IF($I$62=110%,INDEX('2025 IRP Assumptions'!$E$339:$E$359,MATCH(I72,'2025 IRP Assumptions'!$S$339:$S$359,0),1),INDEX('2025 IRP Assumptions'!$E$307:$E$336,MATCH(I72,'2025 IRP Assumptions'!$S$339:$S$359,0)))</f>
        <v>57.02</v>
      </c>
      <c r="K72" s="79">
        <f t="shared" si="23"/>
        <v>163.25846457206899</v>
      </c>
    </row>
    <row r="73" spans="3:11" ht="15">
      <c r="C73" s="233"/>
      <c r="D73" s="105"/>
      <c r="E73" s="214"/>
      <c r="F73" s="214"/>
      <c r="G73" s="238"/>
      <c r="H73" s="233">
        <v>51136</v>
      </c>
      <c r="I73" s="68">
        <f t="shared" si="24"/>
        <v>2040</v>
      </c>
      <c r="J73" s="69">
        <f>IF($I$62=110%,INDEX('2025 IRP Assumptions'!$E$339:$E$359,MATCH(I73,'2025 IRP Assumptions'!$S$339:$S$359,0),1),INDEX('2025 IRP Assumptions'!$E$307:$E$336,MATCH(I73,'2025 IRP Assumptions'!$S$339:$S$359,0)))</f>
        <v>58.35</v>
      </c>
      <c r="K73" s="79">
        <f t="shared" si="23"/>
        <v>167.06649259523368</v>
      </c>
    </row>
    <row r="74" spans="3:11" ht="15">
      <c r="C74" s="233"/>
      <c r="D74" s="105"/>
      <c r="E74" s="214"/>
      <c r="F74" s="214"/>
      <c r="G74" s="238"/>
    </row>
    <row r="75" spans="3:11" ht="15">
      <c r="C75" s="105"/>
      <c r="D75" s="105"/>
      <c r="E75" s="105"/>
      <c r="F75" s="105"/>
      <c r="G75" s="105"/>
      <c r="H75" s="105"/>
    </row>
    <row r="76" spans="3:11" ht="15">
      <c r="C76" s="105"/>
      <c r="D76" s="105"/>
      <c r="E76" s="105"/>
      <c r="F76" s="105"/>
      <c r="G76" s="105"/>
      <c r="H76" s="105" t="s">
        <v>175</v>
      </c>
      <c r="K76" s="61">
        <f>INDEX('2025 IRP Assumptions'!$E$126:$E$156,MATCH(U57,'2025 IRP Assumptions'!$C$126:$C$156,0),1)</f>
        <v>25</v>
      </c>
    </row>
    <row r="77" spans="3:11" ht="15">
      <c r="C77" s="105"/>
      <c r="D77" s="105"/>
      <c r="E77" s="234"/>
      <c r="F77" s="234"/>
      <c r="G77" s="234"/>
      <c r="H77" s="105" t="s">
        <v>307</v>
      </c>
      <c r="J77" s="234"/>
      <c r="K77" s="234">
        <f>-PMT(Real_Discount_Rate,K76,NPV(Discount_Rate,K64:K73))</f>
        <v>71.112738218630753</v>
      </c>
    </row>
    <row r="80" spans="3:11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BE6D2-2735-4B03-B0B3-54E00678DD00}">
  <sheetPr>
    <tabColor rgb="FFCCFFCC"/>
    <pageSetUpPr fitToPage="1"/>
  </sheetPr>
  <dimension ref="B1:AC101"/>
  <sheetViews>
    <sheetView workbookViewId="0">
      <selection activeCell="J61" sqref="J61"/>
    </sheetView>
  </sheetViews>
  <sheetFormatPr defaultColWidth="9.33203125" defaultRowHeight="12.75"/>
  <cols>
    <col min="1" max="1" width="2.83203125" customWidth="1"/>
    <col min="2" max="2" width="10.83203125" customWidth="1"/>
    <col min="3" max="3" width="14.1640625" customWidth="1"/>
    <col min="4" max="4" width="15.5" customWidth="1"/>
    <col min="5" max="5" width="10" customWidth="1"/>
    <col min="6" max="6" width="10.5" customWidth="1"/>
    <col min="7" max="7" width="10.5" bestFit="1" customWidth="1"/>
    <col min="8" max="8" width="11.83203125" customWidth="1"/>
    <col min="9" max="9" width="11.1640625" customWidth="1"/>
    <col min="10" max="10" width="14.33203125" customWidth="1"/>
    <col min="11" max="11" width="14.1640625" customWidth="1"/>
    <col min="12" max="12" width="14.33203125" customWidth="1"/>
    <col min="13" max="13" width="9.33203125" customWidth="1"/>
    <col min="14" max="19" width="11.33203125" customWidth="1"/>
    <col min="20" max="20" width="10.33203125" customWidth="1"/>
    <col min="21" max="21" width="12" customWidth="1"/>
    <col min="22" max="22" width="11.5" customWidth="1"/>
    <col min="25" max="25" width="13.6640625" customWidth="1"/>
    <col min="27" max="28" width="9.33203125" style="61"/>
  </cols>
  <sheetData>
    <row r="1" spans="2:29" s="61" customFormat="1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1" t="s">
        <v>227</v>
      </c>
      <c r="C2" s="250"/>
      <c r="D2" s="250"/>
      <c r="E2" s="250"/>
      <c r="F2" s="250"/>
      <c r="G2" s="250"/>
      <c r="H2" s="250"/>
      <c r="I2" s="250"/>
      <c r="J2" s="250"/>
      <c r="K2" s="250"/>
    </row>
    <row r="3" spans="2:29">
      <c r="B3" s="250"/>
      <c r="C3" s="250"/>
      <c r="D3" s="250"/>
      <c r="E3" s="250"/>
      <c r="F3" s="250"/>
      <c r="G3" s="250"/>
      <c r="H3" s="250"/>
      <c r="I3" s="250"/>
      <c r="J3" s="250"/>
      <c r="U3" s="61"/>
      <c r="V3" s="61"/>
      <c r="W3" s="61"/>
      <c r="X3" s="61"/>
      <c r="Y3" s="61"/>
      <c r="Z3" s="61"/>
      <c r="AC3" s="61"/>
    </row>
    <row r="4" spans="2:29" ht="51.75" customHeight="1">
      <c r="B4" s="13" t="s">
        <v>0</v>
      </c>
      <c r="C4" s="14" t="s">
        <v>10</v>
      </c>
      <c r="D4" s="14" t="s">
        <v>200</v>
      </c>
      <c r="E4" s="14" t="s">
        <v>76</v>
      </c>
      <c r="F4" s="14" t="s">
        <v>201</v>
      </c>
      <c r="G4" s="14" t="s">
        <v>202</v>
      </c>
      <c r="H4" s="251" t="s">
        <v>21</v>
      </c>
      <c r="I4" s="14" t="s">
        <v>13</v>
      </c>
      <c r="J4" s="251" t="s">
        <v>203</v>
      </c>
      <c r="K4" s="14" t="s">
        <v>49</v>
      </c>
      <c r="T4" s="61"/>
      <c r="U4" s="61"/>
      <c r="V4" s="61"/>
      <c r="W4" s="61"/>
      <c r="X4" s="61"/>
      <c r="Y4" s="61"/>
      <c r="Z4" s="61"/>
    </row>
    <row r="5" spans="2:29" ht="48" customHeight="1">
      <c r="B5" s="252"/>
      <c r="C5" s="15" t="s">
        <v>8</v>
      </c>
      <c r="D5" s="16" t="s">
        <v>9</v>
      </c>
      <c r="E5" s="16" t="s">
        <v>9</v>
      </c>
      <c r="F5" s="16" t="s">
        <v>9</v>
      </c>
      <c r="G5" s="16" t="s">
        <v>9</v>
      </c>
      <c r="H5" s="16" t="s">
        <v>204</v>
      </c>
      <c r="I5" s="15" t="s">
        <v>31</v>
      </c>
      <c r="J5" s="15" t="s">
        <v>31</v>
      </c>
      <c r="K5" s="15" t="s">
        <v>31</v>
      </c>
      <c r="T5" s="61"/>
      <c r="U5" s="61"/>
      <c r="V5" s="61"/>
      <c r="W5" s="61"/>
      <c r="X5" s="61"/>
      <c r="Y5" s="100"/>
      <c r="Z5" s="100"/>
    </row>
    <row r="6" spans="2:29">
      <c r="C6" s="253" t="s">
        <v>1</v>
      </c>
      <c r="D6" s="253" t="s">
        <v>2</v>
      </c>
      <c r="E6" s="253" t="s">
        <v>3</v>
      </c>
      <c r="F6" s="253" t="s">
        <v>4</v>
      </c>
      <c r="G6" s="253" t="s">
        <v>5</v>
      </c>
      <c r="H6" s="253" t="s">
        <v>7</v>
      </c>
      <c r="I6" s="253" t="s">
        <v>22</v>
      </c>
      <c r="J6" s="67" t="s">
        <v>23</v>
      </c>
      <c r="K6" s="67" t="s">
        <v>24</v>
      </c>
      <c r="T6" s="61"/>
      <c r="U6" s="61"/>
      <c r="V6" s="61"/>
      <c r="W6" s="61"/>
      <c r="X6" s="61"/>
      <c r="Y6" s="61"/>
      <c r="Z6" s="61"/>
    </row>
    <row r="7" spans="2:29" ht="6" customHeight="1">
      <c r="T7" s="61"/>
      <c r="U7" s="61"/>
      <c r="V7" s="61"/>
      <c r="W7" s="61"/>
      <c r="X7" s="61"/>
      <c r="Y7" s="61"/>
      <c r="Z7" s="61"/>
    </row>
    <row r="8" spans="2:29" ht="15.75">
      <c r="B8" s="38" t="str">
        <f>C69</f>
        <v>Wyoming East Brownfield SCCT Frame "F" x1 (6,130')</v>
      </c>
      <c r="H8" s="250"/>
      <c r="J8" s="250"/>
      <c r="K8" s="250"/>
      <c r="T8" s="61"/>
      <c r="U8" s="61"/>
      <c r="V8" s="61"/>
      <c r="W8" s="61"/>
      <c r="X8" s="61"/>
      <c r="Y8" s="61"/>
      <c r="Z8" s="61"/>
    </row>
    <row r="9" spans="2:29" ht="18.95" customHeight="1">
      <c r="B9" s="145"/>
      <c r="C9" s="254"/>
      <c r="D9" s="255"/>
      <c r="E9" s="256"/>
      <c r="F9" s="256"/>
      <c r="G9" s="256"/>
      <c r="H9" s="256"/>
      <c r="I9" s="256"/>
      <c r="J9" s="256"/>
      <c r="K9" s="256"/>
      <c r="T9" s="61"/>
      <c r="U9" s="79"/>
      <c r="V9" s="79"/>
      <c r="W9" s="79"/>
      <c r="X9" s="61"/>
      <c r="Y9" s="79"/>
      <c r="Z9" s="79"/>
    </row>
    <row r="10" spans="2:29">
      <c r="B10" s="145">
        <v>2024</v>
      </c>
      <c r="C10" s="305">
        <f>C85</f>
        <v>1235.7476526089529</v>
      </c>
      <c r="D10" s="69"/>
      <c r="E10" s="69"/>
      <c r="F10" s="205">
        <f>$C$88</f>
        <v>54.452165356822256</v>
      </c>
      <c r="G10" s="256">
        <f>ROUND(D10+E10+F10,2)</f>
        <v>54.45</v>
      </c>
      <c r="H10" s="310">
        <f>$D$96</f>
        <v>5.6147516544049472</v>
      </c>
      <c r="I10" s="306">
        <f>$C$89</f>
        <v>7.9799917258138251</v>
      </c>
      <c r="J10" s="256"/>
      <c r="K10" s="256"/>
      <c r="N10" s="258"/>
      <c r="O10" s="258"/>
      <c r="T10" s="61"/>
      <c r="U10" s="79"/>
      <c r="V10" s="79"/>
      <c r="W10" s="143"/>
      <c r="X10" s="79"/>
      <c r="Y10" s="79"/>
      <c r="Z10" s="79"/>
    </row>
    <row r="11" spans="2:29">
      <c r="B11" s="145">
        <f t="shared" ref="B11:B56" si="0">B10+1</f>
        <v>2025</v>
      </c>
      <c r="C11" s="257">
        <f t="shared" ref="C11:D17" si="1">C10*(1+Inflation)</f>
        <v>1262.6869514358282</v>
      </c>
      <c r="D11" s="69"/>
      <c r="E11" s="69"/>
      <c r="F11" s="69">
        <f t="shared" ref="F11:F30" si="2">F10*(1+Inflation)</f>
        <v>55.639222561600981</v>
      </c>
      <c r="G11" s="256">
        <f t="shared" ref="G11:G31" si="3">ROUND(D11+E11+F11,2)</f>
        <v>55.64</v>
      </c>
      <c r="H11" s="69">
        <f t="shared" ref="H11:H30" si="4">H10*(1+Inflation)</f>
        <v>5.7371532404709749</v>
      </c>
      <c r="I11" s="69">
        <f t="shared" ref="I11:I56" si="5">ROUND(I10*(1+$G$63),2)</f>
        <v>7.98</v>
      </c>
      <c r="J11" s="256"/>
      <c r="K11" s="256"/>
      <c r="N11" s="258"/>
      <c r="O11" s="258"/>
      <c r="T11" s="61"/>
      <c r="U11" s="79"/>
      <c r="V11" s="79"/>
      <c r="W11" s="143"/>
      <c r="X11" s="79"/>
      <c r="Y11" s="79"/>
      <c r="Z11" s="79"/>
    </row>
    <row r="12" spans="2:29">
      <c r="B12" s="145">
        <f t="shared" si="0"/>
        <v>2026</v>
      </c>
      <c r="C12" s="257">
        <f t="shared" si="1"/>
        <v>1290.2135269771293</v>
      </c>
      <c r="D12" s="255"/>
      <c r="E12" s="69"/>
      <c r="F12" s="69">
        <f t="shared" si="2"/>
        <v>56.852157613443886</v>
      </c>
      <c r="G12" s="256">
        <f t="shared" si="3"/>
        <v>56.85</v>
      </c>
      <c r="H12" s="69">
        <f t="shared" si="4"/>
        <v>5.8622231811132419</v>
      </c>
      <c r="I12" s="69">
        <f t="shared" si="5"/>
        <v>7.98</v>
      </c>
      <c r="J12" s="256"/>
      <c r="K12" s="256"/>
      <c r="N12" s="258"/>
      <c r="O12" s="258"/>
      <c r="T12" s="61"/>
      <c r="U12" s="79"/>
      <c r="V12" s="79"/>
      <c r="W12" s="79"/>
      <c r="X12" s="79"/>
      <c r="Y12" s="79"/>
      <c r="Z12" s="79"/>
    </row>
    <row r="13" spans="2:29">
      <c r="B13" s="145">
        <f t="shared" si="0"/>
        <v>2027</v>
      </c>
      <c r="C13" s="257">
        <f t="shared" si="1"/>
        <v>1318.3401818652308</v>
      </c>
      <c r="D13" s="69"/>
      <c r="E13" s="69"/>
      <c r="F13" s="69">
        <f t="shared" si="2"/>
        <v>58.091534649416964</v>
      </c>
      <c r="G13" s="256">
        <f t="shared" si="3"/>
        <v>58.09</v>
      </c>
      <c r="H13" s="69">
        <f t="shared" si="4"/>
        <v>5.9900196464615112</v>
      </c>
      <c r="I13" s="69">
        <f t="shared" si="5"/>
        <v>7.98</v>
      </c>
      <c r="J13" s="256"/>
      <c r="K13" s="256"/>
      <c r="N13" s="258"/>
      <c r="O13" s="258"/>
      <c r="T13" s="259"/>
      <c r="U13" s="79"/>
      <c r="V13" s="79"/>
      <c r="W13" s="79"/>
      <c r="X13" s="79"/>
      <c r="Y13" s="79"/>
      <c r="Z13" s="79"/>
    </row>
    <row r="14" spans="2:29">
      <c r="B14" s="145">
        <f t="shared" si="0"/>
        <v>2028</v>
      </c>
      <c r="C14" s="257">
        <f t="shared" si="1"/>
        <v>1347.0799978298928</v>
      </c>
      <c r="D14" s="69"/>
      <c r="E14" s="69"/>
      <c r="F14" s="69">
        <f t="shared" si="2"/>
        <v>59.357930104774255</v>
      </c>
      <c r="G14" s="256">
        <f t="shared" si="3"/>
        <v>59.36</v>
      </c>
      <c r="H14" s="69">
        <f t="shared" si="4"/>
        <v>6.1206020747543723</v>
      </c>
      <c r="I14" s="69">
        <f t="shared" si="5"/>
        <v>7.98</v>
      </c>
      <c r="J14" s="256"/>
      <c r="K14" s="256"/>
      <c r="N14" s="258"/>
      <c r="O14" s="258"/>
      <c r="T14" s="61"/>
      <c r="U14" s="79"/>
      <c r="V14" s="79"/>
      <c r="W14" s="79"/>
      <c r="X14" s="79"/>
      <c r="Y14" s="79"/>
      <c r="Z14" s="79"/>
    </row>
    <row r="15" spans="2:29">
      <c r="B15" s="145">
        <f t="shared" si="0"/>
        <v>2029</v>
      </c>
      <c r="C15" s="257">
        <f t="shared" si="1"/>
        <v>1376.4463417825846</v>
      </c>
      <c r="D15" s="69"/>
      <c r="E15" s="69"/>
      <c r="F15" s="69">
        <f t="shared" si="2"/>
        <v>60.651932981058337</v>
      </c>
      <c r="G15" s="256">
        <f t="shared" si="3"/>
        <v>60.65</v>
      </c>
      <c r="H15" s="69">
        <f t="shared" si="4"/>
        <v>6.2540311999840181</v>
      </c>
      <c r="I15" s="69">
        <f t="shared" si="5"/>
        <v>7.98</v>
      </c>
      <c r="J15" s="256"/>
      <c r="K15" s="256"/>
      <c r="N15" s="258"/>
      <c r="O15" s="258"/>
      <c r="T15" s="61"/>
      <c r="U15" s="79"/>
      <c r="V15" s="79"/>
      <c r="W15" s="79"/>
      <c r="X15" s="79"/>
      <c r="Y15" s="79"/>
      <c r="Z15" s="79"/>
    </row>
    <row r="16" spans="2:29" s="260" customFormat="1">
      <c r="B16" s="145">
        <f t="shared" si="0"/>
        <v>2030</v>
      </c>
      <c r="C16" s="257">
        <f t="shared" si="1"/>
        <v>1406.4528720334449</v>
      </c>
      <c r="D16" s="205">
        <f>ROUND(C16*$C$92,2)</f>
        <v>85.79</v>
      </c>
      <c r="E16" s="69"/>
      <c r="F16" s="69">
        <f t="shared" si="2"/>
        <v>61.974145120045414</v>
      </c>
      <c r="G16" s="256">
        <f t="shared" si="3"/>
        <v>147.76</v>
      </c>
      <c r="H16" s="69">
        <f t="shared" si="4"/>
        <v>6.3903690801436701</v>
      </c>
      <c r="I16" s="69">
        <f t="shared" si="5"/>
        <v>7.98</v>
      </c>
      <c r="J16" s="256">
        <f t="shared" ref="J16:J56" si="6">ROUND($K$80*H16/1000+I16,2)</f>
        <v>69.33</v>
      </c>
      <c r="K16" s="256">
        <f t="shared" ref="K16:K56" si="7">ROUND(G16*1000/8760/$G$80+J16,2)</f>
        <v>120.44</v>
      </c>
      <c r="L16"/>
      <c r="M16"/>
      <c r="N16" s="258"/>
      <c r="O16" s="258"/>
      <c r="T16" s="61"/>
      <c r="U16" s="79"/>
      <c r="V16" s="79"/>
      <c r="W16" s="79"/>
      <c r="X16" s="79"/>
      <c r="Y16" s="79"/>
      <c r="Z16" s="79"/>
      <c r="AA16" s="61"/>
      <c r="AB16" s="61"/>
    </row>
    <row r="17" spans="2:28" s="260" customFormat="1">
      <c r="B17" s="145">
        <f t="shared" si="0"/>
        <v>2031</v>
      </c>
      <c r="C17" s="257"/>
      <c r="D17" s="69">
        <f t="shared" si="1"/>
        <v>87.660222000000005</v>
      </c>
      <c r="E17" s="69"/>
      <c r="F17" s="69">
        <f t="shared" si="2"/>
        <v>63.325181483662405</v>
      </c>
      <c r="G17" s="256">
        <f t="shared" si="3"/>
        <v>150.99</v>
      </c>
      <c r="H17" s="69">
        <f t="shared" si="4"/>
        <v>6.5296791260908025</v>
      </c>
      <c r="I17" s="69">
        <f t="shared" si="5"/>
        <v>7.98</v>
      </c>
      <c r="J17" s="256">
        <f t="shared" si="6"/>
        <v>70.66</v>
      </c>
      <c r="K17" s="256">
        <f t="shared" si="7"/>
        <v>122.89</v>
      </c>
      <c r="L17"/>
      <c r="M17"/>
      <c r="N17" s="258"/>
      <c r="O17" s="258"/>
      <c r="T17" s="61"/>
      <c r="U17" s="79"/>
      <c r="V17" s="79"/>
      <c r="W17" s="79"/>
      <c r="X17" s="79"/>
      <c r="Y17" s="79"/>
      <c r="Z17" s="79"/>
      <c r="AA17" s="61"/>
      <c r="AB17" s="61"/>
    </row>
    <row r="18" spans="2:28" s="260" customFormat="1">
      <c r="B18" s="145">
        <f t="shared" si="0"/>
        <v>2032</v>
      </c>
      <c r="C18" s="257"/>
      <c r="D18" s="69">
        <f t="shared" ref="D18:D30" si="8">D17*(1+Inflation)</f>
        <v>89.571214839600003</v>
      </c>
      <c r="E18" s="69"/>
      <c r="F18" s="69">
        <f t="shared" si="2"/>
        <v>64.705670440006244</v>
      </c>
      <c r="G18" s="256">
        <f t="shared" si="3"/>
        <v>154.28</v>
      </c>
      <c r="H18" s="69">
        <f t="shared" si="4"/>
        <v>6.6720261310395825</v>
      </c>
      <c r="I18" s="69">
        <f t="shared" si="5"/>
        <v>7.98</v>
      </c>
      <c r="J18" s="256">
        <f t="shared" si="6"/>
        <v>72.03</v>
      </c>
      <c r="K18" s="256">
        <f t="shared" si="7"/>
        <v>125.4</v>
      </c>
      <c r="L18"/>
      <c r="M18"/>
      <c r="N18" s="258"/>
      <c r="O18" s="258"/>
      <c r="T18" s="61"/>
      <c r="U18" s="79"/>
      <c r="V18" s="79"/>
      <c r="W18" s="79"/>
      <c r="X18" s="79"/>
      <c r="Y18" s="79"/>
      <c r="Z18" s="79"/>
      <c r="AA18" s="61"/>
      <c r="AB18" s="61"/>
    </row>
    <row r="19" spans="2:28" s="260" customFormat="1">
      <c r="B19" s="145">
        <f t="shared" si="0"/>
        <v>2033</v>
      </c>
      <c r="C19" s="257"/>
      <c r="D19" s="69">
        <f t="shared" si="8"/>
        <v>91.523867323103289</v>
      </c>
      <c r="E19" s="69"/>
      <c r="F19" s="69">
        <f t="shared" si="2"/>
        <v>66.11625405559839</v>
      </c>
      <c r="G19" s="256">
        <f t="shared" si="3"/>
        <v>157.63999999999999</v>
      </c>
      <c r="H19" s="69">
        <f t="shared" si="4"/>
        <v>6.8174763006962458</v>
      </c>
      <c r="I19" s="69">
        <f t="shared" si="5"/>
        <v>7.98</v>
      </c>
      <c r="J19" s="256">
        <f t="shared" si="6"/>
        <v>73.430000000000007</v>
      </c>
      <c r="K19" s="256">
        <f t="shared" si="7"/>
        <v>127.96</v>
      </c>
      <c r="L19"/>
      <c r="M19"/>
      <c r="N19" s="258"/>
      <c r="O19" s="258"/>
      <c r="Q19" s="261"/>
      <c r="T19" s="61"/>
      <c r="U19" s="79"/>
      <c r="V19" s="79"/>
      <c r="W19" s="79"/>
      <c r="X19" s="79"/>
      <c r="Y19" s="79"/>
      <c r="Z19" s="79"/>
      <c r="AA19" s="61"/>
      <c r="AB19" s="61"/>
    </row>
    <row r="20" spans="2:28" s="260" customFormat="1">
      <c r="B20" s="145">
        <f t="shared" si="0"/>
        <v>2034</v>
      </c>
      <c r="C20" s="257"/>
      <c r="D20" s="69">
        <f t="shared" si="8"/>
        <v>93.519087630746938</v>
      </c>
      <c r="E20" s="69"/>
      <c r="F20" s="69">
        <f t="shared" si="2"/>
        <v>67.557588394010438</v>
      </c>
      <c r="G20" s="256">
        <f t="shared" si="3"/>
        <v>161.08000000000001</v>
      </c>
      <c r="H20" s="69">
        <f t="shared" si="4"/>
        <v>6.9660972840514246</v>
      </c>
      <c r="I20" s="69">
        <f t="shared" si="5"/>
        <v>7.98</v>
      </c>
      <c r="J20" s="256">
        <f t="shared" si="6"/>
        <v>74.849999999999994</v>
      </c>
      <c r="K20" s="256">
        <f t="shared" si="7"/>
        <v>130.57</v>
      </c>
      <c r="L20"/>
      <c r="M20"/>
      <c r="N20"/>
      <c r="T20" s="61"/>
      <c r="U20" s="79"/>
      <c r="V20" s="79"/>
      <c r="W20" s="79"/>
      <c r="X20" s="79"/>
      <c r="Y20" s="79"/>
      <c r="Z20" s="79"/>
      <c r="AA20" s="61"/>
      <c r="AB20" s="61"/>
    </row>
    <row r="21" spans="2:28">
      <c r="B21" s="145">
        <f t="shared" si="0"/>
        <v>2035</v>
      </c>
      <c r="C21" s="257"/>
      <c r="D21" s="69">
        <f t="shared" si="8"/>
        <v>95.557803741097231</v>
      </c>
      <c r="E21" s="69"/>
      <c r="F21" s="69">
        <f t="shared" si="2"/>
        <v>69.030343820999875</v>
      </c>
      <c r="G21" s="256">
        <f t="shared" si="3"/>
        <v>164.59</v>
      </c>
      <c r="H21" s="69">
        <f t="shared" si="4"/>
        <v>7.1179582048437462</v>
      </c>
      <c r="I21" s="69">
        <f t="shared" si="5"/>
        <v>7.98</v>
      </c>
      <c r="J21" s="256">
        <f t="shared" si="6"/>
        <v>76.31</v>
      </c>
      <c r="K21" s="256">
        <f t="shared" si="7"/>
        <v>133.25</v>
      </c>
      <c r="T21" s="61"/>
      <c r="U21" s="79"/>
      <c r="V21" s="79"/>
      <c r="W21" s="79"/>
      <c r="X21" s="79"/>
      <c r="Y21" s="79"/>
      <c r="Z21" s="79"/>
    </row>
    <row r="22" spans="2:28">
      <c r="B22" s="145">
        <f t="shared" si="0"/>
        <v>2036</v>
      </c>
      <c r="C22" s="257"/>
      <c r="D22" s="69">
        <f t="shared" si="8"/>
        <v>97.640963862653152</v>
      </c>
      <c r="E22" s="69"/>
      <c r="F22" s="69">
        <f t="shared" si="2"/>
        <v>70.535205316297677</v>
      </c>
      <c r="G22" s="256">
        <f t="shared" si="3"/>
        <v>168.18</v>
      </c>
      <c r="H22" s="69">
        <f t="shared" si="4"/>
        <v>7.2731296937093406</v>
      </c>
      <c r="I22" s="69">
        <f t="shared" si="5"/>
        <v>7.98</v>
      </c>
      <c r="J22" s="256">
        <f t="shared" si="6"/>
        <v>77.8</v>
      </c>
      <c r="K22" s="256">
        <f t="shared" si="7"/>
        <v>135.97999999999999</v>
      </c>
    </row>
    <row r="23" spans="2:28">
      <c r="B23" s="145">
        <f t="shared" si="0"/>
        <v>2037</v>
      </c>
      <c r="C23" s="257"/>
      <c r="D23" s="69">
        <f t="shared" si="8"/>
        <v>99.769536874859</v>
      </c>
      <c r="E23" s="69"/>
      <c r="F23" s="69">
        <f t="shared" si="2"/>
        <v>72.072872792192967</v>
      </c>
      <c r="G23" s="256">
        <f t="shared" si="3"/>
        <v>171.84</v>
      </c>
      <c r="H23" s="69">
        <f t="shared" si="4"/>
        <v>7.4316839210322048</v>
      </c>
      <c r="I23" s="69">
        <f t="shared" si="5"/>
        <v>7.98</v>
      </c>
      <c r="J23" s="256">
        <f t="shared" si="6"/>
        <v>79.319999999999993</v>
      </c>
      <c r="K23" s="256">
        <f t="shared" si="7"/>
        <v>138.76</v>
      </c>
    </row>
    <row r="24" spans="2:28">
      <c r="B24" s="145">
        <f t="shared" si="0"/>
        <v>2038</v>
      </c>
      <c r="C24" s="257"/>
      <c r="D24" s="69">
        <f t="shared" si="8"/>
        <v>101.94451277873092</v>
      </c>
      <c r="E24" s="69"/>
      <c r="F24" s="69">
        <f t="shared" si="2"/>
        <v>73.64406141906278</v>
      </c>
      <c r="G24" s="256">
        <f t="shared" si="3"/>
        <v>175.59</v>
      </c>
      <c r="H24" s="69">
        <f t="shared" si="4"/>
        <v>7.5936946305107069</v>
      </c>
      <c r="I24" s="69">
        <f t="shared" si="5"/>
        <v>7.98</v>
      </c>
      <c r="J24" s="256">
        <f t="shared" si="6"/>
        <v>80.88</v>
      </c>
      <c r="K24" s="256">
        <f t="shared" si="7"/>
        <v>141.62</v>
      </c>
    </row>
    <row r="25" spans="2:28">
      <c r="B25" s="145">
        <f t="shared" si="0"/>
        <v>2039</v>
      </c>
      <c r="C25" s="257"/>
      <c r="D25" s="69">
        <f t="shared" si="8"/>
        <v>104.16690315730726</v>
      </c>
      <c r="E25" s="69"/>
      <c r="F25" s="69">
        <f t="shared" si="2"/>
        <v>75.249501957998348</v>
      </c>
      <c r="G25" s="256">
        <f t="shared" si="3"/>
        <v>179.42</v>
      </c>
      <c r="H25" s="69">
        <f t="shared" si="4"/>
        <v>7.7592371734558405</v>
      </c>
      <c r="I25" s="69">
        <f t="shared" si="5"/>
        <v>7.98</v>
      </c>
      <c r="J25" s="256">
        <f t="shared" si="6"/>
        <v>82.47</v>
      </c>
      <c r="K25" s="256">
        <f t="shared" si="7"/>
        <v>144.54</v>
      </c>
    </row>
    <row r="26" spans="2:28">
      <c r="B26" s="145">
        <f t="shared" si="0"/>
        <v>2040</v>
      </c>
      <c r="C26" s="257"/>
      <c r="D26" s="69">
        <f t="shared" si="8"/>
        <v>106.43774164613656</v>
      </c>
      <c r="E26" s="69"/>
      <c r="F26" s="69">
        <f t="shared" si="2"/>
        <v>76.889941100682719</v>
      </c>
      <c r="G26" s="256">
        <f t="shared" si="3"/>
        <v>183.33</v>
      </c>
      <c r="H26" s="69">
        <f t="shared" si="4"/>
        <v>7.9283885438371779</v>
      </c>
      <c r="I26" s="69">
        <f t="shared" si="5"/>
        <v>7.98</v>
      </c>
      <c r="J26" s="256">
        <f t="shared" si="6"/>
        <v>84.09</v>
      </c>
      <c r="K26" s="256">
        <f t="shared" si="7"/>
        <v>147.51</v>
      </c>
    </row>
    <row r="27" spans="2:28">
      <c r="B27" s="145">
        <f t="shared" si="0"/>
        <v>2041</v>
      </c>
      <c r="C27" s="257"/>
      <c r="D27" s="69">
        <f t="shared" si="8"/>
        <v>108.75808441402233</v>
      </c>
      <c r="E27" s="69"/>
      <c r="F27" s="69">
        <f t="shared" si="2"/>
        <v>78.5661418166776</v>
      </c>
      <c r="G27" s="256">
        <f t="shared" si="3"/>
        <v>187.32</v>
      </c>
      <c r="H27" s="69">
        <f t="shared" si="4"/>
        <v>8.1012274140928291</v>
      </c>
      <c r="I27" s="69">
        <f t="shared" si="5"/>
        <v>7.98</v>
      </c>
      <c r="J27" s="256">
        <f t="shared" si="6"/>
        <v>85.75</v>
      </c>
      <c r="K27" s="256">
        <f t="shared" si="7"/>
        <v>150.55000000000001</v>
      </c>
    </row>
    <row r="28" spans="2:28">
      <c r="B28" s="145">
        <f t="shared" si="0"/>
        <v>2042</v>
      </c>
      <c r="C28" s="257"/>
      <c r="D28" s="69">
        <f t="shared" si="8"/>
        <v>111.12901065424802</v>
      </c>
      <c r="E28" s="69"/>
      <c r="F28" s="69">
        <f t="shared" si="2"/>
        <v>80.278883708281171</v>
      </c>
      <c r="G28" s="256">
        <f t="shared" si="3"/>
        <v>191.41</v>
      </c>
      <c r="H28" s="69">
        <f t="shared" si="4"/>
        <v>8.2778341717200536</v>
      </c>
      <c r="I28" s="69">
        <f t="shared" si="5"/>
        <v>7.98</v>
      </c>
      <c r="J28" s="256">
        <f t="shared" si="6"/>
        <v>87.45</v>
      </c>
      <c r="K28" s="256">
        <f t="shared" si="7"/>
        <v>153.66</v>
      </c>
    </row>
    <row r="29" spans="2:28">
      <c r="B29" s="145">
        <f t="shared" si="0"/>
        <v>2043</v>
      </c>
      <c r="C29" s="257"/>
      <c r="D29" s="69">
        <f t="shared" si="8"/>
        <v>113.55162308651063</v>
      </c>
      <c r="E29" s="69"/>
      <c r="F29" s="69">
        <f t="shared" si="2"/>
        <v>82.028963373121698</v>
      </c>
      <c r="G29" s="256">
        <f t="shared" si="3"/>
        <v>195.58</v>
      </c>
      <c r="H29" s="69">
        <f t="shared" si="4"/>
        <v>8.4582909566635518</v>
      </c>
      <c r="I29" s="69">
        <f t="shared" si="5"/>
        <v>7.98</v>
      </c>
      <c r="J29" s="256">
        <f t="shared" si="6"/>
        <v>89.18</v>
      </c>
      <c r="K29" s="256">
        <f t="shared" si="7"/>
        <v>156.84</v>
      </c>
    </row>
    <row r="30" spans="2:28">
      <c r="B30" s="145">
        <f t="shared" si="0"/>
        <v>2044</v>
      </c>
      <c r="C30" s="257"/>
      <c r="D30" s="69">
        <f t="shared" si="8"/>
        <v>116.02704846979657</v>
      </c>
      <c r="E30" s="69"/>
      <c r="F30" s="69">
        <f t="shared" si="2"/>
        <v>83.817194774655761</v>
      </c>
      <c r="G30" s="256">
        <f t="shared" si="3"/>
        <v>199.84</v>
      </c>
      <c r="H30" s="69">
        <f t="shared" si="4"/>
        <v>8.6426816995188176</v>
      </c>
      <c r="I30" s="69">
        <f t="shared" si="5"/>
        <v>7.98</v>
      </c>
      <c r="J30" s="256">
        <f t="shared" si="6"/>
        <v>90.95</v>
      </c>
      <c r="K30" s="256">
        <f t="shared" si="7"/>
        <v>160.08000000000001</v>
      </c>
    </row>
    <row r="31" spans="2:28">
      <c r="B31" s="145">
        <f t="shared" si="0"/>
        <v>2045</v>
      </c>
      <c r="C31" s="257"/>
      <c r="D31" s="69">
        <f t="shared" ref="D31:D56" si="9">D30*(1+Inflation)</f>
        <v>118.55643812643814</v>
      </c>
      <c r="E31" s="69"/>
      <c r="F31" s="69">
        <f t="shared" ref="F31:F56" si="10">F30*(1+Inflation)</f>
        <v>85.644409620743261</v>
      </c>
      <c r="G31" s="256">
        <f t="shared" si="3"/>
        <v>204.2</v>
      </c>
      <c r="H31" s="69">
        <f t="shared" ref="H31:H56" si="11">H30*(1+Inflation)</f>
        <v>8.8310921605683284</v>
      </c>
      <c r="I31" s="69">
        <f t="shared" si="5"/>
        <v>7.98</v>
      </c>
      <c r="J31" s="256">
        <f t="shared" si="6"/>
        <v>92.76</v>
      </c>
      <c r="K31" s="256">
        <f t="shared" si="7"/>
        <v>163.4</v>
      </c>
    </row>
    <row r="32" spans="2:28">
      <c r="B32" s="145">
        <f t="shared" si="0"/>
        <v>2046</v>
      </c>
      <c r="C32" s="257"/>
      <c r="D32" s="69">
        <f t="shared" si="9"/>
        <v>121.1409684775945</v>
      </c>
      <c r="E32" s="69"/>
      <c r="F32" s="69">
        <f t="shared" si="10"/>
        <v>87.511457750475472</v>
      </c>
      <c r="G32" s="256">
        <f t="shared" ref="G32:G40" si="12">ROUND(D32+E32+F32,2)</f>
        <v>208.65</v>
      </c>
      <c r="H32" s="69">
        <f t="shared" si="11"/>
        <v>9.0236099696687191</v>
      </c>
      <c r="I32" s="69">
        <f t="shared" si="5"/>
        <v>7.98</v>
      </c>
      <c r="J32" s="256">
        <f t="shared" si="6"/>
        <v>94.61</v>
      </c>
      <c r="K32" s="256">
        <f t="shared" si="7"/>
        <v>166.79</v>
      </c>
    </row>
    <row r="33" spans="2:11">
      <c r="B33" s="145">
        <f t="shared" si="0"/>
        <v>2047</v>
      </c>
      <c r="C33" s="257"/>
      <c r="D33" s="69">
        <f t="shared" si="9"/>
        <v>123.78184159040606</v>
      </c>
      <c r="E33" s="69"/>
      <c r="F33" s="69">
        <f t="shared" si="10"/>
        <v>89.419207529435838</v>
      </c>
      <c r="G33" s="256">
        <f t="shared" si="12"/>
        <v>213.2</v>
      </c>
      <c r="H33" s="69">
        <f t="shared" si="11"/>
        <v>9.2203246670074979</v>
      </c>
      <c r="I33" s="69">
        <f t="shared" si="5"/>
        <v>7.98</v>
      </c>
      <c r="J33" s="256">
        <f t="shared" si="6"/>
        <v>96.5</v>
      </c>
      <c r="K33" s="256">
        <f t="shared" si="7"/>
        <v>170.25</v>
      </c>
    </row>
    <row r="34" spans="2:11">
      <c r="B34" s="145">
        <f t="shared" si="0"/>
        <v>2048</v>
      </c>
      <c r="C34" s="257"/>
      <c r="D34" s="69">
        <f t="shared" si="9"/>
        <v>126.48028573707691</v>
      </c>
      <c r="E34" s="69"/>
      <c r="F34" s="69">
        <f t="shared" si="10"/>
        <v>91.368546253577549</v>
      </c>
      <c r="G34" s="256">
        <f t="shared" si="12"/>
        <v>217.85</v>
      </c>
      <c r="H34" s="69">
        <f t="shared" si="11"/>
        <v>9.4213277447482611</v>
      </c>
      <c r="I34" s="69">
        <f t="shared" si="5"/>
        <v>7.98</v>
      </c>
      <c r="J34" s="256">
        <f t="shared" si="6"/>
        <v>98.42</v>
      </c>
      <c r="K34" s="256">
        <f t="shared" si="7"/>
        <v>173.78</v>
      </c>
    </row>
    <row r="35" spans="2:11">
      <c r="B35" s="145">
        <f t="shared" si="0"/>
        <v>2049</v>
      </c>
      <c r="C35" s="257"/>
      <c r="D35" s="69">
        <f t="shared" si="9"/>
        <v>129.23755596614518</v>
      </c>
      <c r="E35" s="69"/>
      <c r="F35" s="69">
        <f t="shared" si="10"/>
        <v>93.360380561905544</v>
      </c>
      <c r="G35" s="256">
        <f t="shared" si="12"/>
        <v>222.6</v>
      </c>
      <c r="H35" s="69">
        <f t="shared" si="11"/>
        <v>9.6267126895837727</v>
      </c>
      <c r="I35" s="69">
        <f t="shared" si="5"/>
        <v>7.98</v>
      </c>
      <c r="J35" s="256">
        <f t="shared" si="6"/>
        <v>100.4</v>
      </c>
      <c r="K35" s="256">
        <f t="shared" si="7"/>
        <v>177.4</v>
      </c>
    </row>
    <row r="36" spans="2:11">
      <c r="B36" s="145">
        <f t="shared" si="0"/>
        <v>2050</v>
      </c>
      <c r="C36" s="257"/>
      <c r="D36" s="69">
        <f t="shared" si="9"/>
        <v>132.05493468620716</v>
      </c>
      <c r="E36" s="69"/>
      <c r="F36" s="69">
        <f t="shared" si="10"/>
        <v>95.395636858155086</v>
      </c>
      <c r="G36" s="256">
        <f t="shared" si="12"/>
        <v>227.45</v>
      </c>
      <c r="H36" s="69">
        <f t="shared" si="11"/>
        <v>9.8365750262166998</v>
      </c>
      <c r="I36" s="69">
        <f t="shared" si="5"/>
        <v>7.98</v>
      </c>
      <c r="J36" s="256">
        <f t="shared" si="6"/>
        <v>102.41</v>
      </c>
      <c r="K36" s="256">
        <f t="shared" si="7"/>
        <v>181.09</v>
      </c>
    </row>
    <row r="37" spans="2:11">
      <c r="B37" s="145">
        <f t="shared" si="0"/>
        <v>2051</v>
      </c>
      <c r="C37" s="257"/>
      <c r="D37" s="69">
        <f t="shared" si="9"/>
        <v>134.93373226236648</v>
      </c>
      <c r="E37" s="69"/>
      <c r="F37" s="69">
        <f t="shared" si="10"/>
        <v>97.475261741662877</v>
      </c>
      <c r="G37" s="256">
        <f t="shared" si="12"/>
        <v>232.41</v>
      </c>
      <c r="H37" s="69">
        <f t="shared" si="11"/>
        <v>10.051012361788224</v>
      </c>
      <c r="I37" s="69">
        <f t="shared" si="5"/>
        <v>7.98</v>
      </c>
      <c r="J37" s="256">
        <f t="shared" si="6"/>
        <v>104.47</v>
      </c>
      <c r="K37" s="256">
        <f t="shared" si="7"/>
        <v>184.87</v>
      </c>
    </row>
    <row r="38" spans="2:11">
      <c r="B38" s="145">
        <f t="shared" si="0"/>
        <v>2052</v>
      </c>
      <c r="C38" s="257"/>
      <c r="D38" s="69">
        <f t="shared" si="9"/>
        <v>137.87528762568607</v>
      </c>
      <c r="E38" s="69"/>
      <c r="F38" s="69">
        <f t="shared" si="10"/>
        <v>99.600222447631126</v>
      </c>
      <c r="G38" s="256">
        <f t="shared" si="12"/>
        <v>237.48</v>
      </c>
      <c r="H38" s="69">
        <f t="shared" si="11"/>
        <v>10.270124431275208</v>
      </c>
      <c r="I38" s="69">
        <f t="shared" si="5"/>
        <v>7.98</v>
      </c>
      <c r="J38" s="256">
        <f t="shared" si="6"/>
        <v>106.57</v>
      </c>
      <c r="K38" s="256">
        <f t="shared" si="7"/>
        <v>188.72</v>
      </c>
    </row>
    <row r="39" spans="2:11">
      <c r="B39" s="145">
        <f t="shared" si="0"/>
        <v>2053</v>
      </c>
      <c r="C39" s="257"/>
      <c r="D39" s="69">
        <f t="shared" si="9"/>
        <v>140.88096889592603</v>
      </c>
      <c r="E39" s="69"/>
      <c r="F39" s="69">
        <f t="shared" si="10"/>
        <v>101.77150729698948</v>
      </c>
      <c r="G39" s="256">
        <f t="shared" si="12"/>
        <v>242.65</v>
      </c>
      <c r="H39" s="69">
        <f t="shared" si="11"/>
        <v>10.494013143877009</v>
      </c>
      <c r="I39" s="69">
        <f t="shared" si="5"/>
        <v>7.98</v>
      </c>
      <c r="J39" s="256">
        <f t="shared" si="6"/>
        <v>108.72</v>
      </c>
      <c r="K39" s="256">
        <f t="shared" si="7"/>
        <v>192.66</v>
      </c>
    </row>
    <row r="40" spans="2:11">
      <c r="B40" s="145">
        <f t="shared" si="0"/>
        <v>2054</v>
      </c>
      <c r="C40" s="257"/>
      <c r="D40" s="69">
        <f t="shared" si="9"/>
        <v>143.95217401785723</v>
      </c>
      <c r="E40" s="69"/>
      <c r="F40" s="69">
        <f t="shared" si="10"/>
        <v>103.99012615606385</v>
      </c>
      <c r="G40" s="256">
        <f t="shared" si="12"/>
        <v>247.94</v>
      </c>
      <c r="H40" s="69">
        <f t="shared" si="11"/>
        <v>10.722782630413528</v>
      </c>
      <c r="I40" s="69">
        <f t="shared" si="5"/>
        <v>7.98</v>
      </c>
      <c r="J40" s="256">
        <f t="shared" si="6"/>
        <v>110.92</v>
      </c>
      <c r="K40" s="256">
        <f t="shared" si="7"/>
        <v>196.69</v>
      </c>
    </row>
    <row r="41" spans="2:11">
      <c r="B41" s="145">
        <f t="shared" si="0"/>
        <v>2055</v>
      </c>
      <c r="C41" s="257"/>
      <c r="D41" s="69">
        <f t="shared" si="9"/>
        <v>147.09033141144653</v>
      </c>
      <c r="E41" s="69"/>
      <c r="F41" s="69">
        <f t="shared" si="10"/>
        <v>106.25711090626605</v>
      </c>
      <c r="G41" s="256">
        <f t="shared" ref="G41:G52" si="13">ROUND(D41+E41+F41,2)</f>
        <v>253.35</v>
      </c>
      <c r="H41" s="69">
        <f t="shared" si="11"/>
        <v>10.956539291756544</v>
      </c>
      <c r="I41" s="69">
        <f t="shared" si="5"/>
        <v>7.98</v>
      </c>
      <c r="J41" s="256">
        <f t="shared" si="6"/>
        <v>113.16</v>
      </c>
      <c r="K41" s="256">
        <f t="shared" si="7"/>
        <v>200.8</v>
      </c>
    </row>
    <row r="42" spans="2:11">
      <c r="B42" s="145">
        <f t="shared" si="0"/>
        <v>2056</v>
      </c>
      <c r="C42" s="257"/>
      <c r="D42" s="69">
        <f t="shared" si="9"/>
        <v>150.29690063621607</v>
      </c>
      <c r="E42" s="69"/>
      <c r="F42" s="69">
        <f t="shared" si="10"/>
        <v>108.57351592402266</v>
      </c>
      <c r="G42" s="256">
        <f t="shared" si="13"/>
        <v>258.87</v>
      </c>
      <c r="H42" s="69">
        <f t="shared" si="11"/>
        <v>11.195391848316836</v>
      </c>
      <c r="I42" s="69">
        <f t="shared" si="5"/>
        <v>7.98</v>
      </c>
      <c r="J42" s="256">
        <f t="shared" si="6"/>
        <v>115.46</v>
      </c>
      <c r="K42" s="256">
        <f t="shared" si="7"/>
        <v>205.01</v>
      </c>
    </row>
    <row r="43" spans="2:11">
      <c r="B43" s="145">
        <f t="shared" si="0"/>
        <v>2057</v>
      </c>
      <c r="C43" s="257"/>
      <c r="D43" s="69">
        <f t="shared" si="9"/>
        <v>153.57337307008558</v>
      </c>
      <c r="E43" s="69"/>
      <c r="F43" s="69">
        <f t="shared" si="10"/>
        <v>110.94041857116636</v>
      </c>
      <c r="G43" s="256">
        <f t="shared" si="13"/>
        <v>264.51</v>
      </c>
      <c r="H43" s="69">
        <f t="shared" si="11"/>
        <v>11.439451390610143</v>
      </c>
      <c r="I43" s="69">
        <f t="shared" si="5"/>
        <v>7.98</v>
      </c>
      <c r="J43" s="256">
        <f t="shared" si="6"/>
        <v>117.8</v>
      </c>
      <c r="K43" s="256">
        <f t="shared" si="7"/>
        <v>209.3</v>
      </c>
    </row>
    <row r="44" spans="2:11">
      <c r="B44" s="145">
        <f t="shared" si="0"/>
        <v>2058</v>
      </c>
      <c r="C44" s="257"/>
      <c r="D44" s="69">
        <f t="shared" si="9"/>
        <v>156.92127260301345</v>
      </c>
      <c r="E44" s="69"/>
      <c r="F44" s="69">
        <f t="shared" si="10"/>
        <v>113.35891969601779</v>
      </c>
      <c r="G44" s="256">
        <f t="shared" si="13"/>
        <v>270.27999999999997</v>
      </c>
      <c r="H44" s="69">
        <f t="shared" si="11"/>
        <v>11.688831430925445</v>
      </c>
      <c r="I44" s="69">
        <f t="shared" si="5"/>
        <v>7.98</v>
      </c>
      <c r="J44" s="256">
        <f t="shared" si="6"/>
        <v>120.19</v>
      </c>
      <c r="K44" s="256">
        <f t="shared" si="7"/>
        <v>213.69</v>
      </c>
    </row>
    <row r="45" spans="2:11">
      <c r="B45" s="145">
        <f t="shared" si="0"/>
        <v>2059</v>
      </c>
      <c r="C45" s="257"/>
      <c r="D45" s="69">
        <f t="shared" si="9"/>
        <v>160.34215634575915</v>
      </c>
      <c r="E45" s="69"/>
      <c r="F45" s="69">
        <f t="shared" si="10"/>
        <v>115.83014414539099</v>
      </c>
      <c r="G45" s="256">
        <f t="shared" si="13"/>
        <v>276.17</v>
      </c>
      <c r="H45" s="69">
        <f t="shared" si="11"/>
        <v>11.943647956119619</v>
      </c>
      <c r="I45" s="69">
        <f t="shared" si="5"/>
        <v>7.98</v>
      </c>
      <c r="J45" s="256">
        <f t="shared" si="6"/>
        <v>122.64</v>
      </c>
      <c r="K45" s="256">
        <f t="shared" si="7"/>
        <v>218.17</v>
      </c>
    </row>
    <row r="46" spans="2:11">
      <c r="B46" s="145">
        <f t="shared" si="0"/>
        <v>2060</v>
      </c>
      <c r="C46" s="257"/>
      <c r="D46" s="69">
        <f t="shared" si="9"/>
        <v>163.8376153540967</v>
      </c>
      <c r="E46" s="69"/>
      <c r="F46" s="69">
        <f t="shared" si="10"/>
        <v>118.35524128776052</v>
      </c>
      <c r="G46" s="256">
        <f t="shared" si="13"/>
        <v>282.19</v>
      </c>
      <c r="H46" s="69">
        <f t="shared" si="11"/>
        <v>12.204019481563028</v>
      </c>
      <c r="I46" s="69">
        <f t="shared" si="5"/>
        <v>7.98</v>
      </c>
      <c r="J46" s="256">
        <f t="shared" si="6"/>
        <v>125.14</v>
      </c>
      <c r="K46" s="256">
        <f t="shared" si="7"/>
        <v>222.76</v>
      </c>
    </row>
    <row r="47" spans="2:11">
      <c r="B47" s="145">
        <f t="shared" si="0"/>
        <v>2061</v>
      </c>
      <c r="C47" s="257"/>
      <c r="D47" s="69">
        <f t="shared" si="9"/>
        <v>167.40927536881603</v>
      </c>
      <c r="E47" s="69"/>
      <c r="F47" s="69">
        <f t="shared" si="10"/>
        <v>120.9353855478337</v>
      </c>
      <c r="G47" s="256">
        <f t="shared" si="13"/>
        <v>288.33999999999997</v>
      </c>
      <c r="H47" s="69">
        <f t="shared" si="11"/>
        <v>12.470067106261103</v>
      </c>
      <c r="I47" s="69">
        <f t="shared" si="5"/>
        <v>7.98</v>
      </c>
      <c r="J47" s="256">
        <f t="shared" si="6"/>
        <v>127.69</v>
      </c>
      <c r="K47" s="256">
        <f t="shared" si="7"/>
        <v>227.43</v>
      </c>
    </row>
    <row r="48" spans="2:11">
      <c r="B48" s="145">
        <f t="shared" si="0"/>
        <v>2062</v>
      </c>
      <c r="C48" s="257"/>
      <c r="D48" s="69">
        <f t="shared" si="9"/>
        <v>171.05879757185622</v>
      </c>
      <c r="E48" s="69"/>
      <c r="F48" s="69">
        <f t="shared" si="10"/>
        <v>123.57177695277649</v>
      </c>
      <c r="G48" s="256">
        <f t="shared" si="13"/>
        <v>294.63</v>
      </c>
      <c r="H48" s="69">
        <f t="shared" si="11"/>
        <v>12.741914569177595</v>
      </c>
      <c r="I48" s="69">
        <f t="shared" si="5"/>
        <v>7.98</v>
      </c>
      <c r="J48" s="256">
        <f t="shared" si="6"/>
        <v>130.30000000000001</v>
      </c>
      <c r="K48" s="256">
        <f t="shared" si="7"/>
        <v>232.22</v>
      </c>
    </row>
    <row r="49" spans="2:29">
      <c r="B49" s="145">
        <f t="shared" si="0"/>
        <v>2063</v>
      </c>
      <c r="C49" s="257"/>
      <c r="D49" s="69">
        <f t="shared" si="9"/>
        <v>174.78787935892268</v>
      </c>
      <c r="E49" s="69"/>
      <c r="F49" s="69">
        <f t="shared" si="10"/>
        <v>126.26564169034702</v>
      </c>
      <c r="G49" s="256">
        <f t="shared" si="13"/>
        <v>301.05</v>
      </c>
      <c r="H49" s="69">
        <f t="shared" si="11"/>
        <v>13.019688306785667</v>
      </c>
      <c r="I49" s="69">
        <f t="shared" si="5"/>
        <v>7.98</v>
      </c>
      <c r="J49" s="256">
        <f t="shared" si="6"/>
        <v>132.97</v>
      </c>
      <c r="K49" s="256">
        <f t="shared" si="7"/>
        <v>237.11</v>
      </c>
    </row>
    <row r="50" spans="2:29">
      <c r="B50" s="145">
        <f t="shared" si="0"/>
        <v>2064</v>
      </c>
      <c r="C50" s="257"/>
      <c r="D50" s="69">
        <f t="shared" si="9"/>
        <v>178.59825512894722</v>
      </c>
      <c r="E50" s="69"/>
      <c r="F50" s="69">
        <f t="shared" si="10"/>
        <v>129.01823267919659</v>
      </c>
      <c r="G50" s="256">
        <f t="shared" si="13"/>
        <v>307.62</v>
      </c>
      <c r="H50" s="69">
        <f t="shared" si="11"/>
        <v>13.303517511873595</v>
      </c>
      <c r="I50" s="69">
        <f t="shared" si="5"/>
        <v>7.98</v>
      </c>
      <c r="J50" s="256">
        <f t="shared" si="6"/>
        <v>135.69</v>
      </c>
      <c r="K50" s="256">
        <f t="shared" si="7"/>
        <v>242.1</v>
      </c>
    </row>
    <row r="51" spans="2:29">
      <c r="B51" s="145">
        <f t="shared" si="0"/>
        <v>2065</v>
      </c>
      <c r="C51" s="257"/>
      <c r="D51" s="69">
        <f t="shared" si="9"/>
        <v>182.49169709075827</v>
      </c>
      <c r="E51" s="69"/>
      <c r="F51" s="69">
        <f t="shared" si="10"/>
        <v>131.83083015160307</v>
      </c>
      <c r="G51" s="256">
        <f t="shared" si="13"/>
        <v>314.32</v>
      </c>
      <c r="H51" s="69">
        <f t="shared" si="11"/>
        <v>13.59353419363244</v>
      </c>
      <c r="I51" s="69">
        <f t="shared" si="5"/>
        <v>7.98</v>
      </c>
      <c r="J51" s="256">
        <f t="shared" si="6"/>
        <v>138.47999999999999</v>
      </c>
      <c r="K51" s="256">
        <f t="shared" si="7"/>
        <v>247.21</v>
      </c>
    </row>
    <row r="52" spans="2:29">
      <c r="B52" s="145">
        <f t="shared" si="0"/>
        <v>2066</v>
      </c>
      <c r="C52" s="257"/>
      <c r="D52" s="69">
        <f t="shared" si="9"/>
        <v>186.4700160873368</v>
      </c>
      <c r="E52" s="69"/>
      <c r="F52" s="69">
        <f t="shared" si="10"/>
        <v>134.70474224890802</v>
      </c>
      <c r="G52" s="256">
        <f t="shared" si="13"/>
        <v>321.17</v>
      </c>
      <c r="H52" s="69">
        <f t="shared" si="11"/>
        <v>13.889873239053628</v>
      </c>
      <c r="I52" s="69">
        <f t="shared" si="5"/>
        <v>7.98</v>
      </c>
      <c r="J52" s="256">
        <f t="shared" si="6"/>
        <v>141.32</v>
      </c>
      <c r="K52" s="256">
        <f t="shared" si="7"/>
        <v>252.42</v>
      </c>
    </row>
    <row r="53" spans="2:29">
      <c r="B53" s="145">
        <f t="shared" si="0"/>
        <v>2067</v>
      </c>
      <c r="C53" s="257"/>
      <c r="D53" s="69">
        <f t="shared" si="9"/>
        <v>190.53506243804074</v>
      </c>
      <c r="E53" s="69"/>
      <c r="F53" s="69">
        <f t="shared" si="10"/>
        <v>137.64130562993421</v>
      </c>
      <c r="G53" s="256">
        <f>ROUND(D53+E53+F53,2)</f>
        <v>328.18</v>
      </c>
      <c r="H53" s="69">
        <f t="shared" si="11"/>
        <v>14.192672475664997</v>
      </c>
      <c r="I53" s="69">
        <f t="shared" si="5"/>
        <v>7.98</v>
      </c>
      <c r="J53" s="256">
        <f t="shared" si="6"/>
        <v>144.22999999999999</v>
      </c>
      <c r="K53" s="256">
        <f t="shared" si="7"/>
        <v>257.76</v>
      </c>
    </row>
    <row r="54" spans="2:29">
      <c r="B54" s="145">
        <f t="shared" si="0"/>
        <v>2068</v>
      </c>
      <c r="C54" s="257"/>
      <c r="D54" s="69">
        <f t="shared" si="9"/>
        <v>194.68872679919002</v>
      </c>
      <c r="E54" s="69"/>
      <c r="F54" s="69">
        <f t="shared" si="10"/>
        <v>140.64188609266677</v>
      </c>
      <c r="G54" s="256">
        <f>ROUND(D54+E54+F54,2)</f>
        <v>335.33</v>
      </c>
      <c r="H54" s="69">
        <f t="shared" si="11"/>
        <v>14.502072735634494</v>
      </c>
      <c r="I54" s="69">
        <f t="shared" si="5"/>
        <v>7.98</v>
      </c>
      <c r="J54" s="256">
        <f t="shared" si="6"/>
        <v>147.19999999999999</v>
      </c>
      <c r="K54" s="256">
        <f t="shared" si="7"/>
        <v>263.2</v>
      </c>
    </row>
    <row r="55" spans="2:29">
      <c r="B55" s="145">
        <f t="shared" si="0"/>
        <v>2069</v>
      </c>
      <c r="C55" s="257"/>
      <c r="D55" s="69">
        <f t="shared" si="9"/>
        <v>198.93294104341237</v>
      </c>
      <c r="E55" s="69"/>
      <c r="F55" s="69">
        <f t="shared" si="10"/>
        <v>143.70787920948692</v>
      </c>
      <c r="G55" s="256">
        <f>ROUND(D55+E55+F55,2)</f>
        <v>342.64</v>
      </c>
      <c r="H55" s="69">
        <f t="shared" si="11"/>
        <v>14.818217921271327</v>
      </c>
      <c r="I55" s="69">
        <f t="shared" si="5"/>
        <v>7.98</v>
      </c>
      <c r="J55" s="256">
        <f t="shared" si="6"/>
        <v>150.22999999999999</v>
      </c>
      <c r="K55" s="256">
        <f t="shared" si="7"/>
        <v>268.76</v>
      </c>
    </row>
    <row r="56" spans="2:29">
      <c r="B56" s="145">
        <f t="shared" si="0"/>
        <v>2070</v>
      </c>
      <c r="C56" s="257"/>
      <c r="D56" s="69">
        <f t="shared" si="9"/>
        <v>203.26967915815877</v>
      </c>
      <c r="E56" s="69"/>
      <c r="F56" s="69">
        <f t="shared" si="10"/>
        <v>146.84071097625375</v>
      </c>
      <c r="G56" s="256">
        <f>ROUND(D56+E56+F56,2)</f>
        <v>350.11</v>
      </c>
      <c r="H56" s="69">
        <f t="shared" si="11"/>
        <v>15.141255071955042</v>
      </c>
      <c r="I56" s="69">
        <f t="shared" si="5"/>
        <v>7.98</v>
      </c>
      <c r="J56" s="256">
        <f t="shared" si="6"/>
        <v>153.34</v>
      </c>
      <c r="K56" s="256">
        <f t="shared" si="7"/>
        <v>274.45</v>
      </c>
    </row>
    <row r="57" spans="2:29">
      <c r="B57" s="145"/>
      <c r="C57" s="257"/>
      <c r="D57" s="69"/>
      <c r="E57" s="69"/>
      <c r="F57" s="69"/>
      <c r="G57" s="256"/>
      <c r="H57" s="69"/>
      <c r="I57" s="69"/>
      <c r="J57" s="256"/>
      <c r="K57" s="256"/>
    </row>
    <row r="58" spans="2:29">
      <c r="M58" s="145"/>
      <c r="O58" s="262"/>
      <c r="AA58"/>
      <c r="AC58" s="61"/>
    </row>
    <row r="59" spans="2:29">
      <c r="B59" s="68" t="s">
        <v>236</v>
      </c>
      <c r="C59" s="61"/>
      <c r="D59" s="61"/>
      <c r="E59" s="61"/>
      <c r="F59" s="61"/>
      <c r="G59" s="70">
        <f>-PMT(Discount_Rate,COUNT(G$16:G$55),NPV(Discount_Rate,G$16:G$55))</f>
        <v>196.18027703520815</v>
      </c>
      <c r="H59" s="61"/>
      <c r="I59" s="61"/>
      <c r="J59" s="61"/>
      <c r="K59" s="70">
        <f>-PMT(Discount_Rate,COUNT(K$16:K$55),NPV(Discount_Rate,K$16:K$55))</f>
        <v>157.29145405389625</v>
      </c>
      <c r="L59" s="70">
        <f>K59/12</f>
        <v>13.107621171158021</v>
      </c>
      <c r="M59" s="145"/>
      <c r="O59" s="262"/>
      <c r="AA59"/>
      <c r="AC59" s="61"/>
    </row>
    <row r="60" spans="2:29">
      <c r="M60" s="145"/>
      <c r="O60" s="262"/>
      <c r="AA60"/>
      <c r="AC60" s="61"/>
    </row>
    <row r="61" spans="2:29" ht="14.25">
      <c r="B61" s="4" t="s">
        <v>25</v>
      </c>
      <c r="C61" s="17"/>
      <c r="D61" s="17"/>
      <c r="E61" s="17"/>
      <c r="F61" s="17"/>
      <c r="G61" s="17"/>
      <c r="H61" s="17"/>
      <c r="I61" s="17"/>
      <c r="J61" s="17"/>
      <c r="K61" s="17"/>
      <c r="M61" s="262"/>
      <c r="N61" s="262"/>
    </row>
    <row r="63" spans="2:29">
      <c r="B63" t="s">
        <v>235</v>
      </c>
      <c r="D63" s="146" t="s">
        <v>232</v>
      </c>
      <c r="G63" s="263"/>
    </row>
    <row r="64" spans="2:29">
      <c r="C64" s="173" t="str">
        <f>C6</f>
        <v>(a)</v>
      </c>
      <c r="D64" s="146" t="s">
        <v>234</v>
      </c>
      <c r="G64" s="263"/>
    </row>
    <row r="65" spans="3:20">
      <c r="C65" s="173" t="str">
        <f>D6</f>
        <v>(b)</v>
      </c>
      <c r="D65" s="256" t="str">
        <f>"= "&amp;C6&amp;" x "&amp;TEXT(C92,"0.000%")&amp;E92</f>
        <v>= (a) x 6.100%  Real Payment Factor@ 00% ITC</v>
      </c>
    </row>
    <row r="66" spans="3:20">
      <c r="C66" s="173" t="str">
        <f>H6</f>
        <v>(f)</v>
      </c>
      <c r="D66" s="264" t="s">
        <v>233</v>
      </c>
    </row>
    <row r="67" spans="3:20">
      <c r="C67" s="173" t="str">
        <f>J6</f>
        <v>(h)</v>
      </c>
      <c r="D67" s="256" t="str">
        <f>"= "&amp;H6&amp;" / (8.76 x 'Capacity Factor' ) + "&amp;I6</f>
        <v>= (f) / (8.76 x 'Capacity Factor' ) + (g)</v>
      </c>
    </row>
    <row r="68" spans="3:20" ht="13.5" thickBot="1"/>
    <row r="69" spans="3:20" ht="13.5" thickBot="1">
      <c r="C69" s="37" t="s">
        <v>228</v>
      </c>
      <c r="D69" s="265"/>
      <c r="E69" s="265"/>
      <c r="F69" s="265"/>
      <c r="G69" s="265"/>
      <c r="H69" s="265"/>
      <c r="I69" s="265"/>
      <c r="J69" s="266"/>
      <c r="K69" s="267"/>
    </row>
    <row r="70" spans="3:20" ht="5.25" customHeight="1"/>
    <row r="71" spans="3:20" ht="5.25" customHeight="1"/>
    <row r="72" spans="3:20">
      <c r="C72" s="268" t="s">
        <v>205</v>
      </c>
      <c r="D72" s="269"/>
      <c r="E72" s="268"/>
      <c r="F72" s="270" t="s">
        <v>32</v>
      </c>
      <c r="G72" s="270" t="s">
        <v>206</v>
      </c>
      <c r="H72" s="270" t="s">
        <v>207</v>
      </c>
      <c r="I72" s="270" t="s">
        <v>208</v>
      </c>
    </row>
    <row r="73" spans="3:20">
      <c r="C73" s="260" t="s">
        <v>229</v>
      </c>
      <c r="F73" s="271">
        <f>C84</f>
        <v>191.75899999999999</v>
      </c>
      <c r="G73" s="36">
        <f>F73/F75</f>
        <v>1</v>
      </c>
      <c r="H73" s="272">
        <f>C85</f>
        <v>1235.7476526089529</v>
      </c>
      <c r="I73" s="273">
        <f>C88</f>
        <v>54.452165356822256</v>
      </c>
      <c r="O73" s="61"/>
      <c r="P73" s="61"/>
      <c r="Q73" s="61"/>
      <c r="R73" s="61"/>
      <c r="S73" s="61"/>
      <c r="T73" s="61"/>
    </row>
    <row r="74" spans="3:20">
      <c r="C74" s="260"/>
      <c r="F74" s="274"/>
      <c r="G74" s="275"/>
      <c r="H74" s="276"/>
      <c r="I74" s="277"/>
      <c r="O74" s="278"/>
      <c r="P74" s="61"/>
      <c r="Q74" s="61"/>
      <c r="R74" s="61"/>
      <c r="S74" s="61"/>
      <c r="T74" s="61"/>
    </row>
    <row r="75" spans="3:20">
      <c r="C75" s="260" t="s">
        <v>209</v>
      </c>
      <c r="F75" s="271">
        <f>F73+F74</f>
        <v>191.75899999999999</v>
      </c>
      <c r="G75" s="36">
        <f>G73+G74</f>
        <v>1</v>
      </c>
      <c r="H75" s="272">
        <f>ROUND(((F73*H73)+(F74*H74))/F75,0)</f>
        <v>1236</v>
      </c>
      <c r="I75" s="273">
        <f>ROUND(((F73*I73)+(F74*I74))/F75,2)</f>
        <v>54.45</v>
      </c>
      <c r="O75" s="278"/>
      <c r="P75" s="61"/>
      <c r="Q75" s="61"/>
      <c r="R75" s="61"/>
      <c r="S75" s="61"/>
      <c r="T75" s="61"/>
    </row>
    <row r="76" spans="3:20">
      <c r="C76" s="260"/>
      <c r="F76" s="271"/>
      <c r="G76" s="36"/>
      <c r="H76" s="279"/>
      <c r="I76" s="280"/>
      <c r="O76" s="61"/>
      <c r="P76" s="61"/>
      <c r="Q76" s="61"/>
      <c r="R76" s="61"/>
      <c r="S76" s="61"/>
      <c r="T76" s="61"/>
    </row>
    <row r="77" spans="3:20">
      <c r="C77" s="281" t="s">
        <v>205</v>
      </c>
      <c r="D77" s="269"/>
      <c r="E77" s="268"/>
      <c r="F77" s="270" t="s">
        <v>32</v>
      </c>
      <c r="G77" s="270" t="s">
        <v>33</v>
      </c>
      <c r="H77" s="270" t="s">
        <v>210</v>
      </c>
      <c r="I77" s="270" t="s">
        <v>206</v>
      </c>
      <c r="J77" s="270" t="s">
        <v>211</v>
      </c>
      <c r="K77" s="270" t="s">
        <v>212</v>
      </c>
    </row>
    <row r="78" spans="3:20">
      <c r="C78" s="282" t="str">
        <f>C73</f>
        <v>SCCT Frame "F" x1 (6,130')</v>
      </c>
      <c r="D78" s="283"/>
      <c r="E78" s="283"/>
      <c r="F78">
        <f>C84</f>
        <v>191.75899999999999</v>
      </c>
      <c r="G78" s="36">
        <f>C93</f>
        <v>0.33</v>
      </c>
      <c r="H78" s="86">
        <f>G78*F78</f>
        <v>63.280470000000001</v>
      </c>
      <c r="I78" s="36">
        <f>H78/H80</f>
        <v>1</v>
      </c>
      <c r="J78" s="280">
        <f>C89</f>
        <v>7.9799917258138251</v>
      </c>
      <c r="K78" s="284">
        <f>C90</f>
        <v>9600.3960000000006</v>
      </c>
    </row>
    <row r="79" spans="3:20">
      <c r="C79" s="282">
        <f>C74</f>
        <v>0</v>
      </c>
      <c r="D79" s="283"/>
      <c r="E79" s="283"/>
      <c r="F79" s="285">
        <f>D84</f>
        <v>0</v>
      </c>
      <c r="G79" s="275">
        <f>D93</f>
        <v>0</v>
      </c>
      <c r="H79" s="286">
        <f>G79*F79</f>
        <v>0</v>
      </c>
      <c r="I79" s="275">
        <f>1-I78</f>
        <v>0</v>
      </c>
      <c r="J79" s="287">
        <f>D89</f>
        <v>0</v>
      </c>
      <c r="K79" s="288">
        <f>D90</f>
        <v>0</v>
      </c>
    </row>
    <row r="80" spans="3:20">
      <c r="C80" s="260" t="s">
        <v>213</v>
      </c>
      <c r="F80">
        <f>F78+F79</f>
        <v>191.75899999999999</v>
      </c>
      <c r="G80" s="289">
        <f>ROUND(H80/F80,3)</f>
        <v>0.33</v>
      </c>
      <c r="H80" s="86">
        <f>SUM(H78:H79)</f>
        <v>63.280470000000001</v>
      </c>
      <c r="I80" s="36">
        <f>I78+I79</f>
        <v>1</v>
      </c>
      <c r="J80" s="280">
        <f>ROUND(($I78*J78)+($I79*J79),2)</f>
        <v>7.98</v>
      </c>
      <c r="K80" s="242">
        <f>ROUND(($I78*K78)+($I79*K79),0)</f>
        <v>9600</v>
      </c>
    </row>
    <row r="81" spans="2:11">
      <c r="G81" s="289"/>
      <c r="I81" s="36"/>
      <c r="J81" s="280"/>
      <c r="K81" s="290" t="s">
        <v>214</v>
      </c>
    </row>
    <row r="83" spans="2:11">
      <c r="C83" s="270" t="s">
        <v>215</v>
      </c>
      <c r="D83" s="270"/>
      <c r="E83" s="291" t="str">
        <f>D63</f>
        <v>Plant Costs  - 2025 IRP</v>
      </c>
      <c r="F83" s="292"/>
      <c r="G83" s="292"/>
      <c r="H83" s="292"/>
      <c r="I83" s="292"/>
      <c r="J83" s="292"/>
      <c r="K83" s="293"/>
    </row>
    <row r="84" spans="2:11">
      <c r="C84">
        <v>191.75899999999999</v>
      </c>
      <c r="E84" t="s">
        <v>216</v>
      </c>
      <c r="H84" s="294"/>
    </row>
    <row r="85" spans="2:11">
      <c r="B85" t="s">
        <v>183</v>
      </c>
      <c r="C85" s="295">
        <v>1235.7476526089529</v>
      </c>
      <c r="E85" s="260" t="s">
        <v>217</v>
      </c>
      <c r="H85" s="294"/>
    </row>
    <row r="86" spans="2:11">
      <c r="B86" t="s">
        <v>183</v>
      </c>
      <c r="C86" s="304">
        <v>28.653028866339056</v>
      </c>
      <c r="D86" s="280"/>
      <c r="E86" t="s">
        <v>218</v>
      </c>
    </row>
    <row r="87" spans="2:11">
      <c r="B87" t="s">
        <v>183</v>
      </c>
      <c r="C87" s="297">
        <v>25.7991364904832</v>
      </c>
      <c r="D87" s="298"/>
      <c r="E87" t="s">
        <v>219</v>
      </c>
      <c r="H87" s="149" t="s">
        <v>220</v>
      </c>
      <c r="I87" s="299"/>
    </row>
    <row r="88" spans="2:11">
      <c r="B88" t="s">
        <v>183</v>
      </c>
      <c r="C88" s="280">
        <f>C86+C87</f>
        <v>54.452165356822256</v>
      </c>
      <c r="D88" s="280"/>
      <c r="E88" t="s">
        <v>221</v>
      </c>
    </row>
    <row r="89" spans="2:11">
      <c r="B89" t="s">
        <v>183</v>
      </c>
      <c r="C89" s="296">
        <v>7.9799917258138251</v>
      </c>
      <c r="D89" s="280"/>
      <c r="E89" t="s">
        <v>222</v>
      </c>
    </row>
    <row r="90" spans="2:11">
      <c r="C90" s="242">
        <v>9600.3960000000006</v>
      </c>
      <c r="D90" s="242"/>
      <c r="E90" t="s">
        <v>223</v>
      </c>
    </row>
    <row r="91" spans="2:11">
      <c r="C91" s="300">
        <v>0</v>
      </c>
      <c r="D91" s="242"/>
      <c r="E91" t="s">
        <v>224</v>
      </c>
    </row>
    <row r="92" spans="2:11">
      <c r="C92" s="301">
        <v>6.0999999999999999E-2</v>
      </c>
      <c r="D92" s="301"/>
      <c r="E92" t="str">
        <f>"  Real Payment Factor@ "&amp;TEXT(C91,"00%")&amp;" ITC"</f>
        <v xml:space="preserve">  Real Payment Factor@ 00% ITC</v>
      </c>
    </row>
    <row r="93" spans="2:11">
      <c r="C93" s="243">
        <v>0.33</v>
      </c>
      <c r="D93" s="243"/>
      <c r="E93" t="s">
        <v>35</v>
      </c>
      <c r="I93" s="300"/>
      <c r="J93" s="302"/>
    </row>
    <row r="94" spans="2:11">
      <c r="D94" s="36">
        <f>ROUND(H80/F80,3)</f>
        <v>0.33</v>
      </c>
      <c r="E94" t="s">
        <v>225</v>
      </c>
      <c r="I94" s="300"/>
      <c r="J94" s="302"/>
    </row>
    <row r="95" spans="2:11">
      <c r="B95" t="s">
        <v>183</v>
      </c>
      <c r="C95" s="79"/>
      <c r="D95" s="61"/>
      <c r="E95" s="61" t="s">
        <v>86</v>
      </c>
      <c r="I95" s="300"/>
      <c r="J95" s="302"/>
    </row>
    <row r="96" spans="2:11">
      <c r="C96" s="45"/>
      <c r="D96" s="244">
        <v>5.6147516544049472</v>
      </c>
      <c r="E96" s="61" t="s">
        <v>230</v>
      </c>
      <c r="F96" s="307"/>
      <c r="I96" s="300"/>
      <c r="J96" s="302"/>
    </row>
    <row r="97" spans="4:5">
      <c r="D97" s="45">
        <f>(D96/1000000)*1000*C90</f>
        <v>53.903839323942641</v>
      </c>
      <c r="E97" s="61" t="s">
        <v>231</v>
      </c>
    </row>
    <row r="98" spans="4:5">
      <c r="D98" s="308"/>
    </row>
    <row r="100" spans="4:5">
      <c r="D100" s="309"/>
    </row>
    <row r="101" spans="4:5">
      <c r="D101" s="303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64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E93"/>
  <sheetViews>
    <sheetView view="pageBreakPreview" topLeftCell="A9" zoomScale="70" zoomScaleNormal="80" zoomScaleSheetLayoutView="70" workbookViewId="0">
      <selection activeCell="L28" sqref="L28"/>
    </sheetView>
  </sheetViews>
  <sheetFormatPr defaultRowHeight="12.75"/>
  <cols>
    <col min="1" max="1" width="12.5" style="3" customWidth="1"/>
    <col min="2" max="2" width="14.5" style="3" customWidth="1"/>
    <col min="3" max="3" width="14.1640625" style="3" customWidth="1"/>
    <col min="4" max="4" width="6.5" style="3" customWidth="1"/>
    <col min="5" max="5" width="18.83203125" style="3" customWidth="1"/>
    <col min="6" max="6" width="3.5" style="3" bestFit="1" customWidth="1"/>
    <col min="7" max="7" width="20" style="3" customWidth="1"/>
    <col min="8" max="8" width="14.1640625" style="3" customWidth="1"/>
    <col min="9" max="9" width="13.5" style="3" customWidth="1"/>
    <col min="10" max="10" width="12.83203125" customWidth="1"/>
    <col min="11" max="11" width="16.6640625" customWidth="1"/>
    <col min="12" max="12" width="19.1640625" customWidth="1"/>
    <col min="16" max="17" width="21.6640625" customWidth="1"/>
    <col min="18" max="18" width="18.83203125" customWidth="1"/>
    <col min="19" max="25" width="15.33203125" customWidth="1"/>
    <col min="26" max="26" width="9.33203125" style="45" customWidth="1"/>
    <col min="27" max="48" width="3.33203125" customWidth="1"/>
    <col min="50" max="52" width="13.83203125" customWidth="1"/>
    <col min="53" max="53" width="25.33203125" customWidth="1"/>
    <col min="54" max="59" width="13.83203125" customWidth="1"/>
    <col min="60" max="60" width="11" customWidth="1"/>
    <col min="61" max="83" width="4.1640625" customWidth="1"/>
    <col min="84" max="84" width="13.83203125" customWidth="1"/>
    <col min="85" max="85" width="10.6640625" customWidth="1"/>
    <col min="86" max="86" width="16.1640625" customWidth="1"/>
    <col min="87" max="91" width="14.6640625" customWidth="1"/>
    <col min="92" max="95" width="12.6640625" customWidth="1"/>
    <col min="96" max="105" width="2.33203125" customWidth="1"/>
    <col min="106" max="109" width="1.33203125" customWidth="1"/>
    <col min="110" max="120" width="3.5" customWidth="1"/>
    <col min="121" max="121" width="3.1640625" customWidth="1"/>
    <col min="122" max="157" width="15.33203125" customWidth="1"/>
    <col min="160" max="160" width="17.33203125" customWidth="1"/>
    <col min="161" max="161" width="16.6640625" customWidth="1"/>
    <col min="162" max="162" width="15" customWidth="1"/>
  </cols>
  <sheetData>
    <row r="1" spans="1:161" ht="15.75" hidden="1">
      <c r="A1"/>
      <c r="B1" s="1" t="s">
        <v>34</v>
      </c>
      <c r="C1" s="2"/>
      <c r="D1" s="2"/>
      <c r="E1" s="2"/>
      <c r="F1" s="2"/>
      <c r="G1" s="10"/>
      <c r="H1" s="33"/>
    </row>
    <row r="2" spans="1:161" ht="5.25" customHeight="1">
      <c r="A2"/>
      <c r="B2" s="1"/>
      <c r="C2" s="2"/>
      <c r="D2" s="2"/>
      <c r="E2" s="2"/>
      <c r="G2" s="10"/>
      <c r="H2" s="33"/>
    </row>
    <row r="3" spans="1:161" ht="15.75">
      <c r="A3"/>
      <c r="B3" s="1" t="s">
        <v>20</v>
      </c>
      <c r="C3" s="2"/>
      <c r="D3" s="2"/>
      <c r="E3" s="2"/>
      <c r="F3" s="2"/>
      <c r="G3" s="10"/>
      <c r="H3" s="33"/>
      <c r="K3">
        <f>MATCH('Table 5'!K5,'Table 5'!$B$12:$B$264,FALSE)+ROW('Table 5'!B11)</f>
        <v>13</v>
      </c>
    </row>
    <row r="4" spans="1:161" ht="15.75">
      <c r="A4"/>
      <c r="B4" s="4" t="s">
        <v>17</v>
      </c>
      <c r="C4" s="4"/>
      <c r="D4" s="4"/>
      <c r="E4" s="4"/>
      <c r="F4" s="4"/>
      <c r="G4" s="1"/>
      <c r="H4" s="33"/>
      <c r="K4">
        <v>312</v>
      </c>
      <c r="P4" s="83" t="s">
        <v>55</v>
      </c>
      <c r="Q4" s="83"/>
      <c r="R4" s="83"/>
    </row>
    <row r="5" spans="1:161" ht="15.75">
      <c r="A5"/>
      <c r="B5" s="4" t="str">
        <f ca="1">'Table 5'!M4&amp; " - "&amp;TEXT(Study_MW,"#.0")&amp;" MW and "&amp;TEXT(Study_CF,"#.0%")&amp;" CF"</f>
        <v>QF - Sch38 - UT - Solar T - 80.0 MW and 30.2% CF</v>
      </c>
      <c r="C5" s="4"/>
      <c r="D5" s="4"/>
      <c r="E5" s="4"/>
      <c r="F5" s="4"/>
      <c r="G5" s="1"/>
      <c r="H5" s="33"/>
      <c r="P5" s="313">
        <v>0.39343474255914024</v>
      </c>
      <c r="Q5" s="313">
        <v>0.39343474255914024</v>
      </c>
      <c r="R5" s="313">
        <v>0.39343474255914024</v>
      </c>
      <c r="S5" s="313">
        <v>0.25792015761805415</v>
      </c>
      <c r="T5" s="313">
        <v>0.25792015761805415</v>
      </c>
      <c r="U5" s="313">
        <v>0.25792015761805415</v>
      </c>
      <c r="V5" s="313">
        <v>7.3718070273303168E-2</v>
      </c>
      <c r="W5" s="313">
        <v>7.1826765155882377E-2</v>
      </c>
      <c r="X5" s="313">
        <v>0.10785249233276019</v>
      </c>
      <c r="Y5" s="313">
        <v>8.8050975549411797E-2</v>
      </c>
      <c r="Z5" s="313"/>
      <c r="AA5" s="313"/>
      <c r="AB5" s="313"/>
      <c r="AC5" s="313"/>
      <c r="AD5" s="313"/>
      <c r="AE5" s="313"/>
      <c r="AF5" s="313"/>
      <c r="AG5" s="313"/>
      <c r="AH5" s="313"/>
      <c r="AI5" s="313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FD5" s="315"/>
      <c r="FE5" t="s">
        <v>74</v>
      </c>
    </row>
    <row r="6" spans="1:161" ht="14.25" hidden="1">
      <c r="A6"/>
      <c r="B6" s="17"/>
      <c r="C6" s="4"/>
      <c r="D6" s="4"/>
      <c r="E6" s="4"/>
      <c r="F6" s="4"/>
      <c r="G6" s="10"/>
      <c r="H6" s="33"/>
    </row>
    <row r="7" spans="1:161" s="91" customFormat="1" ht="122.25" customHeight="1">
      <c r="B7" s="92"/>
      <c r="C7" s="245"/>
      <c r="D7" s="245"/>
      <c r="E7" s="92"/>
      <c r="F7" s="92"/>
      <c r="G7" s="92"/>
      <c r="H7" s="96"/>
      <c r="N7" s="91" t="s">
        <v>238</v>
      </c>
      <c r="P7" s="91" t="str">
        <f>CH7</f>
        <v>WD_.PX.BDG._.PTC.Utility_Scale</v>
      </c>
      <c r="Q7" s="91" t="str">
        <f t="shared" ref="Q7:AU7" si="0">CI7</f>
        <v>WD_.PX.BDG._.PTC.Utility_Scale</v>
      </c>
      <c r="R7" s="91" t="str">
        <f t="shared" si="0"/>
        <v>WD_.PX.BDG._.PTC.Utility_Scale</v>
      </c>
      <c r="S7" s="91" t="s">
        <v>152</v>
      </c>
      <c r="T7" s="91" t="s">
        <v>152</v>
      </c>
      <c r="U7" s="91" t="s">
        <v>152</v>
      </c>
      <c r="V7" s="91" t="str">
        <f t="shared" si="0"/>
        <v>PV_.PX.BDG._.PTC.Utility_Scale</v>
      </c>
      <c r="W7" s="91" t="str">
        <f t="shared" si="0"/>
        <v>PV_.PX.HTG._.PTC.Utility_Scale</v>
      </c>
      <c r="X7" s="91" t="s">
        <v>252</v>
      </c>
      <c r="Y7" s="91" t="str">
        <f t="shared" si="0"/>
        <v>PV_.PX.UTS._.PTC.Utility_Scale</v>
      </c>
      <c r="Z7" s="91">
        <f t="shared" si="0"/>
        <v>0</v>
      </c>
      <c r="AA7" s="91">
        <f t="shared" si="0"/>
        <v>0</v>
      </c>
      <c r="AB7" s="91">
        <f t="shared" si="0"/>
        <v>0</v>
      </c>
      <c r="AC7" s="91">
        <f t="shared" si="0"/>
        <v>0</v>
      </c>
      <c r="AD7" s="91">
        <f t="shared" si="0"/>
        <v>0</v>
      </c>
      <c r="AE7" s="91">
        <f t="shared" si="0"/>
        <v>0</v>
      </c>
      <c r="AF7" s="91">
        <f t="shared" si="0"/>
        <v>0</v>
      </c>
      <c r="AG7" s="91">
        <f t="shared" si="0"/>
        <v>0</v>
      </c>
      <c r="AH7" s="91">
        <f t="shared" si="0"/>
        <v>0</v>
      </c>
      <c r="AI7" s="91">
        <f t="shared" si="0"/>
        <v>0</v>
      </c>
      <c r="AJ7" s="91">
        <f t="shared" si="0"/>
        <v>0</v>
      </c>
      <c r="AK7" s="91">
        <f t="shared" si="0"/>
        <v>0</v>
      </c>
      <c r="AL7" s="91">
        <f t="shared" si="0"/>
        <v>0</v>
      </c>
      <c r="AM7" s="91">
        <f t="shared" si="0"/>
        <v>0</v>
      </c>
      <c r="AN7" s="91">
        <f t="shared" si="0"/>
        <v>0</v>
      </c>
      <c r="AO7" s="91">
        <f t="shared" si="0"/>
        <v>0</v>
      </c>
      <c r="AP7" s="91">
        <f t="shared" si="0"/>
        <v>0</v>
      </c>
      <c r="AQ7" s="91">
        <f t="shared" si="0"/>
        <v>0</v>
      </c>
      <c r="AR7" s="91">
        <f t="shared" si="0"/>
        <v>0</v>
      </c>
      <c r="AS7" s="91">
        <f t="shared" si="0"/>
        <v>0</v>
      </c>
      <c r="AT7" s="91">
        <f t="shared" si="0"/>
        <v>0</v>
      </c>
      <c r="AU7" s="91">
        <f t="shared" si="0"/>
        <v>0</v>
      </c>
      <c r="AW7" s="99" t="s">
        <v>66</v>
      </c>
      <c r="AX7" s="91" t="str">
        <f>CH7</f>
        <v>WD_.PX.BDG._.PTC.Utility_Scale</v>
      </c>
      <c r="AY7" s="91" t="str">
        <f t="shared" ref="AY7:BG9" si="1">CI7</f>
        <v>WD_.PX.BDG._.PTC.Utility_Scale</v>
      </c>
      <c r="AZ7" s="91" t="str">
        <f t="shared" si="1"/>
        <v>WD_.PX.BDG._.PTC.Utility_Scale</v>
      </c>
      <c r="BA7" s="91" t="str">
        <f t="shared" si="1"/>
        <v>WD_.PX.DJW._.PTC.Utility_Scale</v>
      </c>
      <c r="BB7" s="91" t="str">
        <f t="shared" si="1"/>
        <v>WD_.PX.DJW._.PTC.Utility_Scale</v>
      </c>
      <c r="BC7" s="91" t="str">
        <f t="shared" si="1"/>
        <v>WD_.PX.DJW._.PTC.Utility_Scale</v>
      </c>
      <c r="BD7" s="91" t="str">
        <f t="shared" si="1"/>
        <v>PV_.PX.BDG._.PTC.Utility_Scale</v>
      </c>
      <c r="BE7" s="91" t="str">
        <f t="shared" si="1"/>
        <v>PV_.PX.HTG._.PTC.Utility_Scale</v>
      </c>
      <c r="BF7" s="91" t="str">
        <f t="shared" si="1"/>
        <v>PV_.PX.NTN._.PTC.Utility_Scale</v>
      </c>
      <c r="BG7" s="91" t="str">
        <f t="shared" si="1"/>
        <v>PV_.PX.UTS._.PTC.Utility_Scale</v>
      </c>
      <c r="CG7" s="91" t="s">
        <v>239</v>
      </c>
      <c r="CH7" s="91" t="s">
        <v>144</v>
      </c>
      <c r="CI7" s="91" t="s">
        <v>144</v>
      </c>
      <c r="CJ7" s="91" t="s">
        <v>144</v>
      </c>
      <c r="CK7" s="91" t="s">
        <v>147</v>
      </c>
      <c r="CL7" s="91" t="s">
        <v>147</v>
      </c>
      <c r="CM7" s="91" t="s">
        <v>147</v>
      </c>
      <c r="CN7" s="91" t="s">
        <v>242</v>
      </c>
      <c r="CO7" s="91" t="s">
        <v>249</v>
      </c>
      <c r="CP7" s="91" t="s">
        <v>250</v>
      </c>
      <c r="CQ7" s="91" t="s">
        <v>141</v>
      </c>
    </row>
    <row r="8" spans="1:161" s="91" customFormat="1" ht="40.700000000000003" customHeight="1">
      <c r="B8" s="92"/>
      <c r="C8" s="92"/>
      <c r="D8" s="92"/>
      <c r="E8" s="93"/>
      <c r="F8" s="94"/>
      <c r="G8" s="93" t="s">
        <v>14</v>
      </c>
      <c r="H8" s="96"/>
      <c r="I8" s="98"/>
      <c r="J8" s="93"/>
      <c r="K8"/>
      <c r="L8"/>
      <c r="M8"/>
      <c r="P8" s="91" t="str">
        <f t="shared" ref="P8:Y9" si="2">AX8</f>
        <v>WD_.PX.BDG._.PTC.Utility_Scale</v>
      </c>
      <c r="Q8" s="91" t="str">
        <f t="shared" si="2"/>
        <v>WD_.PX.BDG._.PTC.Utility_Scale</v>
      </c>
      <c r="R8" s="91" t="str">
        <f t="shared" si="2"/>
        <v>WD_.PX.BDG._.PTC.Utility_Scale</v>
      </c>
      <c r="S8" s="91" t="str">
        <f t="shared" si="2"/>
        <v>WD_.PX.DJW._.PTC.Utility_Scale</v>
      </c>
      <c r="T8" s="91" t="str">
        <f t="shared" si="2"/>
        <v>WD_.PX.DJW._.PTC.Utility_Scale</v>
      </c>
      <c r="U8" s="91" t="str">
        <f t="shared" si="2"/>
        <v>WD_.PX.DJW._.PTC.Utility_Scale</v>
      </c>
      <c r="V8" s="91" t="str">
        <f t="shared" si="2"/>
        <v>PV_.PX.BDG._.PTC.Utility_Scale</v>
      </c>
      <c r="W8" s="91" t="str">
        <f t="shared" si="2"/>
        <v>PV_.PX.HTG._.PTC.Utility_Scale</v>
      </c>
      <c r="X8" s="91" t="str">
        <f t="shared" si="2"/>
        <v>PV_.PX.NTN._.PTC.Utility_Scale</v>
      </c>
      <c r="Y8" s="91" t="str">
        <f t="shared" si="2"/>
        <v>PV_.PX.UTS._.PTC.Utility_Scale</v>
      </c>
      <c r="Z8" s="91">
        <f t="shared" ref="Z8:AI9" si="3">BH8</f>
        <v>0</v>
      </c>
      <c r="AA8" s="91">
        <f t="shared" si="3"/>
        <v>0</v>
      </c>
      <c r="AB8" s="91">
        <f t="shared" si="3"/>
        <v>0</v>
      </c>
      <c r="AC8" s="91">
        <f t="shared" si="3"/>
        <v>0</v>
      </c>
      <c r="AD8" s="91">
        <f t="shared" si="3"/>
        <v>0</v>
      </c>
      <c r="AE8" s="91">
        <f t="shared" si="3"/>
        <v>0</v>
      </c>
      <c r="AF8" s="91">
        <f t="shared" si="3"/>
        <v>0</v>
      </c>
      <c r="AG8" s="91">
        <f t="shared" si="3"/>
        <v>0</v>
      </c>
      <c r="AH8" s="91">
        <f t="shared" si="3"/>
        <v>0</v>
      </c>
      <c r="AI8" s="91">
        <f t="shared" si="3"/>
        <v>0</v>
      </c>
      <c r="AJ8" s="91">
        <f t="shared" ref="AJ8:AS9" si="4">BR8</f>
        <v>0</v>
      </c>
      <c r="AK8" s="91">
        <f t="shared" si="4"/>
        <v>0</v>
      </c>
      <c r="AL8" s="91">
        <f t="shared" si="4"/>
        <v>0</v>
      </c>
      <c r="AM8" s="91">
        <f t="shared" si="4"/>
        <v>0</v>
      </c>
      <c r="AN8" s="91">
        <f t="shared" si="4"/>
        <v>0</v>
      </c>
      <c r="AO8" s="91">
        <f t="shared" si="4"/>
        <v>0</v>
      </c>
      <c r="AP8" s="91">
        <f t="shared" si="4"/>
        <v>0</v>
      </c>
      <c r="AQ8" s="91">
        <f t="shared" si="4"/>
        <v>0</v>
      </c>
      <c r="AR8" s="91">
        <f t="shared" si="4"/>
        <v>0</v>
      </c>
      <c r="AS8" s="91">
        <f t="shared" si="4"/>
        <v>0</v>
      </c>
      <c r="AT8" s="91">
        <f t="shared" ref="AT8:AU9" si="5">CB8</f>
        <v>0</v>
      </c>
      <c r="AU8" s="91">
        <f t="shared" si="5"/>
        <v>0</v>
      </c>
      <c r="AX8" s="91" t="str">
        <f>CH8</f>
        <v>WD_.PX.BDG._.PTC.Utility_Scale</v>
      </c>
      <c r="AY8" s="91" t="str">
        <f t="shared" si="1"/>
        <v>WD_.PX.BDG._.PTC.Utility_Scale</v>
      </c>
      <c r="AZ8" s="91" t="str">
        <f t="shared" si="1"/>
        <v>WD_.PX.BDG._.PTC.Utility_Scale</v>
      </c>
      <c r="BA8" s="91" t="str">
        <f t="shared" si="1"/>
        <v>WD_.PX.DJW._.PTC.Utility_Scale</v>
      </c>
      <c r="BB8" s="91" t="str">
        <f t="shared" si="1"/>
        <v>WD_.PX.DJW._.PTC.Utility_Scale</v>
      </c>
      <c r="BC8" s="91" t="str">
        <f t="shared" si="1"/>
        <v>WD_.PX.DJW._.PTC.Utility_Scale</v>
      </c>
      <c r="BD8" s="91" t="str">
        <f t="shared" si="1"/>
        <v>PV_.PX.BDG._.PTC.Utility_Scale</v>
      </c>
      <c r="BE8" s="91" t="str">
        <f t="shared" si="1"/>
        <v>PV_.PX.HTG._.PTC.Utility_Scale</v>
      </c>
      <c r="BF8" s="91" t="str">
        <f t="shared" si="1"/>
        <v>PV_.PX.NTN._.PTC.Utility_Scale</v>
      </c>
      <c r="BG8" s="91" t="str">
        <f t="shared" si="1"/>
        <v>PV_.PX.UTS._.PTC.Utility_Scale</v>
      </c>
      <c r="CG8" s="99" t="s">
        <v>67</v>
      </c>
      <c r="CH8" s="91" t="s">
        <v>144</v>
      </c>
      <c r="CI8" s="91" t="s">
        <v>144</v>
      </c>
      <c r="CJ8" s="91" t="s">
        <v>144</v>
      </c>
      <c r="CK8" s="91" t="s">
        <v>147</v>
      </c>
      <c r="CL8" s="91" t="s">
        <v>147</v>
      </c>
      <c r="CM8" s="91" t="s">
        <v>147</v>
      </c>
      <c r="CN8" s="91" t="s">
        <v>242</v>
      </c>
      <c r="CO8" s="91" t="s">
        <v>249</v>
      </c>
      <c r="CP8" s="91" t="s">
        <v>250</v>
      </c>
      <c r="CQ8" s="91" t="s">
        <v>141</v>
      </c>
      <c r="DR8" s="99" t="s">
        <v>68</v>
      </c>
      <c r="DS8" s="99"/>
      <c r="DT8" s="99"/>
      <c r="FD8" s="87" t="s">
        <v>67</v>
      </c>
      <c r="FE8" s="88" t="s">
        <v>68</v>
      </c>
    </row>
    <row r="9" spans="1:161" s="91" customFormat="1" ht="76.7" customHeight="1">
      <c r="B9" s="92"/>
      <c r="C9" s="93" t="s">
        <v>6</v>
      </c>
      <c r="D9" s="93"/>
      <c r="E9" s="93" t="s">
        <v>18</v>
      </c>
      <c r="F9" s="94"/>
      <c r="G9" s="95">
        <f ca="1">Study_CF</f>
        <v>0.30219999999999997</v>
      </c>
      <c r="H9" s="33"/>
      <c r="I9" s="329"/>
      <c r="J9" s="101"/>
      <c r="K9" s="330"/>
      <c r="L9"/>
      <c r="M9"/>
      <c r="P9" s="206" t="str">
        <f t="shared" si="2"/>
        <v>WD_.PX.BDG._.PTC.Utility_Scale2029</v>
      </c>
      <c r="Q9" s="206" t="str">
        <f t="shared" si="2"/>
        <v>WD_.PX.BDG._.PTC.Utility_Scale2030</v>
      </c>
      <c r="R9" s="206" t="str">
        <f t="shared" si="2"/>
        <v>WD_.PX.BDG._.PTC.Utility_Scale2031</v>
      </c>
      <c r="S9" s="206" t="str">
        <f t="shared" si="2"/>
        <v>WD_.PX.DJW._.PTC.Utility_Scale2029</v>
      </c>
      <c r="T9" s="206" t="str">
        <f t="shared" si="2"/>
        <v>WD_.PX.DJW._.PTC.Utility_Scale2030</v>
      </c>
      <c r="U9" s="206" t="str">
        <f t="shared" si="2"/>
        <v>WD_.PX.DJW._.PTC.Utility_Scale2031</v>
      </c>
      <c r="V9" s="206" t="str">
        <f t="shared" si="2"/>
        <v>PV_.PX.BDG._.PTC.Utility_Scale2031</v>
      </c>
      <c r="W9" s="206" t="str">
        <f t="shared" si="2"/>
        <v>PV_.PX.HTG._.PTC.Utility_Scale2031</v>
      </c>
      <c r="X9" s="206" t="str">
        <f t="shared" si="2"/>
        <v>PV_.PX.NTN._.PTC.Utility_Scale2031</v>
      </c>
      <c r="Y9" s="206" t="str">
        <f t="shared" si="2"/>
        <v>PV_.PX.UTS._.PTC.Utility_Scale2031</v>
      </c>
      <c r="Z9" s="206">
        <f t="shared" si="3"/>
        <v>0</v>
      </c>
      <c r="AA9" s="206">
        <f t="shared" si="3"/>
        <v>0</v>
      </c>
      <c r="AB9" s="206">
        <f t="shared" si="3"/>
        <v>0</v>
      </c>
      <c r="AC9" s="206">
        <f t="shared" si="3"/>
        <v>0</v>
      </c>
      <c r="AD9" s="206">
        <f t="shared" si="3"/>
        <v>0</v>
      </c>
      <c r="AE9" s="206">
        <f t="shared" si="3"/>
        <v>0</v>
      </c>
      <c r="AF9" s="206">
        <f t="shared" si="3"/>
        <v>0</v>
      </c>
      <c r="AG9" s="206">
        <f t="shared" si="3"/>
        <v>0</v>
      </c>
      <c r="AH9" s="206">
        <f t="shared" si="3"/>
        <v>0</v>
      </c>
      <c r="AI9" s="206">
        <f t="shared" si="3"/>
        <v>0</v>
      </c>
      <c r="AJ9" s="206">
        <f t="shared" si="4"/>
        <v>0</v>
      </c>
      <c r="AK9" s="206">
        <f t="shared" si="4"/>
        <v>0</v>
      </c>
      <c r="AL9" s="206">
        <f t="shared" si="4"/>
        <v>0</v>
      </c>
      <c r="AM9" s="206">
        <f t="shared" si="4"/>
        <v>0</v>
      </c>
      <c r="AN9" s="206">
        <f t="shared" si="4"/>
        <v>0</v>
      </c>
      <c r="AO9" s="206">
        <f t="shared" si="4"/>
        <v>0</v>
      </c>
      <c r="AP9" s="206">
        <f t="shared" si="4"/>
        <v>0</v>
      </c>
      <c r="AQ9" s="206">
        <f t="shared" si="4"/>
        <v>0</v>
      </c>
      <c r="AR9" s="206">
        <f t="shared" si="4"/>
        <v>0</v>
      </c>
      <c r="AS9" s="206">
        <f t="shared" si="4"/>
        <v>0</v>
      </c>
      <c r="AT9" s="206">
        <f t="shared" si="5"/>
        <v>0</v>
      </c>
      <c r="AU9" s="206">
        <f t="shared" si="5"/>
        <v>0</v>
      </c>
      <c r="AX9" s="206" t="str">
        <f>CH9</f>
        <v>WD_.PX.BDG._.PTC.Utility_Scale2029</v>
      </c>
      <c r="AY9" s="206" t="str">
        <f t="shared" si="1"/>
        <v>WD_.PX.BDG._.PTC.Utility_Scale2030</v>
      </c>
      <c r="AZ9" s="206" t="str">
        <f t="shared" si="1"/>
        <v>WD_.PX.BDG._.PTC.Utility_Scale2031</v>
      </c>
      <c r="BA9" s="206" t="str">
        <f t="shared" si="1"/>
        <v>WD_.PX.DJW._.PTC.Utility_Scale2029</v>
      </c>
      <c r="BB9" s="206" t="str">
        <f t="shared" si="1"/>
        <v>WD_.PX.DJW._.PTC.Utility_Scale2030</v>
      </c>
      <c r="BC9" s="206" t="str">
        <f t="shared" si="1"/>
        <v>WD_.PX.DJW._.PTC.Utility_Scale2031</v>
      </c>
      <c r="BD9" s="206" t="str">
        <f t="shared" si="1"/>
        <v>PV_.PX.BDG._.PTC.Utility_Scale2031</v>
      </c>
      <c r="BE9" s="206" t="str">
        <f t="shared" si="1"/>
        <v>PV_.PX.HTG._.PTC.Utility_Scale2031</v>
      </c>
      <c r="BF9" s="206" t="str">
        <f t="shared" si="1"/>
        <v>PV_.PX.NTN._.PTC.Utility_Scale2031</v>
      </c>
      <c r="BG9" s="206" t="str">
        <f t="shared" si="1"/>
        <v>PV_.PX.UTS._.PTC.Utility_Scale2031</v>
      </c>
      <c r="BH9" s="206"/>
      <c r="BI9" s="206"/>
      <c r="BJ9" s="206"/>
      <c r="BK9" s="206"/>
      <c r="BL9" s="206"/>
      <c r="BM9" s="206"/>
      <c r="BN9" s="206"/>
      <c r="BO9" s="206"/>
      <c r="BP9" s="206"/>
      <c r="BQ9" s="206"/>
      <c r="BR9" s="206"/>
      <c r="BS9" s="206"/>
      <c r="BT9" s="206"/>
      <c r="BU9" s="206"/>
      <c r="BV9" s="206"/>
      <c r="BW9" s="206"/>
      <c r="BX9" s="206"/>
      <c r="BY9" s="206"/>
      <c r="BZ9" s="206"/>
      <c r="CA9" s="206"/>
      <c r="CB9" s="206"/>
      <c r="CC9" s="206"/>
      <c r="CD9" s="206"/>
      <c r="CE9" s="206"/>
      <c r="CH9" s="206" t="s">
        <v>289</v>
      </c>
      <c r="CI9" s="206" t="s">
        <v>290</v>
      </c>
      <c r="CJ9" s="206" t="s">
        <v>291</v>
      </c>
      <c r="CK9" s="206" t="s">
        <v>192</v>
      </c>
      <c r="CL9" s="206" t="s">
        <v>292</v>
      </c>
      <c r="CM9" s="206" t="s">
        <v>293</v>
      </c>
      <c r="CN9" s="180" t="s">
        <v>295</v>
      </c>
      <c r="CO9" s="180" t="s">
        <v>296</v>
      </c>
      <c r="CP9" s="180" t="s">
        <v>297</v>
      </c>
      <c r="CQ9" s="180" t="s">
        <v>298</v>
      </c>
      <c r="CR9" s="180"/>
      <c r="CS9" s="180"/>
      <c r="CT9" s="180"/>
      <c r="CU9" s="180"/>
      <c r="CV9" s="180"/>
      <c r="CW9" s="180"/>
      <c r="CX9" s="180"/>
      <c r="CY9" s="180"/>
      <c r="CZ9" s="180"/>
      <c r="DA9" s="180"/>
      <c r="DR9" s="91" t="str">
        <f t="shared" ref="DR9:ET9" si="6">CH9</f>
        <v>WD_.PX.BDG._.PTC.Utility_Scale2029</v>
      </c>
      <c r="DS9" s="91" t="str">
        <f t="shared" si="6"/>
        <v>WD_.PX.BDG._.PTC.Utility_Scale2030</v>
      </c>
      <c r="DT9" s="91" t="str">
        <f t="shared" si="6"/>
        <v>WD_.PX.BDG._.PTC.Utility_Scale2031</v>
      </c>
      <c r="DU9" s="91" t="str">
        <f t="shared" si="6"/>
        <v>WD_.PX.DJW._.PTC.Utility_Scale2029</v>
      </c>
      <c r="DV9" s="101" t="str">
        <f t="shared" si="6"/>
        <v>WD_.PX.DJW._.PTC.Utility_Scale2030</v>
      </c>
      <c r="DW9" s="91" t="str">
        <f t="shared" si="6"/>
        <v>WD_.PX.DJW._.PTC.Utility_Scale2031</v>
      </c>
      <c r="DX9" s="101" t="str">
        <f t="shared" si="6"/>
        <v>PV_.PX.BDG._.PTC.Utility_Scale2031</v>
      </c>
      <c r="DY9" s="91" t="str">
        <f t="shared" si="6"/>
        <v>PV_.PX.HTG._.PTC.Utility_Scale2031</v>
      </c>
      <c r="DZ9" s="91" t="str">
        <f t="shared" si="6"/>
        <v>PV_.PX.NTN._.PTC.Utility_Scale2031</v>
      </c>
      <c r="EA9" s="91" t="str">
        <f t="shared" si="6"/>
        <v>PV_.PX.UTS._.PTC.Utility_Scale2031</v>
      </c>
      <c r="EB9" s="91">
        <f t="shared" si="6"/>
        <v>0</v>
      </c>
      <c r="EC9" s="91">
        <f t="shared" si="6"/>
        <v>0</v>
      </c>
      <c r="ED9" s="91">
        <f t="shared" si="6"/>
        <v>0</v>
      </c>
      <c r="EE9" s="91">
        <f t="shared" si="6"/>
        <v>0</v>
      </c>
      <c r="EF9" s="91">
        <f t="shared" si="6"/>
        <v>0</v>
      </c>
      <c r="EG9" s="91">
        <f t="shared" si="6"/>
        <v>0</v>
      </c>
      <c r="EH9" s="91">
        <f t="shared" si="6"/>
        <v>0</v>
      </c>
      <c r="EI9" s="91">
        <f t="shared" si="6"/>
        <v>0</v>
      </c>
      <c r="EJ9" s="91">
        <f t="shared" si="6"/>
        <v>0</v>
      </c>
      <c r="EK9" s="91">
        <f t="shared" si="6"/>
        <v>0</v>
      </c>
      <c r="EL9" s="91">
        <f t="shared" si="6"/>
        <v>0</v>
      </c>
      <c r="EM9" s="91">
        <f t="shared" si="6"/>
        <v>0</v>
      </c>
      <c r="EN9" s="91">
        <f t="shared" si="6"/>
        <v>0</v>
      </c>
      <c r="EO9" s="91">
        <f t="shared" si="6"/>
        <v>0</v>
      </c>
      <c r="EP9" s="91">
        <f t="shared" si="6"/>
        <v>0</v>
      </c>
      <c r="EQ9" s="91">
        <f t="shared" si="6"/>
        <v>0</v>
      </c>
      <c r="ER9" s="91">
        <f t="shared" si="6"/>
        <v>0</v>
      </c>
      <c r="ES9" s="91">
        <f t="shared" si="6"/>
        <v>0</v>
      </c>
      <c r="ET9" s="91">
        <f t="shared" si="6"/>
        <v>0</v>
      </c>
      <c r="FA9" s="91" t="s">
        <v>69</v>
      </c>
      <c r="FD9" s="91" t="s">
        <v>241</v>
      </c>
      <c r="FE9" s="91" t="str">
        <f>FD9</f>
        <v>Cluster 2/3 - Willamette Valley - Fry-Full Circle 230 kV</v>
      </c>
    </row>
    <row r="10" spans="1:161">
      <c r="A10"/>
      <c r="B10" s="5" t="s">
        <v>0</v>
      </c>
      <c r="C10" s="5" t="str">
        <f>"Price"&amp;IF(I8&lt;&gt;1," ","")</f>
        <v xml:space="preserve">Price </v>
      </c>
      <c r="D10" s="5"/>
      <c r="E10" s="5" t="s">
        <v>19</v>
      </c>
      <c r="F10" s="35"/>
      <c r="G10" s="5" t="s">
        <v>15</v>
      </c>
      <c r="H10" s="173"/>
      <c r="I10" s="5"/>
      <c r="J10" s="173"/>
      <c r="K10" s="178"/>
      <c r="Z10"/>
    </row>
    <row r="11" spans="1:161" ht="13.5">
      <c r="A11"/>
      <c r="B11" s="5"/>
      <c r="C11" s="5" t="s">
        <v>16</v>
      </c>
      <c r="D11" s="5"/>
      <c r="E11" s="209" t="s">
        <v>50</v>
      </c>
      <c r="F11" s="35"/>
      <c r="G11" s="5" t="s">
        <v>31</v>
      </c>
      <c r="H11" s="5"/>
      <c r="I11" s="5"/>
      <c r="J11" s="5"/>
      <c r="K11" s="5"/>
      <c r="P11" t="s">
        <v>32</v>
      </c>
      <c r="Q11" t="s">
        <v>32</v>
      </c>
      <c r="R11" t="s">
        <v>32</v>
      </c>
      <c r="S11" t="s">
        <v>32</v>
      </c>
      <c r="T11" t="s">
        <v>32</v>
      </c>
      <c r="U11" t="s">
        <v>32</v>
      </c>
      <c r="V11" t="s">
        <v>32</v>
      </c>
      <c r="W11" t="s">
        <v>32</v>
      </c>
      <c r="X11" t="s">
        <v>32</v>
      </c>
      <c r="Y11" t="s">
        <v>32</v>
      </c>
      <c r="Z11" t="s">
        <v>32</v>
      </c>
      <c r="AA11" t="s">
        <v>32</v>
      </c>
      <c r="AB11" t="s">
        <v>32</v>
      </c>
      <c r="AC11" t="s">
        <v>32</v>
      </c>
      <c r="AD11" t="s">
        <v>32</v>
      </c>
      <c r="AE11" t="s">
        <v>32</v>
      </c>
      <c r="AF11" t="s">
        <v>32</v>
      </c>
      <c r="AG11" t="s">
        <v>32</v>
      </c>
      <c r="AH11" t="s">
        <v>32</v>
      </c>
      <c r="AI11" t="s">
        <v>32</v>
      </c>
      <c r="AJ11" t="s">
        <v>32</v>
      </c>
      <c r="AK11" t="s">
        <v>32</v>
      </c>
      <c r="AL11" t="s">
        <v>32</v>
      </c>
      <c r="AM11" t="s">
        <v>32</v>
      </c>
      <c r="AN11" t="s">
        <v>32</v>
      </c>
      <c r="AO11" t="s">
        <v>32</v>
      </c>
      <c r="AP11" t="s">
        <v>32</v>
      </c>
      <c r="AQ11" t="s">
        <v>32</v>
      </c>
      <c r="AR11" t="s">
        <v>32</v>
      </c>
      <c r="AS11" t="s">
        <v>32</v>
      </c>
      <c r="AT11" t="s">
        <v>32</v>
      </c>
      <c r="AU11" t="s">
        <v>32</v>
      </c>
      <c r="AX11" t="s">
        <v>32</v>
      </c>
      <c r="AY11" t="s">
        <v>32</v>
      </c>
      <c r="BC11" t="s">
        <v>32</v>
      </c>
      <c r="CH11" t="s">
        <v>70</v>
      </c>
      <c r="CI11" t="s">
        <v>70</v>
      </c>
      <c r="CJ11" t="s">
        <v>70</v>
      </c>
      <c r="CK11" t="s">
        <v>70</v>
      </c>
      <c r="CL11" t="s">
        <v>70</v>
      </c>
      <c r="CM11" t="s">
        <v>70</v>
      </c>
      <c r="CN11" t="s">
        <v>70</v>
      </c>
      <c r="CO11" t="s">
        <v>70</v>
      </c>
      <c r="CP11" t="s">
        <v>70</v>
      </c>
      <c r="CQ11" t="s">
        <v>70</v>
      </c>
      <c r="DR11" t="s">
        <v>71</v>
      </c>
      <c r="DS11" t="s">
        <v>71</v>
      </c>
      <c r="DT11" t="s">
        <v>71</v>
      </c>
      <c r="DU11" t="s">
        <v>71</v>
      </c>
      <c r="DV11" t="s">
        <v>71</v>
      </c>
      <c r="DW11" t="s">
        <v>71</v>
      </c>
      <c r="DX11" t="s">
        <v>71</v>
      </c>
      <c r="DY11" t="s">
        <v>71</v>
      </c>
      <c r="DZ11" t="s">
        <v>71</v>
      </c>
      <c r="EA11" t="s">
        <v>71</v>
      </c>
      <c r="EB11" t="s">
        <v>71</v>
      </c>
      <c r="EC11" t="s">
        <v>71</v>
      </c>
      <c r="ED11" t="s">
        <v>71</v>
      </c>
      <c r="EE11" t="s">
        <v>71</v>
      </c>
      <c r="EF11" t="s">
        <v>71</v>
      </c>
      <c r="EG11" t="s">
        <v>71</v>
      </c>
      <c r="EH11" t="s">
        <v>71</v>
      </c>
      <c r="EI11" t="s">
        <v>71</v>
      </c>
      <c r="EJ11" t="s">
        <v>71</v>
      </c>
      <c r="EK11" t="s">
        <v>71</v>
      </c>
      <c r="EL11" t="s">
        <v>71</v>
      </c>
      <c r="EM11" t="s">
        <v>71</v>
      </c>
      <c r="EN11" t="s">
        <v>71</v>
      </c>
      <c r="EO11" t="s">
        <v>71</v>
      </c>
      <c r="EP11" t="s">
        <v>71</v>
      </c>
      <c r="EQ11" t="s">
        <v>71</v>
      </c>
      <c r="ER11" t="s">
        <v>71</v>
      </c>
      <c r="ES11" t="s">
        <v>71</v>
      </c>
      <c r="ET11" t="s">
        <v>71</v>
      </c>
      <c r="FA11" t="s">
        <v>71</v>
      </c>
      <c r="FD11" t="s">
        <v>70</v>
      </c>
      <c r="FE11" t="s">
        <v>71</v>
      </c>
    </row>
    <row r="12" spans="1:161">
      <c r="A12"/>
      <c r="B12" s="5"/>
      <c r="C12" s="106"/>
      <c r="D12" s="5"/>
      <c r="E12" s="5"/>
      <c r="F12" s="5"/>
      <c r="H12" s="96"/>
      <c r="I12" s="92"/>
      <c r="J12" s="91"/>
      <c r="K12" s="91"/>
      <c r="L12" s="91"/>
      <c r="M12" s="91"/>
    </row>
    <row r="13" spans="1:161">
      <c r="A13"/>
      <c r="B13" s="210">
        <f>'Table 5'!J13</f>
        <v>2026</v>
      </c>
      <c r="C13" s="8">
        <f t="shared" ref="C13:C41" si="7">(INDEX($FA:$FA,MATCH(B13,$O:$O,0),1)+INDEX($FE:$FE,MATCH(B13,$O:$O,0),1))*1000/Study_MW</f>
        <v>0</v>
      </c>
      <c r="D13" s="211"/>
      <c r="E13" s="8">
        <f ca="1">SUMIF(INDIRECT("'Table 5'!$J$"&amp;$K$3&amp;":$J$"&amp;$K$4),B13,INDIRECT("'Table 5'!$c$"&amp;$K$3&amp;":$c$"&amp;$K$4))/SUMIF(INDIRECT("'Table 5'!$J$"&amp;$K$3&amp;":$J$"&amp;$K$4),B13,INDIRECT("'Table 5'!$f$"&amp;$K$3&amp;":$f$"&amp;$K$4))</f>
        <v>17.652995712482191</v>
      </c>
      <c r="F13" s="33"/>
      <c r="G13" s="8">
        <f ca="1">SUMIF(INDIRECT("'Table 5'!$J$"&amp;$K$3&amp;":$J$"&amp;$K$4),B13,INDIRECT("'Table 5'!$e$"&amp;$K$3&amp;":$e$"&amp;$K$4))/SUMIF(INDIRECT("'Table 5'!$J$"&amp;$K$3&amp;":$J$"&amp;$K$4),B13,INDIRECT("'Table 5'!$f$"&amp;$K$3&amp;":$f$"&amp;$K$4))</f>
        <v>17.652995712482191</v>
      </c>
      <c r="H13" s="8"/>
      <c r="I13" s="331"/>
      <c r="J13" s="331"/>
      <c r="K13" s="331"/>
      <c r="O13">
        <f t="shared" ref="O13:O32" si="8">B13</f>
        <v>2026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X13">
        <f t="shared" ref="AX13:AX34" si="9">P13/P$5</f>
        <v>0</v>
      </c>
      <c r="AY13">
        <f t="shared" ref="AY13:AY41" si="10">Q13/Q$5</f>
        <v>0</v>
      </c>
      <c r="AZ13">
        <f t="shared" ref="AZ13:AZ41" si="11">R13/R$5</f>
        <v>0</v>
      </c>
      <c r="BA13">
        <f t="shared" ref="BA13:BA41" si="12">S13/S$5</f>
        <v>0</v>
      </c>
      <c r="BB13">
        <f t="shared" ref="BB13:BB41" si="13">T13/T$5</f>
        <v>0</v>
      </c>
      <c r="BC13">
        <f t="shared" ref="BC13:BC41" si="14">U13/U$5</f>
        <v>0</v>
      </c>
      <c r="BD13">
        <f t="shared" ref="BD13:BD41" si="15">V13/V$5</f>
        <v>0</v>
      </c>
      <c r="BE13">
        <f t="shared" ref="BE13:BE41" si="16">W13/W$5</f>
        <v>0</v>
      </c>
      <c r="BF13">
        <f t="shared" ref="BF13:BF41" si="17">X13/X$5</f>
        <v>0</v>
      </c>
      <c r="BG13">
        <f t="shared" ref="BG13:BG41" si="18">Y13/Y$5</f>
        <v>0</v>
      </c>
      <c r="CG13" s="145">
        <f t="shared" ref="CG13:CG34" si="19">O13</f>
        <v>2026</v>
      </c>
      <c r="CH13" s="70">
        <f>INDEX(Table3Compare!$B$6:$K$37,MATCH($CG13,Table3Compare!$A$6:$A$37,0),MATCH(CH$9,Table3Compare!$B$5:$K$5,0))</f>
        <v>0</v>
      </c>
      <c r="CI13" s="70">
        <f>INDEX(Table3Compare!$B$6:$K$37,MATCH($CG13,Table3Compare!$A$6:$A$37,0),MATCH(CI$9,Table3Compare!$B$5:$K$5,0))</f>
        <v>0</v>
      </c>
      <c r="CJ13" s="70">
        <f>INDEX(Table3Compare!$B$6:$K$37,MATCH($CG13,Table3Compare!$A$6:$A$37,0),MATCH(CJ$9,Table3Compare!$B$5:$K$5,0))</f>
        <v>0</v>
      </c>
      <c r="CK13" s="70">
        <f>INDEX(Table3Compare!$B$6:$K$37,MATCH($CG13,Table3Compare!$A$6:$A$37,0),MATCH(CK$9,Table3Compare!$B$5:$K$5,0))</f>
        <v>0</v>
      </c>
      <c r="CL13" s="70">
        <f>INDEX(Table3Compare!$B$6:$K$37,MATCH($CG13,Table3Compare!$A$6:$A$37,0),MATCH(CL$9,Table3Compare!$B$5:$K$5,0))</f>
        <v>0</v>
      </c>
      <c r="CM13" s="70">
        <f>INDEX(Table3Compare!$B$6:$K$37,MATCH($CG13,Table3Compare!$A$6:$A$37,0),MATCH(CM$9,Table3Compare!$B$5:$K$5,0))</f>
        <v>0</v>
      </c>
      <c r="CN13" s="70">
        <f>INDEX(Table3Compare!$B$6:$K$37,MATCH($CG13,Table3Compare!$A$6:$A$37,0),MATCH(CN$9,Table3Compare!$B$5:$K$5,0))</f>
        <v>0</v>
      </c>
      <c r="CO13" s="70">
        <f>INDEX(Table3Compare!$B$6:$K$37,MATCH($CG13,Table3Compare!$A$6:$A$37,0),MATCH(CO$9,Table3Compare!$B$5:$K$5,0))</f>
        <v>0</v>
      </c>
      <c r="CP13" s="70">
        <f>INDEX(Table3Compare!$B$6:$K$37,MATCH($CG13,Table3Compare!$A$6:$A$37,0),MATCH(CP$9,Table3Compare!$B$5:$K$5,0))</f>
        <v>0</v>
      </c>
      <c r="CQ13" s="70">
        <f>INDEX(Table3Compare!$B$6:$K$37,MATCH($CG13,Table3Compare!$A$6:$A$37,0),MATCH(CQ$9,Table3Compare!$B$5:$K$5,0))</f>
        <v>0</v>
      </c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152"/>
      <c r="DR13">
        <f>SUM(AX$13:AX13)*CH13/1000</f>
        <v>0</v>
      </c>
      <c r="DS13">
        <f>SUM(AY$13:AY13)*CI13/1000</f>
        <v>0</v>
      </c>
      <c r="DT13">
        <f>SUM(AZ$13:AZ13)*CJ13/1000</f>
        <v>0</v>
      </c>
      <c r="DU13">
        <f>SUM(BA$13:BA13)*CK13/1000</f>
        <v>0</v>
      </c>
      <c r="DV13">
        <f>SUM(BB$13:BB13)*CL13/1000</f>
        <v>0</v>
      </c>
      <c r="DW13">
        <f>SUM(BC$13:BC13)*CM13/1000</f>
        <v>0</v>
      </c>
      <c r="DX13">
        <f>SUM(BD$13:BD13)*CN13/1000</f>
        <v>0</v>
      </c>
      <c r="DY13">
        <f>SUM(BE$13:BE13)*CO13/1000</f>
        <v>0</v>
      </c>
      <c r="DZ13">
        <f>SUM(BF$13:BF13)*CP13/1000</f>
        <v>0</v>
      </c>
      <c r="EA13">
        <f>SUM(BG$13:BG13)*CQ13/1000</f>
        <v>0</v>
      </c>
      <c r="EB13">
        <f>SUM(BH$13:BH13)*CR13/1000</f>
        <v>0</v>
      </c>
      <c r="EC13">
        <f>SUM(BI$13:BI13)*CS13/1000</f>
        <v>0</v>
      </c>
      <c r="ED13">
        <f>SUM(BJ$13:BJ13)*CT13/1000</f>
        <v>0</v>
      </c>
      <c r="EE13">
        <f>SUM(BK$13:BK13)*CU13/1000</f>
        <v>0</v>
      </c>
      <c r="EF13">
        <f>SUM(BL$13:BL13)*CV13/1000</f>
        <v>0</v>
      </c>
      <c r="EG13">
        <f>SUM(BM$13:BM13)*CW13/1000</f>
        <v>0</v>
      </c>
      <c r="EH13">
        <f>SUM(BN$13:BN13)*CX13/1000</f>
        <v>0</v>
      </c>
      <c r="EI13">
        <f>SUM(BO$13:BO13)*CY13/1000</f>
        <v>0</v>
      </c>
      <c r="EJ13">
        <f>SUM(BP$13:BP13)*CZ13/1000</f>
        <v>0</v>
      </c>
      <c r="EK13">
        <f>SUM(BQ$13:BQ13)*DA13/1000</f>
        <v>0</v>
      </c>
      <c r="EL13">
        <f>SUM(BR$13:BR13)*DB13/1000</f>
        <v>0</v>
      </c>
      <c r="EM13">
        <f>SUM(BS$13:BS13)*DC13/1000</f>
        <v>0</v>
      </c>
      <c r="EN13">
        <f>SUM(BT$13:BT13)*DD13/1000</f>
        <v>0</v>
      </c>
      <c r="EO13">
        <f>SUM(BU$13:BU13)*DE13/1000</f>
        <v>0</v>
      </c>
      <c r="EP13">
        <f>SUM(BV$13:BV13)*DF13/1000</f>
        <v>0</v>
      </c>
      <c r="EQ13">
        <f>SUM(BW$13:BW13)*DG13/1000</f>
        <v>0</v>
      </c>
      <c r="ER13">
        <f>SUM(BX$13:BX13)*DH13/1000</f>
        <v>0</v>
      </c>
      <c r="ES13">
        <f>SUM(BY$13:BY13)*DI13/1000</f>
        <v>0</v>
      </c>
      <c r="ET13">
        <f>SUM(BZ$13:BZ13)*DJ13/1000</f>
        <v>0</v>
      </c>
      <c r="FA13">
        <f t="shared" ref="FA13:FA34" si="20">SUM(DR13:EZ13)</f>
        <v>0</v>
      </c>
      <c r="FC13">
        <f t="shared" ref="FC13:FC34" si="21">O13</f>
        <v>2026</v>
      </c>
      <c r="FD13" s="45"/>
      <c r="FE13" s="86">
        <f>$FD$5*FD13/1000</f>
        <v>0</v>
      </c>
    </row>
    <row r="14" spans="1:161">
      <c r="A14"/>
      <c r="B14" s="210">
        <f t="shared" ref="B14:B41" si="22">B13+1</f>
        <v>2027</v>
      </c>
      <c r="C14" s="8">
        <f t="shared" si="7"/>
        <v>0</v>
      </c>
      <c r="D14" s="211"/>
      <c r="E14" s="8">
        <f t="shared" ref="E14:E32" ca="1" si="23">SUMIF(INDIRECT("'Table 5'!$J$"&amp;$K$3&amp;":$J$"&amp;$K$4),B14,INDIRECT("'Table 5'!$c$"&amp;$K$3&amp;":$c$"&amp;$K$4))/SUMIF(INDIRECT("'Table 5'!$J$"&amp;$K$3&amp;":$J$"&amp;$K$4),B14,INDIRECT("'Table 5'!$f$"&amp;$K$3&amp;":$f$"&amp;$K$4))</f>
        <v>20.835954233888607</v>
      </c>
      <c r="F14" s="33"/>
      <c r="G14" s="8">
        <f t="shared" ref="G14:G32" ca="1" si="24">SUMIF(INDIRECT("'Table 5'!$J$"&amp;$K$3&amp;":$J$"&amp;$K$4),B14,INDIRECT("'Table 5'!$e$"&amp;$K$3&amp;":$e$"&amp;$K$4))/SUMIF(INDIRECT("'Table 5'!$J$"&amp;$K$3&amp;":$J$"&amp;$K$4),B14,INDIRECT("'Table 5'!$f$"&amp;$K$3&amp;":$f$"&amp;$K$4))</f>
        <v>20.835954233888607</v>
      </c>
      <c r="H14" s="8"/>
      <c r="I14" s="331"/>
      <c r="J14" s="331"/>
      <c r="K14" s="331"/>
      <c r="O14">
        <f t="shared" si="8"/>
        <v>2027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X14">
        <f t="shared" si="9"/>
        <v>0</v>
      </c>
      <c r="AY14">
        <f t="shared" si="10"/>
        <v>0</v>
      </c>
      <c r="AZ14">
        <f t="shared" si="11"/>
        <v>0</v>
      </c>
      <c r="BA14">
        <f t="shared" si="12"/>
        <v>0</v>
      </c>
      <c r="BB14">
        <f t="shared" si="13"/>
        <v>0</v>
      </c>
      <c r="BC14">
        <f t="shared" si="14"/>
        <v>0</v>
      </c>
      <c r="BD14">
        <f t="shared" si="15"/>
        <v>0</v>
      </c>
      <c r="BE14">
        <f t="shared" si="16"/>
        <v>0</v>
      </c>
      <c r="BF14">
        <f t="shared" si="17"/>
        <v>0</v>
      </c>
      <c r="BG14">
        <f t="shared" si="18"/>
        <v>0</v>
      </c>
      <c r="CG14" s="145">
        <f t="shared" si="19"/>
        <v>2027</v>
      </c>
      <c r="CH14" s="70">
        <f>INDEX(Table3Compare!$B$6:$K$37,MATCH($CG14,Table3Compare!$A$6:$A$37,0),MATCH(CH$9,Table3Compare!$B$5:$K$5,0))</f>
        <v>0</v>
      </c>
      <c r="CI14" s="70">
        <f>INDEX(Table3Compare!$B$6:$K$37,MATCH($CG14,Table3Compare!$A$6:$A$37,0),MATCH(CI$9,Table3Compare!$B$5:$K$5,0))</f>
        <v>0</v>
      </c>
      <c r="CJ14" s="70">
        <f>INDEX(Table3Compare!$B$6:$K$37,MATCH($CG14,Table3Compare!$A$6:$A$37,0),MATCH(CJ$9,Table3Compare!$B$5:$K$5,0))</f>
        <v>0</v>
      </c>
      <c r="CK14" s="70">
        <f>INDEX(Table3Compare!$B$6:$K$37,MATCH($CG14,Table3Compare!$A$6:$A$37,0),MATCH(CK$9,Table3Compare!$B$5:$K$5,0))</f>
        <v>0</v>
      </c>
      <c r="CL14" s="70">
        <f>INDEX(Table3Compare!$B$6:$K$37,MATCH($CG14,Table3Compare!$A$6:$A$37,0),MATCH(CL$9,Table3Compare!$B$5:$K$5,0))</f>
        <v>0</v>
      </c>
      <c r="CM14" s="70">
        <f>INDEX(Table3Compare!$B$6:$K$37,MATCH($CG14,Table3Compare!$A$6:$A$37,0),MATCH(CM$9,Table3Compare!$B$5:$K$5,0))</f>
        <v>0</v>
      </c>
      <c r="CN14" s="70">
        <f>INDEX(Table3Compare!$B$6:$K$37,MATCH($CG14,Table3Compare!$A$6:$A$37,0),MATCH(CN$9,Table3Compare!$B$5:$K$5,0))</f>
        <v>0</v>
      </c>
      <c r="CO14" s="70">
        <f>INDEX(Table3Compare!$B$6:$K$37,MATCH($CG14,Table3Compare!$A$6:$A$37,0),MATCH(CO$9,Table3Compare!$B$5:$K$5,0))</f>
        <v>0</v>
      </c>
      <c r="CP14" s="70">
        <f>INDEX(Table3Compare!$B$6:$K$37,MATCH($CG14,Table3Compare!$A$6:$A$37,0),MATCH(CP$9,Table3Compare!$B$5:$K$5,0))</f>
        <v>0</v>
      </c>
      <c r="CQ14" s="70">
        <f>INDEX(Table3Compare!$B$6:$K$37,MATCH($CG14,Table3Compare!$A$6:$A$37,0),MATCH(CQ$9,Table3Compare!$B$5:$K$5,0))</f>
        <v>0</v>
      </c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152"/>
      <c r="DG14" s="152"/>
      <c r="DH14" s="70"/>
      <c r="DI14" s="152"/>
      <c r="DJ14" s="152"/>
      <c r="DK14" s="152"/>
      <c r="DL14" s="152"/>
      <c r="DM14" s="152"/>
      <c r="DR14">
        <f>SUM(AX$13:AX14)*CH14/1000</f>
        <v>0</v>
      </c>
      <c r="DS14">
        <f>SUM(AY$13:AY14)*CI14/1000</f>
        <v>0</v>
      </c>
      <c r="DT14">
        <f>SUM(AZ$13:AZ14)*CJ14/1000</f>
        <v>0</v>
      </c>
      <c r="DU14">
        <f>SUM(BA$13:BA14)*CK14/1000</f>
        <v>0</v>
      </c>
      <c r="DV14">
        <f>SUM(BB$13:BB14)*CL14/1000</f>
        <v>0</v>
      </c>
      <c r="DW14">
        <f>SUM(BC$13:BC14)*CM14/1000</f>
        <v>0</v>
      </c>
      <c r="DX14">
        <f>SUM(BD$13:BD14)*CN14/1000</f>
        <v>0</v>
      </c>
      <c r="DY14">
        <f>SUM(BE$13:BE14)*CO14/1000</f>
        <v>0</v>
      </c>
      <c r="DZ14">
        <f>SUM(BF$13:BF14)*CP14/1000</f>
        <v>0</v>
      </c>
      <c r="EA14">
        <f>SUM(BG$13:BG14)*CQ14/1000</f>
        <v>0</v>
      </c>
      <c r="EB14">
        <f>SUM(BH$13:BH14)*CR14/1000</f>
        <v>0</v>
      </c>
      <c r="EC14">
        <f>SUM(BI$13:BI14)*CS14/1000</f>
        <v>0</v>
      </c>
      <c r="ED14">
        <f>SUM(BJ$13:BJ14)*CT14/1000</f>
        <v>0</v>
      </c>
      <c r="EE14">
        <f>SUM(BK$13:BK14)*CU14/1000</f>
        <v>0</v>
      </c>
      <c r="EF14">
        <f>SUM(BL$13:BL14)*CV14/1000</f>
        <v>0</v>
      </c>
      <c r="EG14">
        <f>SUM(BM$13:BM14)*CW14/1000</f>
        <v>0</v>
      </c>
      <c r="EH14">
        <f>SUM(BN$13:BN14)*CX14/1000</f>
        <v>0</v>
      </c>
      <c r="EI14">
        <f>SUM(BO$13:BO14)*CY14/1000</f>
        <v>0</v>
      </c>
      <c r="EJ14">
        <f>SUM(BP$13:BP14)*CZ14/1000</f>
        <v>0</v>
      </c>
      <c r="EK14">
        <f>SUM(BQ$13:BQ14)*DA14/1000</f>
        <v>0</v>
      </c>
      <c r="EL14">
        <f>SUM(BR$13:BR14)*DB14/1000</f>
        <v>0</v>
      </c>
      <c r="EM14">
        <f>SUM(BS$13:BS14)*DC14/1000</f>
        <v>0</v>
      </c>
      <c r="EN14">
        <f>SUM(BT$13:BT14)*DD14/1000</f>
        <v>0</v>
      </c>
      <c r="EO14">
        <f>SUM(BU$13:BU14)*DE14/1000</f>
        <v>0</v>
      </c>
      <c r="EP14">
        <f>SUM(BV$13:BV14)*DF14/1000</f>
        <v>0</v>
      </c>
      <c r="EQ14">
        <f>SUM(BW$13:BW14)*DG14/1000</f>
        <v>0</v>
      </c>
      <c r="ER14">
        <f>SUM(BX$13:BX14)*DH14/1000</f>
        <v>0</v>
      </c>
      <c r="ES14">
        <f>SUM(BY$13:BY14)*DI14/1000</f>
        <v>0</v>
      </c>
      <c r="ET14">
        <f>SUM(BZ$13:BZ14)*DJ14/1000</f>
        <v>0</v>
      </c>
      <c r="FA14">
        <f t="shared" si="20"/>
        <v>0</v>
      </c>
      <c r="FC14">
        <f t="shared" si="21"/>
        <v>2027</v>
      </c>
      <c r="FD14" s="45"/>
      <c r="FE14" s="86">
        <f t="shared" ref="FE14:FE32" si="25">$FD$5*FD14/1000</f>
        <v>0</v>
      </c>
    </row>
    <row r="15" spans="1:161">
      <c r="A15"/>
      <c r="B15" s="210">
        <f t="shared" si="22"/>
        <v>2028</v>
      </c>
      <c r="C15" s="8">
        <f t="shared" si="7"/>
        <v>0</v>
      </c>
      <c r="D15" s="211"/>
      <c r="E15" s="8">
        <f t="shared" ca="1" si="23"/>
        <v>21.999306500721293</v>
      </c>
      <c r="F15" s="33"/>
      <c r="G15" s="8">
        <f t="shared" ca="1" si="24"/>
        <v>21.999306500721293</v>
      </c>
      <c r="H15" s="8"/>
      <c r="I15" s="331"/>
      <c r="J15" s="331"/>
      <c r="K15" s="331"/>
      <c r="O15">
        <f t="shared" si="8"/>
        <v>2028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X15">
        <f t="shared" si="9"/>
        <v>0</v>
      </c>
      <c r="AY15">
        <f t="shared" si="10"/>
        <v>0</v>
      </c>
      <c r="AZ15">
        <f t="shared" si="11"/>
        <v>0</v>
      </c>
      <c r="BA15">
        <f t="shared" si="12"/>
        <v>0</v>
      </c>
      <c r="BB15">
        <f t="shared" si="13"/>
        <v>0</v>
      </c>
      <c r="BC15">
        <f t="shared" si="14"/>
        <v>0</v>
      </c>
      <c r="BD15">
        <f t="shared" si="15"/>
        <v>0</v>
      </c>
      <c r="BE15">
        <f t="shared" si="16"/>
        <v>0</v>
      </c>
      <c r="BF15">
        <f t="shared" si="17"/>
        <v>0</v>
      </c>
      <c r="BG15">
        <f t="shared" si="18"/>
        <v>0</v>
      </c>
      <c r="CG15" s="145">
        <f t="shared" si="19"/>
        <v>2028</v>
      </c>
      <c r="CH15" s="70">
        <f>INDEX(Table3Compare!$B$6:$K$37,MATCH($CG15,Table3Compare!$A$6:$A$37,0),MATCH(CH$9,Table3Compare!$B$5:$K$5,0))</f>
        <v>0</v>
      </c>
      <c r="CI15" s="70">
        <f>INDEX(Table3Compare!$B$6:$K$37,MATCH($CG15,Table3Compare!$A$6:$A$37,0),MATCH(CI$9,Table3Compare!$B$5:$K$5,0))</f>
        <v>0</v>
      </c>
      <c r="CJ15" s="70">
        <f>INDEX(Table3Compare!$B$6:$K$37,MATCH($CG15,Table3Compare!$A$6:$A$37,0),MATCH(CJ$9,Table3Compare!$B$5:$K$5,0))</f>
        <v>0</v>
      </c>
      <c r="CK15" s="70">
        <f>INDEX(Table3Compare!$B$6:$K$37,MATCH($CG15,Table3Compare!$A$6:$A$37,0),MATCH(CK$9,Table3Compare!$B$5:$K$5,0))</f>
        <v>0</v>
      </c>
      <c r="CL15" s="70">
        <f>INDEX(Table3Compare!$B$6:$K$37,MATCH($CG15,Table3Compare!$A$6:$A$37,0),MATCH(CL$9,Table3Compare!$B$5:$K$5,0))</f>
        <v>0</v>
      </c>
      <c r="CM15" s="70">
        <f>INDEX(Table3Compare!$B$6:$K$37,MATCH($CG15,Table3Compare!$A$6:$A$37,0),MATCH(CM$9,Table3Compare!$B$5:$K$5,0))</f>
        <v>0</v>
      </c>
      <c r="CN15" s="70">
        <f>INDEX(Table3Compare!$B$6:$K$37,MATCH($CG15,Table3Compare!$A$6:$A$37,0),MATCH(CN$9,Table3Compare!$B$5:$K$5,0))</f>
        <v>0</v>
      </c>
      <c r="CO15" s="70">
        <f>INDEX(Table3Compare!$B$6:$K$37,MATCH($CG15,Table3Compare!$A$6:$A$37,0),MATCH(CO$9,Table3Compare!$B$5:$K$5,0))</f>
        <v>0</v>
      </c>
      <c r="CP15" s="70">
        <f>INDEX(Table3Compare!$B$6:$K$37,MATCH($CG15,Table3Compare!$A$6:$A$37,0),MATCH(CP$9,Table3Compare!$B$5:$K$5,0))</f>
        <v>0</v>
      </c>
      <c r="CQ15" s="70">
        <f>INDEX(Table3Compare!$B$6:$K$37,MATCH($CG15,Table3Compare!$A$6:$A$37,0),MATCH(CQ$9,Table3Compare!$B$5:$K$5,0))</f>
        <v>0</v>
      </c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152"/>
      <c r="DG15" s="152"/>
      <c r="DH15" s="70"/>
      <c r="DI15" s="152"/>
      <c r="DJ15" s="152"/>
      <c r="DK15" s="152"/>
      <c r="DL15" s="152"/>
      <c r="DM15" s="152"/>
      <c r="DR15">
        <f>SUM(AX$13:AX15)*CH15/1000</f>
        <v>0</v>
      </c>
      <c r="DS15">
        <f>SUM(AY$13:AY15)*CI15/1000</f>
        <v>0</v>
      </c>
      <c r="DT15">
        <f>SUM(AZ$13:AZ15)*CJ15/1000</f>
        <v>0</v>
      </c>
      <c r="DU15">
        <f>SUM(BA$13:BA15)*CK15/1000</f>
        <v>0</v>
      </c>
      <c r="DV15">
        <f>SUM(BB$13:BB15)*CL15/1000</f>
        <v>0</v>
      </c>
      <c r="DW15">
        <f>SUM(BC$13:BC15)*CM15/1000</f>
        <v>0</v>
      </c>
      <c r="DX15">
        <f>SUM(BD$13:BD15)*CN15/1000</f>
        <v>0</v>
      </c>
      <c r="DY15">
        <f>SUM(BE$13:BE15)*CO15/1000</f>
        <v>0</v>
      </c>
      <c r="DZ15">
        <f>SUM(BF$13:BF15)*CP15/1000</f>
        <v>0</v>
      </c>
      <c r="EA15">
        <f>SUM(BG$13:BG15)*CQ15/1000</f>
        <v>0</v>
      </c>
      <c r="EB15">
        <f>SUM(BH$13:BH15)*CR15/1000</f>
        <v>0</v>
      </c>
      <c r="EC15">
        <f>SUM(BI$13:BI15)*CS15/1000</f>
        <v>0</v>
      </c>
      <c r="ED15">
        <f>SUM(BJ$13:BJ15)*CT15/1000</f>
        <v>0</v>
      </c>
      <c r="EE15">
        <f>SUM(BK$13:BK15)*CU15/1000</f>
        <v>0</v>
      </c>
      <c r="EF15">
        <f>SUM(BL$13:BL15)*CV15/1000</f>
        <v>0</v>
      </c>
      <c r="EG15">
        <f>SUM(BM$13:BM15)*CW15/1000</f>
        <v>0</v>
      </c>
      <c r="EH15">
        <f>SUM(BN$13:BN15)*CX15/1000</f>
        <v>0</v>
      </c>
      <c r="EI15">
        <f>SUM(BO$13:BO15)*CY15/1000</f>
        <v>0</v>
      </c>
      <c r="EJ15">
        <f>SUM(BP$13:BP15)*CZ15/1000</f>
        <v>0</v>
      </c>
      <c r="EK15">
        <f>SUM(BQ$13:BQ15)*DA15/1000</f>
        <v>0</v>
      </c>
      <c r="EL15">
        <f>SUM(BR$13:BR15)*DB15/1000</f>
        <v>0</v>
      </c>
      <c r="EM15">
        <f>SUM(BS$13:BS15)*DC15/1000</f>
        <v>0</v>
      </c>
      <c r="EN15">
        <f>SUM(BT$13:BT15)*DD15/1000</f>
        <v>0</v>
      </c>
      <c r="EO15">
        <f>SUM(BU$13:BU15)*DE15/1000</f>
        <v>0</v>
      </c>
      <c r="EP15">
        <f>SUM(BV$13:BV15)*DF15/1000</f>
        <v>0</v>
      </c>
      <c r="EQ15">
        <f>SUM(BW$13:BW15)*DG15/1000</f>
        <v>0</v>
      </c>
      <c r="ER15">
        <f>SUM(BX$13:BX15)*DH15/1000</f>
        <v>0</v>
      </c>
      <c r="ES15">
        <f>SUM(BY$13:BY15)*DI15/1000</f>
        <v>0</v>
      </c>
      <c r="ET15">
        <f>SUM(BZ$13:BZ15)*DJ15/1000</f>
        <v>0</v>
      </c>
      <c r="FA15">
        <f t="shared" si="20"/>
        <v>0</v>
      </c>
      <c r="FC15">
        <f t="shared" si="21"/>
        <v>2028</v>
      </c>
      <c r="FD15" s="45"/>
      <c r="FE15" s="86">
        <f t="shared" si="25"/>
        <v>0</v>
      </c>
    </row>
    <row r="16" spans="1:161">
      <c r="A16"/>
      <c r="B16" s="210">
        <f t="shared" si="22"/>
        <v>2029</v>
      </c>
      <c r="C16" s="8">
        <f t="shared" si="7"/>
        <v>0</v>
      </c>
      <c r="D16" s="211"/>
      <c r="E16" s="8">
        <f t="shared" ca="1" si="23"/>
        <v>24.623394375695792</v>
      </c>
      <c r="F16" s="33"/>
      <c r="G16" s="8">
        <f t="shared" ca="1" si="24"/>
        <v>24.623394375695792</v>
      </c>
      <c r="H16" s="8"/>
      <c r="I16" s="331"/>
      <c r="J16" s="331"/>
      <c r="K16" s="331"/>
      <c r="O16">
        <f t="shared" si="8"/>
        <v>2029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0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0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X16" s="244">
        <f t="shared" si="9"/>
        <v>0</v>
      </c>
      <c r="AY16" s="244">
        <f t="shared" si="10"/>
        <v>0</v>
      </c>
      <c r="AZ16" s="244">
        <f t="shared" si="11"/>
        <v>0</v>
      </c>
      <c r="BA16" s="244">
        <f t="shared" si="12"/>
        <v>0</v>
      </c>
      <c r="BB16" s="244">
        <f t="shared" si="13"/>
        <v>0</v>
      </c>
      <c r="BC16" s="244">
        <f t="shared" si="14"/>
        <v>0</v>
      </c>
      <c r="BD16" s="244">
        <f t="shared" si="15"/>
        <v>0</v>
      </c>
      <c r="BE16" s="244">
        <f t="shared" si="16"/>
        <v>0</v>
      </c>
      <c r="BF16" s="244">
        <f t="shared" si="17"/>
        <v>0</v>
      </c>
      <c r="BG16" s="244">
        <f t="shared" si="18"/>
        <v>0</v>
      </c>
      <c r="CG16" s="145">
        <f t="shared" si="19"/>
        <v>2029</v>
      </c>
      <c r="CH16" s="70">
        <f>INDEX(Table3Compare!$B$6:$K$37,MATCH($CG16,Table3Compare!$A$6:$A$37,0),MATCH(CH$9,Table3Compare!$B$5:$K$5,0))</f>
        <v>123.30914837857404</v>
      </c>
      <c r="CI16" s="70">
        <f>INDEX(Table3Compare!$B$6:$K$37,MATCH($CG16,Table3Compare!$A$6:$A$37,0),MATCH(CI$9,Table3Compare!$B$5:$K$5,0))</f>
        <v>0</v>
      </c>
      <c r="CJ16" s="70">
        <f>INDEX(Table3Compare!$B$6:$K$37,MATCH($CG16,Table3Compare!$A$6:$A$37,0),MATCH(CJ$9,Table3Compare!$B$5:$K$5,0))</f>
        <v>0</v>
      </c>
      <c r="CK16" s="70">
        <f>INDEX(Table3Compare!$B$6:$K$37,MATCH($CG16,Table3Compare!$A$6:$A$37,0),MATCH(CK$9,Table3Compare!$B$5:$K$5,0))</f>
        <v>123.30914837857404</v>
      </c>
      <c r="CL16" s="70">
        <f>INDEX(Table3Compare!$B$6:$K$37,MATCH($CG16,Table3Compare!$A$6:$A$37,0),MATCH(CL$9,Table3Compare!$B$5:$K$5,0))</f>
        <v>0</v>
      </c>
      <c r="CM16" s="70">
        <f>INDEX(Table3Compare!$B$6:$K$37,MATCH($CG16,Table3Compare!$A$6:$A$37,0),MATCH(CM$9,Table3Compare!$B$5:$K$5,0))</f>
        <v>0</v>
      </c>
      <c r="CN16" s="70">
        <f>INDEX(Table3Compare!$B$6:$K$37,MATCH($CG16,Table3Compare!$A$6:$A$37,0),MATCH(CN$9,Table3Compare!$B$5:$K$5,0))</f>
        <v>0</v>
      </c>
      <c r="CO16" s="70">
        <f>INDEX(Table3Compare!$B$6:$K$37,MATCH($CG16,Table3Compare!$A$6:$A$37,0),MATCH(CO$9,Table3Compare!$B$5:$K$5,0))</f>
        <v>0</v>
      </c>
      <c r="CP16" s="70">
        <f>INDEX(Table3Compare!$B$6:$K$37,MATCH($CG16,Table3Compare!$A$6:$A$37,0),MATCH(CP$9,Table3Compare!$B$5:$K$5,0))</f>
        <v>0</v>
      </c>
      <c r="CQ16" s="70">
        <f>INDEX(Table3Compare!$B$6:$K$37,MATCH($CG16,Table3Compare!$A$6:$A$37,0),MATCH(CQ$9,Table3Compare!$B$5:$K$5,0))</f>
        <v>0</v>
      </c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152"/>
      <c r="DG16" s="152"/>
      <c r="DH16" s="70"/>
      <c r="DI16" s="152"/>
      <c r="DJ16" s="152"/>
      <c r="DK16" s="152"/>
      <c r="DL16" s="152"/>
      <c r="DM16" s="152"/>
      <c r="DR16">
        <f>SUM(AX$13:AX16)*CH16/1000</f>
        <v>0</v>
      </c>
      <c r="DS16">
        <f>SUM(AY$13:AY16)*CI16/1000</f>
        <v>0</v>
      </c>
      <c r="DT16">
        <f>SUM(AZ$13:AZ16)*CJ16/1000</f>
        <v>0</v>
      </c>
      <c r="DU16">
        <f>SUM(BA$13:BA16)*CK16/1000</f>
        <v>0</v>
      </c>
      <c r="DV16">
        <f>SUM(BB$13:BB16)*CL16/1000</f>
        <v>0</v>
      </c>
      <c r="DW16">
        <f>SUM(BC$13:BC16)*CM16/1000</f>
        <v>0</v>
      </c>
      <c r="DX16">
        <f>SUM(BD$13:BD16)*CN16/1000</f>
        <v>0</v>
      </c>
      <c r="DY16">
        <f>SUM(BE$13:BE16)*CO16/1000</f>
        <v>0</v>
      </c>
      <c r="DZ16">
        <f>SUM(BF$13:BF16)*CP16/1000</f>
        <v>0</v>
      </c>
      <c r="EA16">
        <f>SUM(BG$13:BG16)*CQ16/1000</f>
        <v>0</v>
      </c>
      <c r="EB16" s="45">
        <f>SUM(BH$13:BH16)*CR16/1000</f>
        <v>0</v>
      </c>
      <c r="EC16">
        <f>SUM(BI$13:BI16)*CS16/1000</f>
        <v>0</v>
      </c>
      <c r="ED16">
        <f>SUM(BJ$13:BJ16)*CT16/1000</f>
        <v>0</v>
      </c>
      <c r="EE16">
        <f>SUM(BK$13:BK16)*CU16/1000</f>
        <v>0</v>
      </c>
      <c r="EF16">
        <f>SUM(BL$13:BL16)*CV16/1000</f>
        <v>0</v>
      </c>
      <c r="EG16">
        <f>SUM(BM$13:BM16)*CW16/1000</f>
        <v>0</v>
      </c>
      <c r="EH16">
        <f>SUM(BN$13:BN16)*CX16/1000</f>
        <v>0</v>
      </c>
      <c r="EI16">
        <f>SUM(BO$13:BO16)*CY16/1000</f>
        <v>0</v>
      </c>
      <c r="EJ16">
        <f>SUM(BP$13:BP16)*CZ16/1000</f>
        <v>0</v>
      </c>
      <c r="EK16">
        <f>SUM(BQ$13:BQ16)*DA16/1000</f>
        <v>0</v>
      </c>
      <c r="EL16">
        <f>SUM(BR$13:BR16)*DB16/1000</f>
        <v>0</v>
      </c>
      <c r="EM16">
        <f>SUM(BS$13:BS16)*DC16/1000</f>
        <v>0</v>
      </c>
      <c r="EN16">
        <f>SUM(BT$13:BT16)*DD16/1000</f>
        <v>0</v>
      </c>
      <c r="EO16">
        <f>SUM(BU$13:BU16)*DE16/1000</f>
        <v>0</v>
      </c>
      <c r="EP16">
        <f>SUM(BV$13:BV16)*DF16/1000</f>
        <v>0</v>
      </c>
      <c r="EQ16">
        <f>SUM(BW$13:BW16)*DG16/1000</f>
        <v>0</v>
      </c>
      <c r="ER16">
        <f>SUM(BX$13:BX16)*DH16/1000</f>
        <v>0</v>
      </c>
      <c r="ES16">
        <f>SUM(BY$13:BY16)*DI16/1000</f>
        <v>0</v>
      </c>
      <c r="ET16">
        <f>SUM(BZ$13:BZ16)*DJ16/1000</f>
        <v>0</v>
      </c>
      <c r="FA16">
        <f t="shared" si="20"/>
        <v>0</v>
      </c>
      <c r="FC16">
        <f t="shared" si="21"/>
        <v>2029</v>
      </c>
      <c r="FD16" s="45"/>
      <c r="FE16" s="86">
        <f t="shared" si="25"/>
        <v>0</v>
      </c>
    </row>
    <row r="17" spans="2:161">
      <c r="B17" s="210">
        <f t="shared" si="22"/>
        <v>2030</v>
      </c>
      <c r="C17" s="8">
        <f t="shared" si="7"/>
        <v>0</v>
      </c>
      <c r="D17" s="211"/>
      <c r="E17" s="8">
        <f t="shared" ca="1" si="23"/>
        <v>24.191341276260687</v>
      </c>
      <c r="F17" s="33"/>
      <c r="G17" s="8">
        <f t="shared" ca="1" si="24"/>
        <v>24.191341276260687</v>
      </c>
      <c r="H17" s="8"/>
      <c r="I17" s="331"/>
      <c r="J17" s="331"/>
      <c r="K17" s="331"/>
      <c r="O17">
        <f t="shared" si="8"/>
        <v>2030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X17">
        <f t="shared" si="9"/>
        <v>0</v>
      </c>
      <c r="AY17">
        <f t="shared" si="10"/>
        <v>0</v>
      </c>
      <c r="AZ17">
        <f t="shared" si="11"/>
        <v>0</v>
      </c>
      <c r="BA17">
        <f t="shared" si="12"/>
        <v>0</v>
      </c>
      <c r="BB17">
        <f t="shared" si="13"/>
        <v>0</v>
      </c>
      <c r="BC17">
        <f t="shared" si="14"/>
        <v>0</v>
      </c>
      <c r="BD17">
        <f t="shared" si="15"/>
        <v>0</v>
      </c>
      <c r="BE17">
        <f t="shared" si="16"/>
        <v>0</v>
      </c>
      <c r="BF17">
        <f t="shared" si="17"/>
        <v>0</v>
      </c>
      <c r="BG17">
        <f t="shared" si="18"/>
        <v>0</v>
      </c>
      <c r="CC17" s="86"/>
      <c r="CG17" s="145">
        <f t="shared" si="19"/>
        <v>2030</v>
      </c>
      <c r="CH17" s="70">
        <f>INDEX(Table3Compare!$B$6:$K$37,MATCH($CG17,Table3Compare!$A$6:$A$37,0),MATCH(CH$9,Table3Compare!$B$5:$K$5,0))</f>
        <v>125.99728774828759</v>
      </c>
      <c r="CI17" s="70">
        <f>INDEX(Table3Compare!$B$6:$K$37,MATCH($CG17,Table3Compare!$A$6:$A$37,0),MATCH(CI$9,Table3Compare!$B$5:$K$5,0))</f>
        <v>123.98377517629999</v>
      </c>
      <c r="CJ17" s="70">
        <f>INDEX(Table3Compare!$B$6:$K$37,MATCH($CG17,Table3Compare!$A$6:$A$37,0),MATCH(CJ$9,Table3Compare!$B$5:$K$5,0))</f>
        <v>0</v>
      </c>
      <c r="CK17" s="70">
        <f>INDEX(Table3Compare!$B$6:$K$37,MATCH($CG17,Table3Compare!$A$6:$A$37,0),MATCH(CK$9,Table3Compare!$B$5:$K$5,0))</f>
        <v>125.99728774828759</v>
      </c>
      <c r="CL17" s="70">
        <f>INDEX(Table3Compare!$B$6:$K$37,MATCH($CG17,Table3Compare!$A$6:$A$37,0),MATCH(CL$9,Table3Compare!$B$5:$K$5,0))</f>
        <v>123.98377517629999</v>
      </c>
      <c r="CM17" s="70">
        <f>INDEX(Table3Compare!$B$6:$K$37,MATCH($CG17,Table3Compare!$A$6:$A$37,0),MATCH(CM$9,Table3Compare!$B$5:$K$5,0))</f>
        <v>0</v>
      </c>
      <c r="CN17" s="70">
        <f>INDEX(Table3Compare!$B$6:$K$37,MATCH($CG17,Table3Compare!$A$6:$A$37,0),MATCH(CN$9,Table3Compare!$B$5:$K$5,0))</f>
        <v>0</v>
      </c>
      <c r="CO17" s="70">
        <f>INDEX(Table3Compare!$B$6:$K$37,MATCH($CG17,Table3Compare!$A$6:$A$37,0),MATCH(CO$9,Table3Compare!$B$5:$K$5,0))</f>
        <v>0</v>
      </c>
      <c r="CP17" s="70">
        <f>INDEX(Table3Compare!$B$6:$K$37,MATCH($CG17,Table3Compare!$A$6:$A$37,0),MATCH(CP$9,Table3Compare!$B$5:$K$5,0))</f>
        <v>0</v>
      </c>
      <c r="CQ17" s="70">
        <f>INDEX(Table3Compare!$B$6:$K$37,MATCH($CG17,Table3Compare!$A$6:$A$37,0),MATCH(CQ$9,Table3Compare!$B$5:$K$5,0))</f>
        <v>0</v>
      </c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152"/>
      <c r="DG17" s="152"/>
      <c r="DH17" s="70"/>
      <c r="DI17" s="152"/>
      <c r="DJ17" s="152"/>
      <c r="DK17" s="152"/>
      <c r="DL17" s="152"/>
      <c r="DM17" s="152"/>
      <c r="DR17">
        <f>SUM(AX$13:AX17)*CH17/1000</f>
        <v>0</v>
      </c>
      <c r="DS17">
        <f>SUM(AY$13:AY17)*CI17/1000</f>
        <v>0</v>
      </c>
      <c r="DT17">
        <f>SUM(AZ$13:AZ17)*CJ17/1000</f>
        <v>0</v>
      </c>
      <c r="DU17">
        <f>SUM(BA$13:BA17)*CK17/1000</f>
        <v>0</v>
      </c>
      <c r="DV17">
        <f>SUM(BB$13:BB17)*CL17/1000</f>
        <v>0</v>
      </c>
      <c r="DW17">
        <f>SUM(BC$13:BC17)*CM17/1000</f>
        <v>0</v>
      </c>
      <c r="DX17">
        <f>SUM(BD$13:BD17)*CN17/1000</f>
        <v>0</v>
      </c>
      <c r="DY17">
        <f>SUM(BE$13:BE17)*CO17/1000</f>
        <v>0</v>
      </c>
      <c r="DZ17">
        <f>SUM(BF$13:BF17)*CP17/1000</f>
        <v>0</v>
      </c>
      <c r="EA17">
        <f>SUM(BG$13:BG17)*CQ17/1000</f>
        <v>0</v>
      </c>
      <c r="EB17">
        <f>SUM(BH$13:BH17)*CR17/1000</f>
        <v>0</v>
      </c>
      <c r="EC17">
        <f>SUM(BI$13:BI17)*CS17/1000</f>
        <v>0</v>
      </c>
      <c r="ED17">
        <f>SUM(BJ$13:BJ17)*CT17/1000</f>
        <v>0</v>
      </c>
      <c r="EE17">
        <f>SUM(BK$13:BK17)*CU17/1000</f>
        <v>0</v>
      </c>
      <c r="EF17">
        <f>SUM(BL$13:BL17)*CV17/1000</f>
        <v>0</v>
      </c>
      <c r="EG17">
        <f>SUM(BM$13:BM17)*CW17/1000</f>
        <v>0</v>
      </c>
      <c r="EH17">
        <f>SUM(BN$13:BN17)*CX17/1000</f>
        <v>0</v>
      </c>
      <c r="EI17">
        <f>SUM(BO$13:BO17)*CY17/1000</f>
        <v>0</v>
      </c>
      <c r="EJ17">
        <f>SUM(BP$13:BP17)*CZ17/1000</f>
        <v>0</v>
      </c>
      <c r="EK17">
        <f>SUM(BQ$13:BQ17)*DA17/1000</f>
        <v>0</v>
      </c>
      <c r="EL17">
        <f>SUM(BR$13:BR17)*DB17/1000</f>
        <v>0</v>
      </c>
      <c r="EM17">
        <f>SUM(BS$13:BS17)*DC17/1000</f>
        <v>0</v>
      </c>
      <c r="EN17">
        <f>SUM(BT$13:BT17)*DD17/1000</f>
        <v>0</v>
      </c>
      <c r="EO17">
        <f>SUM(BU$13:BU17)*DE17/1000</f>
        <v>0</v>
      </c>
      <c r="EP17">
        <f>SUM(BV$13:BV17)*DF17/1000</f>
        <v>0</v>
      </c>
      <c r="EQ17">
        <f>SUM(BW$13:BW17)*DG17/1000</f>
        <v>0</v>
      </c>
      <c r="ER17">
        <f>SUM(BX$13:BX17)*DH17/1000</f>
        <v>0</v>
      </c>
      <c r="ES17">
        <f>SUM(BY$13:BY17)*DI17/1000</f>
        <v>0</v>
      </c>
      <c r="ET17">
        <f>SUM(BZ$13:BZ17)*DJ17/1000</f>
        <v>0</v>
      </c>
      <c r="FA17">
        <f t="shared" si="20"/>
        <v>0</v>
      </c>
      <c r="FC17">
        <f t="shared" si="21"/>
        <v>2030</v>
      </c>
      <c r="FD17" s="45"/>
      <c r="FE17" s="86">
        <f t="shared" si="25"/>
        <v>0</v>
      </c>
    </row>
    <row r="18" spans="2:161">
      <c r="B18" s="210">
        <f t="shared" si="22"/>
        <v>2031</v>
      </c>
      <c r="C18" s="8">
        <f t="shared" si="7"/>
        <v>0</v>
      </c>
      <c r="D18" s="211"/>
      <c r="E18" s="8">
        <f t="shared" ca="1" si="23"/>
        <v>23.175766542120328</v>
      </c>
      <c r="F18" s="33"/>
      <c r="G18" s="8">
        <f t="shared" ca="1" si="24"/>
        <v>23.175766542120328</v>
      </c>
      <c r="H18" s="8"/>
      <c r="I18" s="331"/>
      <c r="J18" s="331"/>
      <c r="K18" s="331"/>
      <c r="O18">
        <f t="shared" si="8"/>
        <v>2031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X18">
        <f t="shared" si="9"/>
        <v>0</v>
      </c>
      <c r="AY18">
        <f t="shared" si="10"/>
        <v>0</v>
      </c>
      <c r="AZ18">
        <f t="shared" si="11"/>
        <v>0</v>
      </c>
      <c r="BA18">
        <f t="shared" si="12"/>
        <v>0</v>
      </c>
      <c r="BB18">
        <f t="shared" si="13"/>
        <v>0</v>
      </c>
      <c r="BC18">
        <f t="shared" si="14"/>
        <v>0</v>
      </c>
      <c r="BD18">
        <f t="shared" si="15"/>
        <v>0</v>
      </c>
      <c r="BE18">
        <f t="shared" si="16"/>
        <v>0</v>
      </c>
      <c r="BF18">
        <f t="shared" si="17"/>
        <v>0</v>
      </c>
      <c r="BG18">
        <f t="shared" si="18"/>
        <v>0</v>
      </c>
      <c r="CG18" s="145">
        <f t="shared" si="19"/>
        <v>2031</v>
      </c>
      <c r="CH18" s="70">
        <f>INDEX(Table3Compare!$B$6:$K$37,MATCH($CG18,Table3Compare!$A$6:$A$37,0),MATCH(CH$9,Table3Compare!$B$5:$K$5,0))</f>
        <v>128.74402861681637</v>
      </c>
      <c r="CI18" s="70">
        <f>INDEX(Table3Compare!$B$6:$K$37,MATCH($CG18,Table3Compare!$A$6:$A$37,0),MATCH(CI$9,Table3Compare!$B$5:$K$5,0))</f>
        <v>126.68662147082951</v>
      </c>
      <c r="CJ18" s="70">
        <f>INDEX(Table3Compare!$B$6:$K$37,MATCH($CG18,Table3Compare!$A$6:$A$37,0),MATCH(CJ$9,Table3Compare!$B$5:$K$5,0))</f>
        <v>125.75126857814824</v>
      </c>
      <c r="CK18" s="70">
        <f>INDEX(Table3Compare!$B$6:$K$37,MATCH($CG18,Table3Compare!$A$6:$A$37,0),MATCH(CK$9,Table3Compare!$B$5:$K$5,0))</f>
        <v>128.74402861681637</v>
      </c>
      <c r="CL18" s="70">
        <f>INDEX(Table3Compare!$B$6:$K$37,MATCH($CG18,Table3Compare!$A$6:$A$37,0),MATCH(CL$9,Table3Compare!$B$5:$K$5,0))</f>
        <v>126.68662147082951</v>
      </c>
      <c r="CM18" s="70">
        <f>INDEX(Table3Compare!$B$6:$K$37,MATCH($CG18,Table3Compare!$A$6:$A$37,0),MATCH(CM$9,Table3Compare!$B$5:$K$5,0))</f>
        <v>125.75126857814824</v>
      </c>
      <c r="CN18" s="70">
        <f>INDEX(Table3Compare!$B$6:$K$37,MATCH($CG18,Table3Compare!$A$6:$A$37,0),MATCH(CN$9,Table3Compare!$B$5:$K$5,0))</f>
        <v>100.77501427340231</v>
      </c>
      <c r="CO18" s="70">
        <f>INDEX(Table3Compare!$B$6:$K$37,MATCH($CG18,Table3Compare!$A$6:$A$37,0),MATCH(CO$9,Table3Compare!$B$5:$K$5,0))</f>
        <v>100.77501427340231</v>
      </c>
      <c r="CP18" s="70">
        <f>INDEX(Table3Compare!$B$6:$K$37,MATCH($CG18,Table3Compare!$A$6:$A$37,0),MATCH(CP$9,Table3Compare!$B$5:$K$5,0))</f>
        <v>100.77501427340231</v>
      </c>
      <c r="CQ18" s="70">
        <f>INDEX(Table3Compare!$B$6:$K$37,MATCH($CG18,Table3Compare!$A$6:$A$37,0),MATCH(CQ$9,Table3Compare!$B$5:$K$5,0))</f>
        <v>100.77501427340231</v>
      </c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152"/>
      <c r="DG18" s="152"/>
      <c r="DH18" s="70"/>
      <c r="DI18" s="152"/>
      <c r="DJ18" s="152"/>
      <c r="DK18" s="152"/>
      <c r="DL18" s="152"/>
      <c r="DM18" s="152"/>
      <c r="DR18">
        <f>SUM(AX$13:AX18)*CH18/1000</f>
        <v>0</v>
      </c>
      <c r="DS18">
        <f>SUM(AY$13:AY18)*CI18/1000</f>
        <v>0</v>
      </c>
      <c r="DT18">
        <f>SUM(AZ$13:AZ18)*CJ18/1000</f>
        <v>0</v>
      </c>
      <c r="DU18">
        <f>SUM(BA$13:BA18)*CK18/1000</f>
        <v>0</v>
      </c>
      <c r="DV18">
        <f>SUM(BB$13:BB18)*CL18/1000</f>
        <v>0</v>
      </c>
      <c r="DW18">
        <f>SUM(BC$13:BC18)*CM18/1000</f>
        <v>0</v>
      </c>
      <c r="DX18">
        <f>SUM(BD$13:BD18)*CN18/1000</f>
        <v>0</v>
      </c>
      <c r="DY18">
        <f>SUM(BE$13:BE18)*CO18/1000</f>
        <v>0</v>
      </c>
      <c r="DZ18">
        <f>SUM(BF$13:BF18)*CP18/1000</f>
        <v>0</v>
      </c>
      <c r="EA18">
        <f>SUM(BG$13:BG18)*CQ18/1000</f>
        <v>0</v>
      </c>
      <c r="EB18">
        <f>SUM(BH$13:BH18)*CR18/1000</f>
        <v>0</v>
      </c>
      <c r="EC18">
        <f>SUM(BI$13:BI18)*CS18/1000</f>
        <v>0</v>
      </c>
      <c r="ED18">
        <f>SUM(BJ$13:BJ18)*CT18/1000</f>
        <v>0</v>
      </c>
      <c r="EE18">
        <f>SUM(BK$13:BK18)*CU18/1000</f>
        <v>0</v>
      </c>
      <c r="EF18">
        <f>SUM(BL$13:BL18)*CV18/1000</f>
        <v>0</v>
      </c>
      <c r="EG18">
        <f>SUM(BM$13:BM18)*CW18/1000</f>
        <v>0</v>
      </c>
      <c r="EH18">
        <f>SUM(BN$13:BN18)*CX18/1000</f>
        <v>0</v>
      </c>
      <c r="EI18">
        <f>SUM(BO$13:BO18)*CY18/1000</f>
        <v>0</v>
      </c>
      <c r="EJ18">
        <f>SUM(BP$13:BP18)*CZ18/1000</f>
        <v>0</v>
      </c>
      <c r="EK18">
        <f>SUM(BQ$13:BQ18)*DA18/1000</f>
        <v>0</v>
      </c>
      <c r="EL18">
        <f>SUM(BR$13:BR18)*DB18/1000</f>
        <v>0</v>
      </c>
      <c r="EM18">
        <f>SUM(BS$13:BS18)*DC18/1000</f>
        <v>0</v>
      </c>
      <c r="EN18">
        <f>SUM(BT$13:BT18)*DD18/1000</f>
        <v>0</v>
      </c>
      <c r="EO18">
        <f>SUM(BU$13:BU18)*DE18/1000</f>
        <v>0</v>
      </c>
      <c r="EP18">
        <f>SUM(BV$13:BV18)*DF18/1000</f>
        <v>0</v>
      </c>
      <c r="EQ18">
        <f>SUM(BW$13:BW18)*DG18/1000</f>
        <v>0</v>
      </c>
      <c r="ER18">
        <f>SUM(BX$13:BX18)*DH18/1000</f>
        <v>0</v>
      </c>
      <c r="ES18">
        <f>SUM(BY$13:BY18)*DI18/1000</f>
        <v>0</v>
      </c>
      <c r="ET18">
        <f>SUM(BZ$13:BZ18)*DJ18/1000</f>
        <v>0</v>
      </c>
      <c r="FA18">
        <f t="shared" si="20"/>
        <v>0</v>
      </c>
      <c r="FC18">
        <f t="shared" si="21"/>
        <v>2031</v>
      </c>
      <c r="FD18" s="45"/>
      <c r="FE18" s="86">
        <f t="shared" si="25"/>
        <v>0</v>
      </c>
    </row>
    <row r="19" spans="2:161">
      <c r="B19" s="210">
        <f t="shared" si="22"/>
        <v>2032</v>
      </c>
      <c r="C19" s="8">
        <f t="shared" si="7"/>
        <v>0</v>
      </c>
      <c r="D19" s="211"/>
      <c r="E19" s="8">
        <f t="shared" ca="1" si="23"/>
        <v>21.247472536379107</v>
      </c>
      <c r="F19" s="33"/>
      <c r="G19" s="8">
        <f t="shared" ca="1" si="24"/>
        <v>21.247472536379107</v>
      </c>
      <c r="H19" s="8"/>
      <c r="I19" s="331"/>
      <c r="J19" s="331"/>
      <c r="K19" s="331"/>
      <c r="O19">
        <f t="shared" si="8"/>
        <v>2032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 s="45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X19">
        <f t="shared" si="9"/>
        <v>0</v>
      </c>
      <c r="AY19">
        <f t="shared" si="10"/>
        <v>0</v>
      </c>
      <c r="AZ19">
        <f t="shared" si="11"/>
        <v>0</v>
      </c>
      <c r="BA19">
        <f t="shared" si="12"/>
        <v>0</v>
      </c>
      <c r="BB19">
        <f t="shared" si="13"/>
        <v>0</v>
      </c>
      <c r="BC19">
        <f t="shared" si="14"/>
        <v>0</v>
      </c>
      <c r="BD19">
        <f t="shared" si="15"/>
        <v>0</v>
      </c>
      <c r="BE19">
        <f t="shared" si="16"/>
        <v>0</v>
      </c>
      <c r="BF19">
        <f t="shared" si="17"/>
        <v>0</v>
      </c>
      <c r="BG19">
        <f t="shared" si="18"/>
        <v>0</v>
      </c>
      <c r="CG19" s="145">
        <f t="shared" si="19"/>
        <v>2032</v>
      </c>
      <c r="CH19" s="70">
        <f>INDEX(Table3Compare!$B$6:$K$37,MATCH($CG19,Table3Compare!$A$6:$A$37,0),MATCH(CH$9,Table3Compare!$B$5:$K$5,0))</f>
        <v>131.55064840494967</v>
      </c>
      <c r="CI19" s="70">
        <f>INDEX(Table3Compare!$B$6:$K$37,MATCH($CG19,Table3Compare!$A$6:$A$37,0),MATCH(CI$9,Table3Compare!$B$5:$K$5,0))</f>
        <v>129.448389783751</v>
      </c>
      <c r="CJ19" s="70">
        <f>INDEX(Table3Compare!$B$6:$K$37,MATCH($CG19,Table3Compare!$A$6:$A$37,0),MATCH(CJ$9,Table3Compare!$B$5:$K$5,0))</f>
        <v>128.49264619826874</v>
      </c>
      <c r="CK19" s="70">
        <f>INDEX(Table3Compare!$B$6:$K$37,MATCH($CG19,Table3Compare!$A$6:$A$37,0),MATCH(CK$9,Table3Compare!$B$5:$K$5,0))</f>
        <v>131.55064840494967</v>
      </c>
      <c r="CL19" s="70">
        <f>INDEX(Table3Compare!$B$6:$K$37,MATCH($CG19,Table3Compare!$A$6:$A$37,0),MATCH(CL$9,Table3Compare!$B$5:$K$5,0))</f>
        <v>129.448389783751</v>
      </c>
      <c r="CM19" s="70">
        <f>INDEX(Table3Compare!$B$6:$K$37,MATCH($CG19,Table3Compare!$A$6:$A$37,0),MATCH(CM$9,Table3Compare!$B$5:$K$5,0))</f>
        <v>128.49264619826874</v>
      </c>
      <c r="CN19" s="70">
        <f>INDEX(Table3Compare!$B$6:$K$37,MATCH($CG19,Table3Compare!$A$6:$A$37,0),MATCH(CN$9,Table3Compare!$B$5:$K$5,0))</f>
        <v>102.9719095566077</v>
      </c>
      <c r="CO19" s="70">
        <f>INDEX(Table3Compare!$B$6:$K$37,MATCH($CG19,Table3Compare!$A$6:$A$37,0),MATCH(CO$9,Table3Compare!$B$5:$K$5,0))</f>
        <v>102.9719095566077</v>
      </c>
      <c r="CP19" s="70">
        <f>INDEX(Table3Compare!$B$6:$K$37,MATCH($CG19,Table3Compare!$A$6:$A$37,0),MATCH(CP$9,Table3Compare!$B$5:$K$5,0))</f>
        <v>102.9719095566077</v>
      </c>
      <c r="CQ19" s="70">
        <f>INDEX(Table3Compare!$B$6:$K$37,MATCH($CG19,Table3Compare!$A$6:$A$37,0),MATCH(CQ$9,Table3Compare!$B$5:$K$5,0))</f>
        <v>102.9719095566077</v>
      </c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152"/>
      <c r="DG19" s="152"/>
      <c r="DH19" s="70"/>
      <c r="DI19" s="152"/>
      <c r="DJ19" s="152"/>
      <c r="DK19" s="152"/>
      <c r="DL19" s="152"/>
      <c r="DM19" s="152"/>
      <c r="DR19">
        <f>SUM(AX$13:AX19)*CH19/1000</f>
        <v>0</v>
      </c>
      <c r="DS19">
        <f>SUM(AY$13:AY19)*CI19/1000</f>
        <v>0</v>
      </c>
      <c r="DT19">
        <f>SUM(AZ$13:AZ19)*CJ19/1000</f>
        <v>0</v>
      </c>
      <c r="DU19">
        <f>SUM(BA$13:BA19)*CK19/1000</f>
        <v>0</v>
      </c>
      <c r="DV19">
        <f>SUM(BB$13:BB19)*CL19/1000</f>
        <v>0</v>
      </c>
      <c r="DW19">
        <f>SUM(BC$13:BC19)*CM19/1000</f>
        <v>0</v>
      </c>
      <c r="DX19">
        <f>SUM(BD$13:BD19)*CN19/1000</f>
        <v>0</v>
      </c>
      <c r="DY19">
        <f>SUM(BE$13:BE19)*CO19/1000</f>
        <v>0</v>
      </c>
      <c r="DZ19">
        <f>SUM(BF$13:BF19)*CP19/1000</f>
        <v>0</v>
      </c>
      <c r="EA19">
        <f>SUM(BG$13:BG19)*CQ19/1000</f>
        <v>0</v>
      </c>
      <c r="EB19">
        <f>SUM(BH$13:BH19)*CR19/1000</f>
        <v>0</v>
      </c>
      <c r="EC19">
        <f>SUM(BI$13:BI19)*CS19/1000</f>
        <v>0</v>
      </c>
      <c r="ED19">
        <f>SUM(BJ$13:BJ19)*CT19/1000</f>
        <v>0</v>
      </c>
      <c r="EE19">
        <f>SUM(BK$13:BK19)*CU19/1000</f>
        <v>0</v>
      </c>
      <c r="EF19">
        <f>SUM(BL$13:BL19)*CV19/1000</f>
        <v>0</v>
      </c>
      <c r="EG19">
        <f>SUM(BM$13:BM19)*CW19/1000</f>
        <v>0</v>
      </c>
      <c r="EH19">
        <f>SUM(BN$13:BN19)*CX19/1000</f>
        <v>0</v>
      </c>
      <c r="EI19">
        <f>SUM(BO$13:BO19)*CY19/1000</f>
        <v>0</v>
      </c>
      <c r="EJ19">
        <f>SUM(BP$13:BP19)*CZ19/1000</f>
        <v>0</v>
      </c>
      <c r="EK19">
        <f>SUM(BQ$13:BQ19)*DA19/1000</f>
        <v>0</v>
      </c>
      <c r="EL19">
        <f>SUM(BR$13:BR19)*DB19/1000</f>
        <v>0</v>
      </c>
      <c r="EM19">
        <f>SUM(BS$13:BS19)*DC19/1000</f>
        <v>0</v>
      </c>
      <c r="EN19">
        <f>SUM(BT$13:BT19)*DD19/1000</f>
        <v>0</v>
      </c>
      <c r="EO19">
        <f>SUM(BU$13:BU19)*DE19/1000</f>
        <v>0</v>
      </c>
      <c r="EP19">
        <f>SUM(BV$13:BV19)*DF19/1000</f>
        <v>0</v>
      </c>
      <c r="EQ19">
        <f>SUM(BW$13:BW19)*DG19/1000</f>
        <v>0</v>
      </c>
      <c r="ER19">
        <f>SUM(BX$13:BX19)*DH19/1000</f>
        <v>0</v>
      </c>
      <c r="ES19">
        <f>SUM(BY$13:BY19)*DI19/1000</f>
        <v>0</v>
      </c>
      <c r="ET19">
        <f>SUM(BZ$13:BZ19)*DJ19/1000</f>
        <v>0</v>
      </c>
      <c r="FA19">
        <f t="shared" si="20"/>
        <v>0</v>
      </c>
      <c r="FC19">
        <f t="shared" si="21"/>
        <v>2032</v>
      </c>
      <c r="FD19" s="45"/>
      <c r="FE19" s="86">
        <f t="shared" si="25"/>
        <v>0</v>
      </c>
    </row>
    <row r="20" spans="2:161">
      <c r="B20" s="210">
        <f t="shared" si="22"/>
        <v>2033</v>
      </c>
      <c r="C20" s="8">
        <f t="shared" si="7"/>
        <v>0</v>
      </c>
      <c r="D20" s="211"/>
      <c r="E20" s="8">
        <f t="shared" ca="1" si="23"/>
        <v>20.333515417173093</v>
      </c>
      <c r="F20" s="33"/>
      <c r="G20" s="8">
        <f t="shared" ca="1" si="24"/>
        <v>20.333515417173093</v>
      </c>
      <c r="H20" s="8"/>
      <c r="I20" s="331"/>
      <c r="J20" s="331"/>
      <c r="K20" s="331"/>
      <c r="O20">
        <f t="shared" si="8"/>
        <v>2033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X20">
        <f t="shared" si="9"/>
        <v>0</v>
      </c>
      <c r="AY20">
        <f t="shared" si="10"/>
        <v>0</v>
      </c>
      <c r="AZ20">
        <f t="shared" si="11"/>
        <v>0</v>
      </c>
      <c r="BA20">
        <f t="shared" si="12"/>
        <v>0</v>
      </c>
      <c r="BB20">
        <f t="shared" si="13"/>
        <v>0</v>
      </c>
      <c r="BC20">
        <f t="shared" si="14"/>
        <v>0</v>
      </c>
      <c r="BD20">
        <f t="shared" si="15"/>
        <v>0</v>
      </c>
      <c r="BE20">
        <f t="shared" si="16"/>
        <v>0</v>
      </c>
      <c r="BF20">
        <f t="shared" si="17"/>
        <v>0</v>
      </c>
      <c r="BG20">
        <f t="shared" si="18"/>
        <v>0</v>
      </c>
      <c r="BN20" s="45"/>
      <c r="CG20" s="145">
        <f t="shared" si="19"/>
        <v>2033</v>
      </c>
      <c r="CH20" s="70">
        <f>INDEX(Table3Compare!$B$6:$K$37,MATCH($CG20,Table3Compare!$A$6:$A$37,0),MATCH(CH$9,Table3Compare!$B$5:$K$5,0))</f>
        <v>134.41845254174956</v>
      </c>
      <c r="CI20" s="70">
        <f>INDEX(Table3Compare!$B$6:$K$37,MATCH($CG20,Table3Compare!$A$6:$A$37,0),MATCH(CI$9,Table3Compare!$B$5:$K$5,0))</f>
        <v>132.27036468258365</v>
      </c>
      <c r="CJ20" s="70">
        <f>INDEX(Table3Compare!$B$6:$K$37,MATCH($CG20,Table3Compare!$A$6:$A$37,0),MATCH(CJ$9,Table3Compare!$B$5:$K$5,0))</f>
        <v>131.29378588692646</v>
      </c>
      <c r="CK20" s="70">
        <f>INDEX(Table3Compare!$B$6:$K$37,MATCH($CG20,Table3Compare!$A$6:$A$37,0),MATCH(CK$9,Table3Compare!$B$5:$K$5,0))</f>
        <v>134.41845254174956</v>
      </c>
      <c r="CL20" s="70">
        <f>INDEX(Table3Compare!$B$6:$K$37,MATCH($CG20,Table3Compare!$A$6:$A$37,0),MATCH(CL$9,Table3Compare!$B$5:$K$5,0))</f>
        <v>132.27036468258365</v>
      </c>
      <c r="CM20" s="70">
        <f>INDEX(Table3Compare!$B$6:$K$37,MATCH($CG20,Table3Compare!$A$6:$A$37,0),MATCH(CM$9,Table3Compare!$B$5:$K$5,0))</f>
        <v>131.29378588692646</v>
      </c>
      <c r="CN20" s="70">
        <f>INDEX(Table3Compare!$B$6:$K$37,MATCH($CG20,Table3Compare!$A$6:$A$37,0),MATCH(CN$9,Table3Compare!$B$5:$K$5,0))</f>
        <v>105.21669718617223</v>
      </c>
      <c r="CO20" s="70">
        <f>INDEX(Table3Compare!$B$6:$K$37,MATCH($CG20,Table3Compare!$A$6:$A$37,0),MATCH(CO$9,Table3Compare!$B$5:$K$5,0))</f>
        <v>105.21669718617223</v>
      </c>
      <c r="CP20" s="70">
        <f>INDEX(Table3Compare!$B$6:$K$37,MATCH($CG20,Table3Compare!$A$6:$A$37,0),MATCH(CP$9,Table3Compare!$B$5:$K$5,0))</f>
        <v>105.21669718617223</v>
      </c>
      <c r="CQ20" s="70">
        <f>INDEX(Table3Compare!$B$6:$K$37,MATCH($CG20,Table3Compare!$A$6:$A$37,0),MATCH(CQ$9,Table3Compare!$B$5:$K$5,0))</f>
        <v>105.21669718617223</v>
      </c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152"/>
      <c r="DG20" s="152"/>
      <c r="DH20" s="70"/>
      <c r="DI20" s="152"/>
      <c r="DJ20" s="152"/>
      <c r="DK20" s="152"/>
      <c r="DL20" s="152"/>
      <c r="DM20" s="152"/>
      <c r="DR20">
        <f>SUM(AX$13:AX20)*CH20/1000</f>
        <v>0</v>
      </c>
      <c r="DS20">
        <f>SUM(AY$13:AY20)*CI20/1000</f>
        <v>0</v>
      </c>
      <c r="DT20">
        <f>SUM(AZ$13:AZ20)*CJ20/1000</f>
        <v>0</v>
      </c>
      <c r="DU20">
        <f>SUM(BA$13:BA20)*CK20/1000</f>
        <v>0</v>
      </c>
      <c r="DV20">
        <f>SUM(BB$13:BB20)*CL20/1000</f>
        <v>0</v>
      </c>
      <c r="DW20">
        <f>SUM(BC$13:BC20)*CM20/1000</f>
        <v>0</v>
      </c>
      <c r="DX20">
        <f>SUM(BD$13:BD20)*CN20/1000</f>
        <v>0</v>
      </c>
      <c r="DY20">
        <f>SUM(BE$13:BE20)*CO20/1000</f>
        <v>0</v>
      </c>
      <c r="DZ20">
        <f>SUM(BF$13:BF20)*CP20/1000</f>
        <v>0</v>
      </c>
      <c r="EA20">
        <f>SUM(BG$13:BG20)*CQ20/1000</f>
        <v>0</v>
      </c>
      <c r="EB20">
        <f>SUM(BH$13:BH20)*CR20/1000</f>
        <v>0</v>
      </c>
      <c r="EC20">
        <f>SUM(BI$13:BI20)*CS20/1000</f>
        <v>0</v>
      </c>
      <c r="ED20">
        <f>SUM(BJ$13:BJ20)*CT20/1000</f>
        <v>0</v>
      </c>
      <c r="EE20">
        <f>SUM(BK$13:BK20)*CU20/1000</f>
        <v>0</v>
      </c>
      <c r="EF20">
        <f>SUM(BL$13:BL20)*CV20/1000</f>
        <v>0</v>
      </c>
      <c r="EG20">
        <f>SUM(BM$13:BM20)*CW20/1000</f>
        <v>0</v>
      </c>
      <c r="EH20">
        <f>SUM(BN$13:BN20)*CX20/1000</f>
        <v>0</v>
      </c>
      <c r="EI20">
        <f>SUM(BO$13:BO20)*CY20/1000</f>
        <v>0</v>
      </c>
      <c r="EJ20">
        <f>SUM(BP$13:BP20)*CZ20/1000</f>
        <v>0</v>
      </c>
      <c r="EK20">
        <f>SUM(BQ$13:BQ20)*DA20/1000</f>
        <v>0</v>
      </c>
      <c r="EL20">
        <f>SUM(BR$13:BR20)*DB20/1000</f>
        <v>0</v>
      </c>
      <c r="EM20">
        <f>SUM(BS$13:BS20)*DC20/1000</f>
        <v>0</v>
      </c>
      <c r="EN20">
        <f>SUM(BT$13:BT20)*DD20/1000</f>
        <v>0</v>
      </c>
      <c r="EO20">
        <f>SUM(BU$13:BU20)*DE20/1000</f>
        <v>0</v>
      </c>
      <c r="EP20">
        <f>SUM(BV$13:BV20)*DF20/1000</f>
        <v>0</v>
      </c>
      <c r="EQ20">
        <f>SUM(BW$13:BW20)*DG20/1000</f>
        <v>0</v>
      </c>
      <c r="ER20">
        <f>SUM(BX$13:BX20)*DH20/1000</f>
        <v>0</v>
      </c>
      <c r="ES20">
        <f>SUM(BY$13:BY20)*DI20/1000</f>
        <v>0</v>
      </c>
      <c r="ET20">
        <f>SUM(BZ$13:BZ20)*DJ20/1000</f>
        <v>0</v>
      </c>
      <c r="FA20">
        <f t="shared" si="20"/>
        <v>0</v>
      </c>
      <c r="FC20">
        <f t="shared" si="21"/>
        <v>2033</v>
      </c>
      <c r="FD20" s="314"/>
      <c r="FE20" s="86">
        <f t="shared" si="25"/>
        <v>0</v>
      </c>
    </row>
    <row r="21" spans="2:161">
      <c r="B21" s="210">
        <f t="shared" si="22"/>
        <v>2034</v>
      </c>
      <c r="C21" s="8">
        <f t="shared" si="7"/>
        <v>0</v>
      </c>
      <c r="D21" s="211"/>
      <c r="E21" s="8">
        <f t="shared" ca="1" si="23"/>
        <v>20.604267243046614</v>
      </c>
      <c r="F21" s="33"/>
      <c r="G21" s="8">
        <f t="shared" ca="1" si="24"/>
        <v>20.604267243046614</v>
      </c>
      <c r="H21" s="8"/>
      <c r="I21" s="331"/>
      <c r="J21" s="331"/>
      <c r="K21" s="331"/>
      <c r="O21">
        <f t="shared" si="8"/>
        <v>2034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X21">
        <f t="shared" si="9"/>
        <v>0</v>
      </c>
      <c r="AY21">
        <f t="shared" si="10"/>
        <v>0</v>
      </c>
      <c r="AZ21">
        <f t="shared" si="11"/>
        <v>0</v>
      </c>
      <c r="BA21">
        <f t="shared" si="12"/>
        <v>0</v>
      </c>
      <c r="BB21">
        <f t="shared" si="13"/>
        <v>0</v>
      </c>
      <c r="BC21">
        <f t="shared" si="14"/>
        <v>0</v>
      </c>
      <c r="BD21">
        <f t="shared" si="15"/>
        <v>0</v>
      </c>
      <c r="BE21">
        <f t="shared" si="16"/>
        <v>0</v>
      </c>
      <c r="BF21">
        <f t="shared" si="17"/>
        <v>0</v>
      </c>
      <c r="BG21">
        <f t="shared" si="18"/>
        <v>0</v>
      </c>
      <c r="CG21" s="145">
        <f t="shared" si="19"/>
        <v>2034</v>
      </c>
      <c r="CH21" s="70">
        <f>INDEX(Table3Compare!$B$6:$K$37,MATCH($CG21,Table3Compare!$A$6:$A$37,0),MATCH(CH$9,Table3Compare!$B$5:$K$5,0))</f>
        <v>137.34877490736955</v>
      </c>
      <c r="CI21" s="70">
        <f>INDEX(Table3Compare!$B$6:$K$37,MATCH($CG21,Table3Compare!$A$6:$A$37,0),MATCH(CI$9,Table3Compare!$B$5:$K$5,0))</f>
        <v>135.15385873127238</v>
      </c>
      <c r="CJ21" s="70">
        <f>INDEX(Table3Compare!$B$6:$K$37,MATCH($CG21,Table3Compare!$A$6:$A$37,0),MATCH(CJ$9,Table3Compare!$B$5:$K$5,0))</f>
        <v>134.15599051714182</v>
      </c>
      <c r="CK21" s="70">
        <f>INDEX(Table3Compare!$B$6:$K$37,MATCH($CG21,Table3Compare!$A$6:$A$37,0),MATCH(CK$9,Table3Compare!$B$5:$K$5,0))</f>
        <v>137.34877490736955</v>
      </c>
      <c r="CL21" s="70">
        <f>INDEX(Table3Compare!$B$6:$K$37,MATCH($CG21,Table3Compare!$A$6:$A$37,0),MATCH(CL$9,Table3Compare!$B$5:$K$5,0))</f>
        <v>135.15385873127238</v>
      </c>
      <c r="CM21" s="70">
        <f>INDEX(Table3Compare!$B$6:$K$37,MATCH($CG21,Table3Compare!$A$6:$A$37,0),MATCH(CM$9,Table3Compare!$B$5:$K$5,0))</f>
        <v>134.15599051714182</v>
      </c>
      <c r="CN21" s="70">
        <f>INDEX(Table3Compare!$B$6:$K$37,MATCH($CG21,Table3Compare!$A$6:$A$37,0),MATCH(CN$9,Table3Compare!$B$5:$K$5,0))</f>
        <v>107.51042126327052</v>
      </c>
      <c r="CO21" s="70">
        <f>INDEX(Table3Compare!$B$6:$K$37,MATCH($CG21,Table3Compare!$A$6:$A$37,0),MATCH(CO$9,Table3Compare!$B$5:$K$5,0))</f>
        <v>107.51042126327052</v>
      </c>
      <c r="CP21" s="70">
        <f>INDEX(Table3Compare!$B$6:$K$37,MATCH($CG21,Table3Compare!$A$6:$A$37,0),MATCH(CP$9,Table3Compare!$B$5:$K$5,0))</f>
        <v>107.51042126327052</v>
      </c>
      <c r="CQ21" s="70">
        <f>INDEX(Table3Compare!$B$6:$K$37,MATCH($CG21,Table3Compare!$A$6:$A$37,0),MATCH(CQ$9,Table3Compare!$B$5:$K$5,0))</f>
        <v>107.51042126327052</v>
      </c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152"/>
      <c r="DG21" s="152"/>
      <c r="DH21" s="70"/>
      <c r="DI21" s="152"/>
      <c r="DJ21" s="152"/>
      <c r="DK21" s="152"/>
      <c r="DL21" s="152"/>
      <c r="DM21" s="152"/>
      <c r="DR21">
        <f>SUM(AX$13:AX21)*CH21/1000</f>
        <v>0</v>
      </c>
      <c r="DS21">
        <f>SUM(AY$13:AY21)*CI21/1000</f>
        <v>0</v>
      </c>
      <c r="DT21">
        <f>SUM(AZ$13:AZ21)*CJ21/1000</f>
        <v>0</v>
      </c>
      <c r="DU21">
        <f>SUM(BA$13:BA21)*CK21/1000</f>
        <v>0</v>
      </c>
      <c r="DV21">
        <f>SUM(BB$13:BB21)*CL21/1000</f>
        <v>0</v>
      </c>
      <c r="DW21">
        <f>SUM(BC$13:BC21)*CM21/1000</f>
        <v>0</v>
      </c>
      <c r="DX21">
        <f>SUM(BD$13:BD21)*CN21/1000</f>
        <v>0</v>
      </c>
      <c r="DY21">
        <f>SUM(BE$13:BE21)*CO21/1000</f>
        <v>0</v>
      </c>
      <c r="DZ21">
        <f>SUM(BF$13:BF21)*CP21/1000</f>
        <v>0</v>
      </c>
      <c r="EA21">
        <f>SUM(BG$13:BG21)*CQ21/1000</f>
        <v>0</v>
      </c>
      <c r="EB21">
        <f>SUM(BH$13:BH21)*CR21/1000</f>
        <v>0</v>
      </c>
      <c r="EC21">
        <f>SUM(BI$13:BI21)*CS21/1000</f>
        <v>0</v>
      </c>
      <c r="ED21">
        <f>SUM(BJ$13:BJ21)*CT21/1000</f>
        <v>0</v>
      </c>
      <c r="EE21">
        <f>SUM(BK$13:BK21)*CU21/1000</f>
        <v>0</v>
      </c>
      <c r="EF21">
        <f>SUM(BL$13:BL21)*CV21/1000</f>
        <v>0</v>
      </c>
      <c r="EG21">
        <f>SUM(BM$13:BM21)*CW21/1000</f>
        <v>0</v>
      </c>
      <c r="EH21">
        <f>SUM(BN$13:BN21)*CX21/1000</f>
        <v>0</v>
      </c>
      <c r="EI21">
        <f>SUM(BO$13:BO21)*CY21/1000</f>
        <v>0</v>
      </c>
      <c r="EJ21">
        <f>SUM(BP$13:BP21)*CZ21/1000</f>
        <v>0</v>
      </c>
      <c r="EK21">
        <f>SUM(BQ$13:BQ21)*DA21/1000</f>
        <v>0</v>
      </c>
      <c r="EL21">
        <f>SUM(BR$13:BR21)*DB21/1000</f>
        <v>0</v>
      </c>
      <c r="EM21">
        <f>SUM(BS$13:BS21)*DC21/1000</f>
        <v>0</v>
      </c>
      <c r="EN21">
        <f>SUM(BT$13:BT21)*DD21/1000</f>
        <v>0</v>
      </c>
      <c r="EO21">
        <f>SUM(BU$13:BU21)*DE21/1000</f>
        <v>0</v>
      </c>
      <c r="EP21">
        <f>SUM(BV$13:BV21)*DF21/1000</f>
        <v>0</v>
      </c>
      <c r="EQ21">
        <f>SUM(BW$13:BW21)*DG21/1000</f>
        <v>0</v>
      </c>
      <c r="ER21">
        <f>SUM(BX$13:BX21)*DH21/1000</f>
        <v>0</v>
      </c>
      <c r="ES21">
        <f>SUM(BY$13:BY21)*DI21/1000</f>
        <v>0</v>
      </c>
      <c r="ET21">
        <f>SUM(BZ$13:BZ21)*DJ21/1000</f>
        <v>0</v>
      </c>
      <c r="FA21">
        <f t="shared" si="20"/>
        <v>0</v>
      </c>
      <c r="FC21">
        <f t="shared" si="21"/>
        <v>2034</v>
      </c>
      <c r="FD21" s="69"/>
      <c r="FE21" s="86">
        <f t="shared" si="25"/>
        <v>0</v>
      </c>
    </row>
    <row r="22" spans="2:161">
      <c r="B22" s="210">
        <f t="shared" si="22"/>
        <v>2035</v>
      </c>
      <c r="C22" s="8">
        <f t="shared" si="7"/>
        <v>0</v>
      </c>
      <c r="D22" s="211"/>
      <c r="E22" s="8">
        <f t="shared" ca="1" si="23"/>
        <v>22.553521609540311</v>
      </c>
      <c r="F22" s="33"/>
      <c r="G22" s="8">
        <f t="shared" ca="1" si="24"/>
        <v>22.553521609540311</v>
      </c>
      <c r="H22" s="8"/>
      <c r="I22" s="331"/>
      <c r="J22" s="331"/>
      <c r="K22" s="331"/>
      <c r="O22">
        <f t="shared" si="8"/>
        <v>2035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X22">
        <f t="shared" si="9"/>
        <v>0</v>
      </c>
      <c r="AY22">
        <f t="shared" si="10"/>
        <v>0</v>
      </c>
      <c r="AZ22">
        <f t="shared" si="11"/>
        <v>0</v>
      </c>
      <c r="BA22">
        <f t="shared" si="12"/>
        <v>0</v>
      </c>
      <c r="BB22">
        <f t="shared" si="13"/>
        <v>0</v>
      </c>
      <c r="BC22">
        <f t="shared" si="14"/>
        <v>0</v>
      </c>
      <c r="BD22">
        <f t="shared" si="15"/>
        <v>0</v>
      </c>
      <c r="BE22">
        <f t="shared" si="16"/>
        <v>0</v>
      </c>
      <c r="BF22">
        <f t="shared" si="17"/>
        <v>0</v>
      </c>
      <c r="BG22">
        <f t="shared" si="18"/>
        <v>0</v>
      </c>
      <c r="CG22" s="145">
        <f t="shared" si="19"/>
        <v>2035</v>
      </c>
      <c r="CH22" s="70">
        <f>INDEX(Table3Compare!$B$6:$K$37,MATCH($CG22,Table3Compare!$A$6:$A$37,0),MATCH(CH$9,Table3Compare!$B$5:$K$5,0))</f>
        <v>140.34297816516823</v>
      </c>
      <c r="CI22" s="70">
        <f>INDEX(Table3Compare!$B$6:$K$37,MATCH($CG22,Table3Compare!$A$6:$A$37,0),MATCH(CI$9,Table3Compare!$B$5:$K$5,0))</f>
        <v>138.10021281699443</v>
      </c>
      <c r="CJ22" s="70">
        <f>INDEX(Table3Compare!$B$6:$K$37,MATCH($CG22,Table3Compare!$A$6:$A$37,0),MATCH(CJ$9,Table3Compare!$B$5:$K$5,0))</f>
        <v>137.08059107605141</v>
      </c>
      <c r="CK22" s="70">
        <f>INDEX(Table3Compare!$B$6:$K$37,MATCH($CG22,Table3Compare!$A$6:$A$37,0),MATCH(CK$9,Table3Compare!$B$5:$K$5,0))</f>
        <v>140.34297816516823</v>
      </c>
      <c r="CL22" s="70">
        <f>INDEX(Table3Compare!$B$6:$K$37,MATCH($CG22,Table3Compare!$A$6:$A$37,0),MATCH(CL$9,Table3Compare!$B$5:$K$5,0))</f>
        <v>138.10021281699443</v>
      </c>
      <c r="CM22" s="70">
        <f>INDEX(Table3Compare!$B$6:$K$37,MATCH($CG22,Table3Compare!$A$6:$A$37,0),MATCH(CM$9,Table3Compare!$B$5:$K$5,0))</f>
        <v>137.08059107605141</v>
      </c>
      <c r="CN22" s="70">
        <f>INDEX(Table3Compare!$B$6:$K$37,MATCH($CG22,Table3Compare!$A$6:$A$37,0),MATCH(CN$9,Table3Compare!$B$5:$K$5,0))</f>
        <v>109.85414841927098</v>
      </c>
      <c r="CO22" s="70">
        <f>INDEX(Table3Compare!$B$6:$K$37,MATCH($CG22,Table3Compare!$A$6:$A$37,0),MATCH(CO$9,Table3Compare!$B$5:$K$5,0))</f>
        <v>109.85414841927098</v>
      </c>
      <c r="CP22" s="70">
        <f>INDEX(Table3Compare!$B$6:$K$37,MATCH($CG22,Table3Compare!$A$6:$A$37,0),MATCH(CP$9,Table3Compare!$B$5:$K$5,0))</f>
        <v>109.85414841927098</v>
      </c>
      <c r="CQ22" s="70">
        <f>INDEX(Table3Compare!$B$6:$K$37,MATCH($CG22,Table3Compare!$A$6:$A$37,0),MATCH(CQ$9,Table3Compare!$B$5:$K$5,0))</f>
        <v>109.85414841927098</v>
      </c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152"/>
      <c r="DG22" s="152"/>
      <c r="DH22" s="70"/>
      <c r="DI22" s="152"/>
      <c r="DJ22" s="152"/>
      <c r="DK22" s="152"/>
      <c r="DL22" s="152"/>
      <c r="DM22" s="152"/>
      <c r="DR22">
        <f>SUM(AX$13:AX22)*CH22/1000</f>
        <v>0</v>
      </c>
      <c r="DS22">
        <f>SUM(AY$13:AY22)*CI22/1000</f>
        <v>0</v>
      </c>
      <c r="DT22">
        <f>SUM(AZ$13:AZ22)*CJ22/1000</f>
        <v>0</v>
      </c>
      <c r="DU22">
        <f>SUM(BA$13:BA22)*CK22/1000</f>
        <v>0</v>
      </c>
      <c r="DV22">
        <f>SUM(BB$13:BB22)*CL22/1000</f>
        <v>0</v>
      </c>
      <c r="DW22">
        <f>SUM(BC$13:BC22)*CM22/1000</f>
        <v>0</v>
      </c>
      <c r="DX22">
        <f>SUM(BD$13:BD22)*CN22/1000</f>
        <v>0</v>
      </c>
      <c r="DY22">
        <f>SUM(BE$13:BE22)*CO22/1000</f>
        <v>0</v>
      </c>
      <c r="DZ22">
        <f>SUM(BF$13:BF22)*CP22/1000</f>
        <v>0</v>
      </c>
      <c r="EA22">
        <f>SUM(BG$13:BG22)*CQ22/1000</f>
        <v>0</v>
      </c>
      <c r="EB22">
        <f>SUM(BH$13:BH22)*CR22/1000</f>
        <v>0</v>
      </c>
      <c r="EC22">
        <f>SUM(BI$13:BI22)*CS22/1000</f>
        <v>0</v>
      </c>
      <c r="ED22">
        <f>SUM(BJ$13:BJ22)*CT22/1000</f>
        <v>0</v>
      </c>
      <c r="EE22">
        <f>SUM(BK$13:BK22)*CU22/1000</f>
        <v>0</v>
      </c>
      <c r="EF22">
        <f>SUM(BL$13:BL22)*CV22/1000</f>
        <v>0</v>
      </c>
      <c r="EG22">
        <f>SUM(BM$13:BM22)*CW22/1000</f>
        <v>0</v>
      </c>
      <c r="EH22">
        <f>SUM(BN$13:BN22)*CX22/1000</f>
        <v>0</v>
      </c>
      <c r="EI22">
        <f>SUM(BO$13:BO22)*CY22/1000</f>
        <v>0</v>
      </c>
      <c r="EJ22">
        <f>SUM(BP$13:BP22)*CZ22/1000</f>
        <v>0</v>
      </c>
      <c r="EK22">
        <f>SUM(BQ$13:BQ22)*DA22/1000</f>
        <v>0</v>
      </c>
      <c r="EL22">
        <f>SUM(BR$13:BR22)*DB22/1000</f>
        <v>0</v>
      </c>
      <c r="EM22">
        <f>SUM(BS$13:BS22)*DC22/1000</f>
        <v>0</v>
      </c>
      <c r="EN22">
        <f>SUM(BT$13:BT22)*DD22/1000</f>
        <v>0</v>
      </c>
      <c r="EO22">
        <f>SUM(BU$13:BU22)*DE22/1000</f>
        <v>0</v>
      </c>
      <c r="EP22">
        <f>SUM(BV$13:BV22)*DF22/1000</f>
        <v>0</v>
      </c>
      <c r="EQ22">
        <f>SUM(BW$13:BW22)*DG22/1000</f>
        <v>0</v>
      </c>
      <c r="ER22">
        <f>SUM(BX$13:BX22)*DH22/1000</f>
        <v>0</v>
      </c>
      <c r="ES22">
        <f>SUM(BY$13:BY22)*DI22/1000</f>
        <v>0</v>
      </c>
      <c r="ET22">
        <f>SUM(BZ$13:BZ22)*DJ22/1000</f>
        <v>0</v>
      </c>
      <c r="FA22">
        <f t="shared" si="20"/>
        <v>0</v>
      </c>
      <c r="FC22">
        <f t="shared" si="21"/>
        <v>2035</v>
      </c>
      <c r="FD22" s="69"/>
      <c r="FE22" s="86">
        <f t="shared" si="25"/>
        <v>0</v>
      </c>
    </row>
    <row r="23" spans="2:161">
      <c r="B23" s="210">
        <f t="shared" si="22"/>
        <v>2036</v>
      </c>
      <c r="C23" s="8">
        <f t="shared" si="7"/>
        <v>0</v>
      </c>
      <c r="D23" s="211"/>
      <c r="E23" s="8">
        <f t="shared" ca="1" si="23"/>
        <v>23.218464178926716</v>
      </c>
      <c r="F23" s="33"/>
      <c r="G23" s="8">
        <f t="shared" ca="1" si="24"/>
        <v>23.218464178926716</v>
      </c>
      <c r="H23" s="8"/>
      <c r="I23" s="331"/>
      <c r="J23" s="331"/>
      <c r="K23" s="331"/>
      <c r="O23">
        <f t="shared" si="8"/>
        <v>2036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X23">
        <f t="shared" si="9"/>
        <v>0</v>
      </c>
      <c r="AY23">
        <f t="shared" si="10"/>
        <v>0</v>
      </c>
      <c r="AZ23">
        <f t="shared" si="11"/>
        <v>0</v>
      </c>
      <c r="BA23">
        <f t="shared" si="12"/>
        <v>0</v>
      </c>
      <c r="BB23">
        <f t="shared" si="13"/>
        <v>0</v>
      </c>
      <c r="BC23">
        <f t="shared" si="14"/>
        <v>0</v>
      </c>
      <c r="BD23">
        <f t="shared" si="15"/>
        <v>0</v>
      </c>
      <c r="BE23">
        <f t="shared" si="16"/>
        <v>0</v>
      </c>
      <c r="BF23">
        <f t="shared" si="17"/>
        <v>0</v>
      </c>
      <c r="BG23">
        <f t="shared" si="18"/>
        <v>0</v>
      </c>
      <c r="CG23" s="145">
        <f t="shared" si="19"/>
        <v>2036</v>
      </c>
      <c r="CH23" s="70">
        <f>INDEX(Table3Compare!$B$6:$K$37,MATCH($CG23,Table3Compare!$A$6:$A$37,0),MATCH(CH$9,Table3Compare!$B$5:$K$5,0))</f>
        <v>143.40245509016526</v>
      </c>
      <c r="CI23" s="70">
        <f>INDEX(Table3Compare!$B$6:$K$37,MATCH($CG23,Table3Compare!$A$6:$A$37,0),MATCH(CI$9,Table3Compare!$B$5:$K$5,0))</f>
        <v>141.1107974573853</v>
      </c>
      <c r="CJ23" s="70">
        <f>INDEX(Table3Compare!$B$6:$K$37,MATCH($CG23,Table3Compare!$A$6:$A$37,0),MATCH(CJ$9,Table3Compare!$B$5:$K$5,0))</f>
        <v>140.0689479624825</v>
      </c>
      <c r="CK23" s="70">
        <f>INDEX(Table3Compare!$B$6:$K$37,MATCH($CG23,Table3Compare!$A$6:$A$37,0),MATCH(CK$9,Table3Compare!$B$5:$K$5,0))</f>
        <v>143.40245509016526</v>
      </c>
      <c r="CL23" s="70">
        <f>INDEX(Table3Compare!$B$6:$K$37,MATCH($CG23,Table3Compare!$A$6:$A$37,0),MATCH(CL$9,Table3Compare!$B$5:$K$5,0))</f>
        <v>141.1107974573853</v>
      </c>
      <c r="CM23" s="70">
        <f>INDEX(Table3Compare!$B$6:$K$37,MATCH($CG23,Table3Compare!$A$6:$A$37,0),MATCH(CM$9,Table3Compare!$B$5:$K$5,0))</f>
        <v>140.0689479624825</v>
      </c>
      <c r="CN23" s="70">
        <f>INDEX(Table3Compare!$B$6:$K$37,MATCH($CG23,Table3Compare!$A$6:$A$37,0),MATCH(CN$9,Table3Compare!$B$5:$K$5,0))</f>
        <v>112.24896885559099</v>
      </c>
      <c r="CO23" s="70">
        <f>INDEX(Table3Compare!$B$6:$K$37,MATCH($CG23,Table3Compare!$A$6:$A$37,0),MATCH(CO$9,Table3Compare!$B$5:$K$5,0))</f>
        <v>112.24896885559099</v>
      </c>
      <c r="CP23" s="70">
        <f>INDEX(Table3Compare!$B$6:$K$37,MATCH($CG23,Table3Compare!$A$6:$A$37,0),MATCH(CP$9,Table3Compare!$B$5:$K$5,0))</f>
        <v>112.24896885559099</v>
      </c>
      <c r="CQ23" s="70">
        <f>INDEX(Table3Compare!$B$6:$K$37,MATCH($CG23,Table3Compare!$A$6:$A$37,0),MATCH(CQ$9,Table3Compare!$B$5:$K$5,0))</f>
        <v>112.24896885559099</v>
      </c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152"/>
      <c r="DG23" s="152"/>
      <c r="DH23" s="70"/>
      <c r="DI23" s="152"/>
      <c r="DJ23" s="152"/>
      <c r="DK23" s="152"/>
      <c r="DL23" s="152"/>
      <c r="DM23" s="152"/>
      <c r="DR23">
        <f>SUM(AX$13:AX23)*CH23/1000</f>
        <v>0</v>
      </c>
      <c r="DS23">
        <f>SUM(AY$13:AY23)*CI23/1000</f>
        <v>0</v>
      </c>
      <c r="DT23">
        <f>SUM(AZ$13:AZ23)*CJ23/1000</f>
        <v>0</v>
      </c>
      <c r="DU23">
        <f>SUM(BA$13:BA23)*CK23/1000</f>
        <v>0</v>
      </c>
      <c r="DV23">
        <f>SUM(BB$13:BB23)*CL23/1000</f>
        <v>0</v>
      </c>
      <c r="DW23">
        <f>SUM(BC$13:BC23)*CM23/1000</f>
        <v>0</v>
      </c>
      <c r="DX23">
        <f>SUM(BD$13:BD23)*CN23/1000</f>
        <v>0</v>
      </c>
      <c r="DY23">
        <f>SUM(BE$13:BE23)*CO23/1000</f>
        <v>0</v>
      </c>
      <c r="DZ23">
        <f>SUM(BF$13:BF23)*CP23/1000</f>
        <v>0</v>
      </c>
      <c r="EA23">
        <f>SUM(BG$13:BG23)*CQ23/1000</f>
        <v>0</v>
      </c>
      <c r="EB23">
        <f>SUM(BH$13:BH23)*CR23/1000</f>
        <v>0</v>
      </c>
      <c r="EC23">
        <f>SUM(BI$13:BI23)*CS23/1000</f>
        <v>0</v>
      </c>
      <c r="ED23">
        <f>SUM(BJ$13:BJ23)*CT23/1000</f>
        <v>0</v>
      </c>
      <c r="EE23">
        <f>SUM(BK$13:BK23)*CU23/1000</f>
        <v>0</v>
      </c>
      <c r="EF23">
        <f>SUM(BL$13:BL23)*CV23/1000</f>
        <v>0</v>
      </c>
      <c r="EG23">
        <f>SUM(BM$13:BM23)*CW23/1000</f>
        <v>0</v>
      </c>
      <c r="EH23">
        <f>SUM(BN$13:BN23)*CX23/1000</f>
        <v>0</v>
      </c>
      <c r="EI23">
        <f>SUM(BO$13:BO23)*CY23/1000</f>
        <v>0</v>
      </c>
      <c r="EJ23">
        <f>SUM(BP$13:BP23)*CZ23/1000</f>
        <v>0</v>
      </c>
      <c r="EK23">
        <f>SUM(BQ$13:BQ23)*DA23/1000</f>
        <v>0</v>
      </c>
      <c r="EL23">
        <f>SUM(BR$13:BR23)*DB23/1000</f>
        <v>0</v>
      </c>
      <c r="EM23">
        <f>SUM(BS$13:BS23)*DC23/1000</f>
        <v>0</v>
      </c>
      <c r="EN23">
        <f>SUM(BT$13:BT23)*DD23/1000</f>
        <v>0</v>
      </c>
      <c r="EO23">
        <f>SUM(BU$13:BU23)*DE23/1000</f>
        <v>0</v>
      </c>
      <c r="EP23">
        <f>SUM(BV$13:BV23)*DF23/1000</f>
        <v>0</v>
      </c>
      <c r="EQ23">
        <f>SUM(BW$13:BW23)*DG23/1000</f>
        <v>0</v>
      </c>
      <c r="ER23">
        <f>SUM(BX$13:BX23)*DH23/1000</f>
        <v>0</v>
      </c>
      <c r="ES23">
        <f>SUM(BY$13:BY23)*DI23/1000</f>
        <v>0</v>
      </c>
      <c r="ET23">
        <f>SUM(BZ$13:BZ23)*DJ23/1000</f>
        <v>0</v>
      </c>
      <c r="FA23">
        <f t="shared" si="20"/>
        <v>0</v>
      </c>
      <c r="FC23">
        <f t="shared" si="21"/>
        <v>2036</v>
      </c>
      <c r="FD23" s="69"/>
      <c r="FE23" s="86">
        <f t="shared" si="25"/>
        <v>0</v>
      </c>
    </row>
    <row r="24" spans="2:161">
      <c r="B24" s="210">
        <f t="shared" si="22"/>
        <v>2037</v>
      </c>
      <c r="C24" s="8">
        <f t="shared" si="7"/>
        <v>0</v>
      </c>
      <c r="D24" s="211"/>
      <c r="E24" s="8">
        <f t="shared" ca="1" si="23"/>
        <v>26.210276746130994</v>
      </c>
      <c r="F24" s="33"/>
      <c r="G24" s="8">
        <f t="shared" ca="1" si="24"/>
        <v>26.210276746130994</v>
      </c>
      <c r="H24" s="8"/>
      <c r="I24" s="331"/>
      <c r="J24" s="331"/>
      <c r="K24" s="331"/>
      <c r="O24">
        <f t="shared" si="8"/>
        <v>2037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X24">
        <f t="shared" si="9"/>
        <v>0</v>
      </c>
      <c r="AY24">
        <f t="shared" si="10"/>
        <v>0</v>
      </c>
      <c r="AZ24">
        <f t="shared" si="11"/>
        <v>0</v>
      </c>
      <c r="BA24">
        <f t="shared" si="12"/>
        <v>0</v>
      </c>
      <c r="BB24">
        <f t="shared" si="13"/>
        <v>0</v>
      </c>
      <c r="BC24">
        <f t="shared" si="14"/>
        <v>0</v>
      </c>
      <c r="BD24">
        <f t="shared" si="15"/>
        <v>0</v>
      </c>
      <c r="BE24">
        <f t="shared" si="16"/>
        <v>0</v>
      </c>
      <c r="BF24">
        <f t="shared" si="17"/>
        <v>0</v>
      </c>
      <c r="BG24">
        <f t="shared" si="18"/>
        <v>0</v>
      </c>
      <c r="CG24" s="145">
        <f t="shared" si="19"/>
        <v>2037</v>
      </c>
      <c r="CH24" s="70">
        <f>INDEX(Table3Compare!$B$6:$K$37,MATCH($CG24,Table3Compare!$A$6:$A$37,0),MATCH(CH$9,Table3Compare!$B$5:$K$5,0))</f>
        <v>146.52862856904096</v>
      </c>
      <c r="CI24" s="70">
        <f>INDEX(Table3Compare!$B$6:$K$37,MATCH($CG24,Table3Compare!$A$6:$A$37,0),MATCH(CI$9,Table3Compare!$B$5:$K$5,0))</f>
        <v>144.18701280053904</v>
      </c>
      <c r="CJ24" s="70">
        <f>INDEX(Table3Compare!$B$6:$K$37,MATCH($CG24,Table3Compare!$A$6:$A$37,0),MATCH(CJ$9,Table3Compare!$B$5:$K$5,0))</f>
        <v>143.12245098695314</v>
      </c>
      <c r="CK24" s="70">
        <f>INDEX(Table3Compare!$B$6:$K$37,MATCH($CG24,Table3Compare!$A$6:$A$37,0),MATCH(CK$9,Table3Compare!$B$5:$K$5,0))</f>
        <v>146.52862856904096</v>
      </c>
      <c r="CL24" s="70">
        <f>INDEX(Table3Compare!$B$6:$K$37,MATCH($CG24,Table3Compare!$A$6:$A$37,0),MATCH(CL$9,Table3Compare!$B$5:$K$5,0))</f>
        <v>144.18701280053904</v>
      </c>
      <c r="CM24" s="70">
        <f>INDEX(Table3Compare!$B$6:$K$37,MATCH($CG24,Table3Compare!$A$6:$A$37,0),MATCH(CM$9,Table3Compare!$B$5:$K$5,0))</f>
        <v>143.12245098695314</v>
      </c>
      <c r="CN24" s="70">
        <f>INDEX(Table3Compare!$B$6:$K$37,MATCH($CG24,Table3Compare!$A$6:$A$37,0),MATCH(CN$9,Table3Compare!$B$5:$K$5,0))</f>
        <v>114.69599634369681</v>
      </c>
      <c r="CO24" s="70">
        <f>INDEX(Table3Compare!$B$6:$K$37,MATCH($CG24,Table3Compare!$A$6:$A$37,0),MATCH(CO$9,Table3Compare!$B$5:$K$5,0))</f>
        <v>114.69599634369681</v>
      </c>
      <c r="CP24" s="70">
        <f>INDEX(Table3Compare!$B$6:$K$37,MATCH($CG24,Table3Compare!$A$6:$A$37,0),MATCH(CP$9,Table3Compare!$B$5:$K$5,0))</f>
        <v>114.69599634369681</v>
      </c>
      <c r="CQ24" s="70">
        <f>INDEX(Table3Compare!$B$6:$K$37,MATCH($CG24,Table3Compare!$A$6:$A$37,0),MATCH(CQ$9,Table3Compare!$B$5:$K$5,0))</f>
        <v>114.69599634369681</v>
      </c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152"/>
      <c r="DG24" s="152"/>
      <c r="DH24" s="70"/>
      <c r="DI24" s="152"/>
      <c r="DJ24" s="152"/>
      <c r="DK24" s="152"/>
      <c r="DL24" s="152"/>
      <c r="DM24" s="152"/>
      <c r="DR24">
        <f>SUM(AX$13:AX24)*CH24/1000</f>
        <v>0</v>
      </c>
      <c r="DS24">
        <f>SUM(AY$13:AY24)*CI24/1000</f>
        <v>0</v>
      </c>
      <c r="DT24">
        <f>SUM(AZ$13:AZ24)*CJ24/1000</f>
        <v>0</v>
      </c>
      <c r="DU24">
        <f>SUM(BA$13:BA24)*CK24/1000</f>
        <v>0</v>
      </c>
      <c r="DV24">
        <f>SUM(BB$13:BB24)*CL24/1000</f>
        <v>0</v>
      </c>
      <c r="DW24">
        <f>SUM(BC$13:BC24)*CM24/1000</f>
        <v>0</v>
      </c>
      <c r="DX24">
        <f>SUM(BD$13:BD24)*CN24/1000</f>
        <v>0</v>
      </c>
      <c r="DY24">
        <f>SUM(BE$13:BE24)*CO24/1000</f>
        <v>0</v>
      </c>
      <c r="DZ24">
        <f>SUM(BF$13:BF24)*CP24/1000</f>
        <v>0</v>
      </c>
      <c r="EA24">
        <f>SUM(BG$13:BG24)*CQ24/1000</f>
        <v>0</v>
      </c>
      <c r="EB24">
        <f>SUM(BH$13:BH24)*CR24/1000</f>
        <v>0</v>
      </c>
      <c r="EC24">
        <f>SUM(BI$13:BI24)*CS24/1000</f>
        <v>0</v>
      </c>
      <c r="ED24">
        <f>SUM(BJ$13:BJ24)*CT24/1000</f>
        <v>0</v>
      </c>
      <c r="EE24">
        <f>SUM(BK$13:BK24)*CU24/1000</f>
        <v>0</v>
      </c>
      <c r="EF24">
        <f>SUM(BL$13:BL24)*CV24/1000</f>
        <v>0</v>
      </c>
      <c r="EG24">
        <f>SUM(BM$13:BM24)*CW24/1000</f>
        <v>0</v>
      </c>
      <c r="EH24">
        <f>SUM(BN$13:BN24)*CX24/1000</f>
        <v>0</v>
      </c>
      <c r="EI24">
        <f>SUM(BO$13:BO24)*CY24/1000</f>
        <v>0</v>
      </c>
      <c r="EJ24">
        <f>SUM(BP$13:BP24)*CZ24/1000</f>
        <v>0</v>
      </c>
      <c r="EK24">
        <f>SUM(BQ$13:BQ24)*DA24/1000</f>
        <v>0</v>
      </c>
      <c r="EL24">
        <f>SUM(BR$13:BR24)*DB24/1000</f>
        <v>0</v>
      </c>
      <c r="EM24">
        <f>SUM(BS$13:BS24)*DC24/1000</f>
        <v>0</v>
      </c>
      <c r="EN24">
        <f>SUM(BT$13:BT24)*DD24/1000</f>
        <v>0</v>
      </c>
      <c r="EO24">
        <f>SUM(BU$13:BU24)*DE24/1000</f>
        <v>0</v>
      </c>
      <c r="EP24">
        <f>SUM(BV$13:BV24)*DF24/1000</f>
        <v>0</v>
      </c>
      <c r="EQ24">
        <f>SUM(BW$13:BW24)*DG24/1000</f>
        <v>0</v>
      </c>
      <c r="ER24">
        <f>SUM(BX$13:BX24)*DH24/1000</f>
        <v>0</v>
      </c>
      <c r="ES24">
        <f>SUM(BY$13:BY24)*DI24/1000</f>
        <v>0</v>
      </c>
      <c r="ET24">
        <f>SUM(BZ$13:BZ24)*DJ24/1000</f>
        <v>0</v>
      </c>
      <c r="FA24">
        <f t="shared" si="20"/>
        <v>0</v>
      </c>
      <c r="FC24">
        <f t="shared" si="21"/>
        <v>2037</v>
      </c>
      <c r="FD24" s="69"/>
      <c r="FE24" s="86">
        <f t="shared" si="25"/>
        <v>0</v>
      </c>
    </row>
    <row r="25" spans="2:161">
      <c r="B25" s="210">
        <f t="shared" si="22"/>
        <v>2038</v>
      </c>
      <c r="C25" s="8">
        <f t="shared" si="7"/>
        <v>0</v>
      </c>
      <c r="D25" s="211"/>
      <c r="E25" s="8">
        <f t="shared" ca="1" si="23"/>
        <v>26.299738006998869</v>
      </c>
      <c r="F25" s="33"/>
      <c r="G25" s="8">
        <f t="shared" ca="1" si="24"/>
        <v>26.299738006998869</v>
      </c>
      <c r="H25" s="8"/>
      <c r="I25" s="331"/>
      <c r="J25" s="331"/>
      <c r="K25" s="331"/>
      <c r="O25">
        <f t="shared" si="8"/>
        <v>2038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X25">
        <f t="shared" si="9"/>
        <v>0</v>
      </c>
      <c r="AY25">
        <f t="shared" si="10"/>
        <v>0</v>
      </c>
      <c r="AZ25">
        <f t="shared" si="11"/>
        <v>0</v>
      </c>
      <c r="BA25">
        <f t="shared" si="12"/>
        <v>0</v>
      </c>
      <c r="BB25">
        <f t="shared" si="13"/>
        <v>0</v>
      </c>
      <c r="BC25">
        <f t="shared" si="14"/>
        <v>0</v>
      </c>
      <c r="BD25">
        <f t="shared" si="15"/>
        <v>0</v>
      </c>
      <c r="BE25">
        <f t="shared" si="16"/>
        <v>0</v>
      </c>
      <c r="BF25">
        <f t="shared" si="17"/>
        <v>0</v>
      </c>
      <c r="BG25">
        <f t="shared" si="18"/>
        <v>0</v>
      </c>
      <c r="CG25" s="145">
        <f t="shared" si="19"/>
        <v>2038</v>
      </c>
      <c r="CH25" s="70">
        <f>INDEX(Table3Compare!$B$6:$K$37,MATCH($CG25,Table3Compare!$A$6:$A$37,0),MATCH(CH$9,Table3Compare!$B$5:$K$5,0))</f>
        <v>149.72295270718297</v>
      </c>
      <c r="CI25" s="70">
        <f>INDEX(Table3Compare!$B$6:$K$37,MATCH($CG25,Table3Compare!$A$6:$A$37,0),MATCH(CI$9,Table3Compare!$B$5:$K$5,0))</f>
        <v>147.330289714363</v>
      </c>
      <c r="CJ25" s="70">
        <f>INDEX(Table3Compare!$B$6:$K$37,MATCH($CG25,Table3Compare!$A$6:$A$37,0),MATCH(CJ$9,Table3Compare!$B$5:$K$5,0))</f>
        <v>146.24252045298422</v>
      </c>
      <c r="CK25" s="70">
        <f>INDEX(Table3Compare!$B$6:$K$37,MATCH($CG25,Table3Compare!$A$6:$A$37,0),MATCH(CK$9,Table3Compare!$B$5:$K$5,0))</f>
        <v>149.72295270718297</v>
      </c>
      <c r="CL25" s="70">
        <f>INDEX(Table3Compare!$B$6:$K$37,MATCH($CG25,Table3Compare!$A$6:$A$37,0),MATCH(CL$9,Table3Compare!$B$5:$K$5,0))</f>
        <v>147.330289714363</v>
      </c>
      <c r="CM25" s="70">
        <f>INDEX(Table3Compare!$B$6:$K$37,MATCH($CG25,Table3Compare!$A$6:$A$37,0),MATCH(CM$9,Table3Compare!$B$5:$K$5,0))</f>
        <v>146.24252045298422</v>
      </c>
      <c r="CN25" s="70">
        <f>INDEX(Table3Compare!$B$6:$K$37,MATCH($CG25,Table3Compare!$A$6:$A$37,0),MATCH(CN$9,Table3Compare!$B$5:$K$5,0))</f>
        <v>117.19636909164954</v>
      </c>
      <c r="CO25" s="70">
        <f>INDEX(Table3Compare!$B$6:$K$37,MATCH($CG25,Table3Compare!$A$6:$A$37,0),MATCH(CO$9,Table3Compare!$B$5:$K$5,0))</f>
        <v>117.19636909164954</v>
      </c>
      <c r="CP25" s="70">
        <f>INDEX(Table3Compare!$B$6:$K$37,MATCH($CG25,Table3Compare!$A$6:$A$37,0),MATCH(CP$9,Table3Compare!$B$5:$K$5,0))</f>
        <v>117.19636909164954</v>
      </c>
      <c r="CQ25" s="70">
        <f>INDEX(Table3Compare!$B$6:$K$37,MATCH($CG25,Table3Compare!$A$6:$A$37,0),MATCH(CQ$9,Table3Compare!$B$5:$K$5,0))</f>
        <v>117.19636909164954</v>
      </c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152"/>
      <c r="DG25" s="152"/>
      <c r="DH25" s="70"/>
      <c r="DI25" s="152"/>
      <c r="DJ25" s="152"/>
      <c r="DK25" s="152"/>
      <c r="DL25" s="152"/>
      <c r="DM25" s="152"/>
      <c r="DR25">
        <f>SUM(AX$13:AX25)*CH25/1000</f>
        <v>0</v>
      </c>
      <c r="DS25">
        <f>SUM(AY$13:AY25)*CI25/1000</f>
        <v>0</v>
      </c>
      <c r="DT25">
        <f>SUM(AZ$13:AZ25)*CJ25/1000</f>
        <v>0</v>
      </c>
      <c r="DU25">
        <f>SUM(BA$13:BA25)*CK25/1000</f>
        <v>0</v>
      </c>
      <c r="DV25">
        <f>SUM(BB$13:BB25)*CL25/1000</f>
        <v>0</v>
      </c>
      <c r="DW25">
        <f>SUM(BC$13:BC25)*CM25/1000</f>
        <v>0</v>
      </c>
      <c r="DX25">
        <f>SUM(BD$13:BD25)*CN25/1000</f>
        <v>0</v>
      </c>
      <c r="DY25">
        <f>SUM(BE$13:BE25)*CO25/1000</f>
        <v>0</v>
      </c>
      <c r="DZ25">
        <f>SUM(BF$13:BF25)*CP25/1000</f>
        <v>0</v>
      </c>
      <c r="EA25">
        <f>SUM(BG$13:BG25)*CQ25/1000</f>
        <v>0</v>
      </c>
      <c r="EB25">
        <f>SUM(BH$13:BH25)*CR25/1000</f>
        <v>0</v>
      </c>
      <c r="EC25">
        <f>SUM(BI$13:BI25)*CS25/1000</f>
        <v>0</v>
      </c>
      <c r="ED25">
        <f>SUM(BJ$13:BJ25)*CT25/1000</f>
        <v>0</v>
      </c>
      <c r="EE25">
        <f>SUM(BK$13:BK25)*CU25/1000</f>
        <v>0</v>
      </c>
      <c r="EF25">
        <f>SUM(BL$13:BL25)*CV25/1000</f>
        <v>0</v>
      </c>
      <c r="EG25">
        <f>SUM(BM$13:BM25)*CW25/1000</f>
        <v>0</v>
      </c>
      <c r="EH25">
        <f>SUM(BN$13:BN25)*CX25/1000</f>
        <v>0</v>
      </c>
      <c r="EI25">
        <f>SUM(BO$13:BO25)*CY25/1000</f>
        <v>0</v>
      </c>
      <c r="EJ25">
        <f>SUM(BP$13:BP25)*CZ25/1000</f>
        <v>0</v>
      </c>
      <c r="EK25">
        <f>SUM(BQ$13:BQ25)*DA25/1000</f>
        <v>0</v>
      </c>
      <c r="EL25">
        <f>SUM(BR$13:BR25)*DB25/1000</f>
        <v>0</v>
      </c>
      <c r="EM25">
        <f>SUM(BS$13:BS25)*DC25/1000</f>
        <v>0</v>
      </c>
      <c r="EN25">
        <f>SUM(BT$13:BT25)*DD25/1000</f>
        <v>0</v>
      </c>
      <c r="EO25">
        <f>SUM(BU$13:BU25)*DE25/1000</f>
        <v>0</v>
      </c>
      <c r="EP25">
        <f>SUM(BV$13:BV25)*DF25/1000</f>
        <v>0</v>
      </c>
      <c r="EQ25">
        <f>SUM(BW$13:BW25)*DG25/1000</f>
        <v>0</v>
      </c>
      <c r="ER25">
        <f>SUM(BX$13:BX25)*DH25/1000</f>
        <v>0</v>
      </c>
      <c r="ES25">
        <f>SUM(BY$13:BY25)*DI25/1000</f>
        <v>0</v>
      </c>
      <c r="ET25">
        <f>SUM(BZ$13:BZ25)*DJ25/1000</f>
        <v>0</v>
      </c>
      <c r="FA25">
        <f t="shared" si="20"/>
        <v>0</v>
      </c>
      <c r="FC25">
        <f t="shared" si="21"/>
        <v>2038</v>
      </c>
      <c r="FD25" s="69"/>
      <c r="FE25" s="86">
        <f t="shared" si="25"/>
        <v>0</v>
      </c>
    </row>
    <row r="26" spans="2:161">
      <c r="B26" s="210">
        <f t="shared" si="22"/>
        <v>2039</v>
      </c>
      <c r="C26" s="8">
        <f t="shared" si="7"/>
        <v>0</v>
      </c>
      <c r="D26" s="211"/>
      <c r="E26" s="8">
        <f t="shared" ca="1" si="23"/>
        <v>26.381226439148953</v>
      </c>
      <c r="F26" s="33"/>
      <c r="G26" s="8">
        <f t="shared" ca="1" si="24"/>
        <v>26.381226439148953</v>
      </c>
      <c r="H26" s="8"/>
      <c r="I26" s="331"/>
      <c r="J26" s="331"/>
      <c r="K26" s="331"/>
      <c r="O26">
        <f t="shared" si="8"/>
        <v>2039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X26">
        <f t="shared" si="9"/>
        <v>0</v>
      </c>
      <c r="AY26">
        <f t="shared" si="10"/>
        <v>0</v>
      </c>
      <c r="AZ26">
        <f t="shared" si="11"/>
        <v>0</v>
      </c>
      <c r="BA26">
        <f t="shared" si="12"/>
        <v>0</v>
      </c>
      <c r="BB26">
        <f t="shared" si="13"/>
        <v>0</v>
      </c>
      <c r="BC26">
        <f t="shared" si="14"/>
        <v>0</v>
      </c>
      <c r="BD26">
        <f t="shared" si="15"/>
        <v>0</v>
      </c>
      <c r="BE26">
        <f t="shared" si="16"/>
        <v>0</v>
      </c>
      <c r="BF26">
        <f t="shared" si="17"/>
        <v>0</v>
      </c>
      <c r="BG26">
        <f t="shared" si="18"/>
        <v>0</v>
      </c>
      <c r="CG26" s="145">
        <f t="shared" si="19"/>
        <v>2039</v>
      </c>
      <c r="CH26" s="70">
        <f>INDEX(Table3Compare!$B$6:$K$37,MATCH($CG26,Table3Compare!$A$6:$A$37,0),MATCH(CH$9,Table3Compare!$B$5:$K$5,0))</f>
        <v>152.98691305009541</v>
      </c>
      <c r="CI26" s="70">
        <f>INDEX(Table3Compare!$B$6:$K$37,MATCH($CG26,Table3Compare!$A$6:$A$37,0),MATCH(CI$9,Table3Compare!$B$5:$K$5,0))</f>
        <v>150.54209000444914</v>
      </c>
      <c r="CJ26" s="70">
        <f>INDEX(Table3Compare!$B$6:$K$37,MATCH($CG26,Table3Compare!$A$6:$A$37,0),MATCH(CJ$9,Table3Compare!$B$5:$K$5,0))</f>
        <v>149.43060737336194</v>
      </c>
      <c r="CK26" s="70">
        <f>INDEX(Table3Compare!$B$6:$K$37,MATCH($CG26,Table3Compare!$A$6:$A$37,0),MATCH(CK$9,Table3Compare!$B$5:$K$5,0))</f>
        <v>152.98691305009541</v>
      </c>
      <c r="CL26" s="70">
        <f>INDEX(Table3Compare!$B$6:$K$37,MATCH($CG26,Table3Compare!$A$6:$A$37,0),MATCH(CL$9,Table3Compare!$B$5:$K$5,0))</f>
        <v>150.54209000444914</v>
      </c>
      <c r="CM26" s="70">
        <f>INDEX(Table3Compare!$B$6:$K$37,MATCH($CG26,Table3Compare!$A$6:$A$37,0),MATCH(CM$9,Table3Compare!$B$5:$K$5,0))</f>
        <v>149.43060737336194</v>
      </c>
      <c r="CN26" s="70">
        <f>INDEX(Table3Compare!$B$6:$K$37,MATCH($CG26,Table3Compare!$A$6:$A$37,0),MATCH(CN$9,Table3Compare!$B$5:$K$5,0))</f>
        <v>119.75124991741436</v>
      </c>
      <c r="CO26" s="70">
        <f>INDEX(Table3Compare!$B$6:$K$37,MATCH($CG26,Table3Compare!$A$6:$A$37,0),MATCH(CO$9,Table3Compare!$B$5:$K$5,0))</f>
        <v>119.75124991741436</v>
      </c>
      <c r="CP26" s="70">
        <f>INDEX(Table3Compare!$B$6:$K$37,MATCH($CG26,Table3Compare!$A$6:$A$37,0),MATCH(CP$9,Table3Compare!$B$5:$K$5,0))</f>
        <v>119.75124991741436</v>
      </c>
      <c r="CQ26" s="70">
        <f>INDEX(Table3Compare!$B$6:$K$37,MATCH($CG26,Table3Compare!$A$6:$A$37,0),MATCH(CQ$9,Table3Compare!$B$5:$K$5,0))</f>
        <v>119.75124991741436</v>
      </c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152"/>
      <c r="DG26" s="152"/>
      <c r="DH26" s="70"/>
      <c r="DI26" s="152"/>
      <c r="DJ26" s="152"/>
      <c r="DK26" s="152"/>
      <c r="DL26" s="152"/>
      <c r="DM26" s="152"/>
      <c r="DR26">
        <f>SUM(AX$13:AX26)*CH26/1000</f>
        <v>0</v>
      </c>
      <c r="DS26">
        <f>SUM(AY$13:AY26)*CI26/1000</f>
        <v>0</v>
      </c>
      <c r="DT26">
        <f>SUM(AZ$13:AZ26)*CJ26/1000</f>
        <v>0</v>
      </c>
      <c r="DU26">
        <f>SUM(BA$13:BA26)*CK26/1000</f>
        <v>0</v>
      </c>
      <c r="DV26">
        <f>SUM(BB$13:BB26)*CL26/1000</f>
        <v>0</v>
      </c>
      <c r="DW26">
        <f>SUM(BC$13:BC26)*CM26/1000</f>
        <v>0</v>
      </c>
      <c r="DX26">
        <f>SUM(BD$13:BD26)*CN26/1000</f>
        <v>0</v>
      </c>
      <c r="DY26">
        <f>SUM(BE$13:BE26)*CO26/1000</f>
        <v>0</v>
      </c>
      <c r="DZ26">
        <f>SUM(BF$13:BF26)*CP26/1000</f>
        <v>0</v>
      </c>
      <c r="EA26">
        <f>SUM(BG$13:BG26)*CQ26/1000</f>
        <v>0</v>
      </c>
      <c r="EB26">
        <f>SUM(BH$13:BH26)*CR26/1000</f>
        <v>0</v>
      </c>
      <c r="EC26">
        <f>SUM(BI$13:BI26)*CS26/1000</f>
        <v>0</v>
      </c>
      <c r="ED26">
        <f>SUM(BJ$13:BJ26)*CT26/1000</f>
        <v>0</v>
      </c>
      <c r="EE26">
        <f>SUM(BK$13:BK26)*CU26/1000</f>
        <v>0</v>
      </c>
      <c r="EF26">
        <f>SUM(BL$13:BL26)*CV26/1000</f>
        <v>0</v>
      </c>
      <c r="EG26">
        <f>SUM(BM$13:BM26)*CW26/1000</f>
        <v>0</v>
      </c>
      <c r="EH26">
        <f>SUM(BN$13:BN26)*CX26/1000</f>
        <v>0</v>
      </c>
      <c r="EI26">
        <f>SUM(BO$13:BO26)*CY26/1000</f>
        <v>0</v>
      </c>
      <c r="EJ26">
        <f>SUM(BP$13:BP26)*CZ26/1000</f>
        <v>0</v>
      </c>
      <c r="EK26">
        <f>SUM(BQ$13:BQ26)*DA26/1000</f>
        <v>0</v>
      </c>
      <c r="EL26">
        <f>SUM(BR$13:BR26)*DB26/1000</f>
        <v>0</v>
      </c>
      <c r="EM26">
        <f>SUM(BS$13:BS26)*DC26/1000</f>
        <v>0</v>
      </c>
      <c r="EN26">
        <f>SUM(BT$13:BT26)*DD26/1000</f>
        <v>0</v>
      </c>
      <c r="EO26">
        <f>SUM(BU$13:BU26)*DE26/1000</f>
        <v>0</v>
      </c>
      <c r="EP26">
        <f>SUM(BV$13:BV26)*DF26/1000</f>
        <v>0</v>
      </c>
      <c r="EQ26">
        <f>SUM(BW$13:BW26)*DG26/1000</f>
        <v>0</v>
      </c>
      <c r="ER26">
        <f>SUM(BX$13:BX26)*DH26/1000</f>
        <v>0</v>
      </c>
      <c r="ES26">
        <f>SUM(BY$13:BY26)*DI26/1000</f>
        <v>0</v>
      </c>
      <c r="ET26">
        <f>SUM(BZ$13:BZ26)*DJ26/1000</f>
        <v>0</v>
      </c>
      <c r="FA26">
        <f t="shared" si="20"/>
        <v>0</v>
      </c>
      <c r="FC26">
        <f t="shared" si="21"/>
        <v>2039</v>
      </c>
      <c r="FD26" s="69"/>
      <c r="FE26" s="86">
        <f t="shared" si="25"/>
        <v>0</v>
      </c>
    </row>
    <row r="27" spans="2:161">
      <c r="B27" s="210">
        <f t="shared" si="22"/>
        <v>2040</v>
      </c>
      <c r="C27" s="8">
        <f t="shared" si="7"/>
        <v>0</v>
      </c>
      <c r="D27" s="211"/>
      <c r="E27" s="8">
        <f t="shared" ca="1" si="23"/>
        <v>28.447262702265295</v>
      </c>
      <c r="F27" s="33"/>
      <c r="G27" s="8">
        <f t="shared" ca="1" si="24"/>
        <v>28.447262702265295</v>
      </c>
      <c r="H27" s="8"/>
      <c r="I27" s="331"/>
      <c r="J27" s="331"/>
      <c r="K27" s="331"/>
      <c r="O27">
        <f t="shared" si="8"/>
        <v>2040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X27">
        <f t="shared" si="9"/>
        <v>0</v>
      </c>
      <c r="AY27">
        <f t="shared" si="10"/>
        <v>0</v>
      </c>
      <c r="AZ27">
        <f t="shared" si="11"/>
        <v>0</v>
      </c>
      <c r="BA27">
        <f t="shared" si="12"/>
        <v>0</v>
      </c>
      <c r="BB27">
        <f t="shared" si="13"/>
        <v>0</v>
      </c>
      <c r="BC27">
        <f t="shared" si="14"/>
        <v>0</v>
      </c>
      <c r="BD27">
        <f t="shared" si="15"/>
        <v>0</v>
      </c>
      <c r="BE27">
        <f t="shared" si="16"/>
        <v>0</v>
      </c>
      <c r="BF27">
        <f t="shared" si="17"/>
        <v>0</v>
      </c>
      <c r="BG27">
        <f t="shared" si="18"/>
        <v>0</v>
      </c>
      <c r="CG27" s="145">
        <f t="shared" si="19"/>
        <v>2040</v>
      </c>
      <c r="CH27" s="70">
        <f>INDEX(Table3Compare!$B$6:$K$37,MATCH($CG27,Table3Compare!$A$6:$A$37,0),MATCH(CH$9,Table3Compare!$B$5:$K$5,0))</f>
        <v>156.32202780114989</v>
      </c>
      <c r="CI27" s="70">
        <f>INDEX(Table3Compare!$B$6:$K$37,MATCH($CG27,Table3Compare!$A$6:$A$37,0),MATCH(CI$9,Table3Compare!$B$5:$K$5,0))</f>
        <v>153.82390761236439</v>
      </c>
      <c r="CJ27" s="70">
        <f>INDEX(Table3Compare!$B$6:$K$37,MATCH($CG27,Table3Compare!$A$6:$A$37,0),MATCH(CJ$9,Table3Compare!$B$5:$K$5,0))</f>
        <v>152.68819465958123</v>
      </c>
      <c r="CK27" s="70">
        <f>INDEX(Table3Compare!$B$6:$K$37,MATCH($CG27,Table3Compare!$A$6:$A$37,0),MATCH(CK$9,Table3Compare!$B$5:$K$5,0))</f>
        <v>156.32202780114989</v>
      </c>
      <c r="CL27" s="70">
        <f>INDEX(Table3Compare!$B$6:$K$37,MATCH($CG27,Table3Compare!$A$6:$A$37,0),MATCH(CL$9,Table3Compare!$B$5:$K$5,0))</f>
        <v>153.82390761236439</v>
      </c>
      <c r="CM27" s="70">
        <f>INDEX(Table3Compare!$B$6:$K$37,MATCH($CG27,Table3Compare!$A$6:$A$37,0),MATCH(CM$9,Table3Compare!$B$5:$K$5,0))</f>
        <v>152.68819465958123</v>
      </c>
      <c r="CN27" s="70">
        <f>INDEX(Table3Compare!$B$6:$K$37,MATCH($CG27,Table3Compare!$A$6:$A$37,0),MATCH(CN$9,Table3Compare!$B$5:$K$5,0))</f>
        <v>122.36182720206089</v>
      </c>
      <c r="CO27" s="70">
        <f>INDEX(Table3Compare!$B$6:$K$37,MATCH($CG27,Table3Compare!$A$6:$A$37,0),MATCH(CO$9,Table3Compare!$B$5:$K$5,0))</f>
        <v>122.36182720206089</v>
      </c>
      <c r="CP27" s="70">
        <f>INDEX(Table3Compare!$B$6:$K$37,MATCH($CG27,Table3Compare!$A$6:$A$37,0),MATCH(CP$9,Table3Compare!$B$5:$K$5,0))</f>
        <v>122.36182720206089</v>
      </c>
      <c r="CQ27" s="70">
        <f>INDEX(Table3Compare!$B$6:$K$37,MATCH($CG27,Table3Compare!$A$6:$A$37,0),MATCH(CQ$9,Table3Compare!$B$5:$K$5,0))</f>
        <v>122.36182720206089</v>
      </c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152"/>
      <c r="DG27" s="152"/>
      <c r="DH27" s="70"/>
      <c r="DI27" s="152"/>
      <c r="DJ27" s="152"/>
      <c r="DK27" s="152"/>
      <c r="DL27" s="152"/>
      <c r="DM27" s="152"/>
      <c r="DR27">
        <f>SUM(AX$13:AX27)*CH27/1000</f>
        <v>0</v>
      </c>
      <c r="DS27">
        <f>SUM(AY$13:AY27)*CI27/1000</f>
        <v>0</v>
      </c>
      <c r="DT27">
        <f>SUM(AZ$13:AZ27)*CJ27/1000</f>
        <v>0</v>
      </c>
      <c r="DU27">
        <f>SUM(BA$13:BA27)*CK27/1000</f>
        <v>0</v>
      </c>
      <c r="DV27">
        <f>SUM(BB$13:BB27)*CL27/1000</f>
        <v>0</v>
      </c>
      <c r="DW27">
        <f>SUM(BC$13:BC27)*CM27/1000</f>
        <v>0</v>
      </c>
      <c r="DX27">
        <f>SUM(BD$13:BD27)*CN27/1000</f>
        <v>0</v>
      </c>
      <c r="DY27">
        <f>SUM(BE$13:BE27)*CO27/1000</f>
        <v>0</v>
      </c>
      <c r="DZ27">
        <f>SUM(BF$13:BF27)*CP27/1000</f>
        <v>0</v>
      </c>
      <c r="EA27">
        <f>SUM(BG$13:BG27)*CQ27/1000</f>
        <v>0</v>
      </c>
      <c r="EB27">
        <f>SUM(BH$13:BH27)*CR27/1000</f>
        <v>0</v>
      </c>
      <c r="EC27">
        <f>SUM(BI$13:BI27)*CS27/1000</f>
        <v>0</v>
      </c>
      <c r="ED27">
        <f>SUM(BJ$13:BJ27)*CT27/1000</f>
        <v>0</v>
      </c>
      <c r="EE27">
        <f>SUM(BK$13:BK27)*CU27/1000</f>
        <v>0</v>
      </c>
      <c r="EF27">
        <f>SUM(BL$13:BL27)*CV27/1000</f>
        <v>0</v>
      </c>
      <c r="EG27">
        <f>SUM(BM$13:BM27)*CW27/1000</f>
        <v>0</v>
      </c>
      <c r="EH27">
        <f>SUM(BN$13:BN27)*CX27/1000</f>
        <v>0</v>
      </c>
      <c r="EI27">
        <f>SUM(BO$13:BO27)*CY27/1000</f>
        <v>0</v>
      </c>
      <c r="EJ27">
        <f>SUM(BP$13:BP27)*CZ27/1000</f>
        <v>0</v>
      </c>
      <c r="EK27">
        <f>SUM(BQ$13:BQ27)*DA27/1000</f>
        <v>0</v>
      </c>
      <c r="EL27">
        <f>SUM(BR$13:BR27)*DB27/1000</f>
        <v>0</v>
      </c>
      <c r="EM27">
        <f>SUM(BS$13:BS27)*DC27/1000</f>
        <v>0</v>
      </c>
      <c r="EN27">
        <f>SUM(BT$13:BT27)*DD27/1000</f>
        <v>0</v>
      </c>
      <c r="EO27">
        <f>SUM(BU$13:BU27)*DE27/1000</f>
        <v>0</v>
      </c>
      <c r="EP27">
        <f>SUM(BV$13:BV27)*DF27/1000</f>
        <v>0</v>
      </c>
      <c r="EQ27">
        <f>SUM(BW$13:BW27)*DG27/1000</f>
        <v>0</v>
      </c>
      <c r="ER27">
        <f>SUM(BX$13:BX27)*DH27/1000</f>
        <v>0</v>
      </c>
      <c r="ES27">
        <f>SUM(BY$13:BY27)*DI27/1000</f>
        <v>0</v>
      </c>
      <c r="ET27">
        <f>SUM(BZ$13:BZ27)*DJ27/1000</f>
        <v>0</v>
      </c>
      <c r="FA27">
        <f t="shared" si="20"/>
        <v>0</v>
      </c>
      <c r="FC27">
        <f t="shared" si="21"/>
        <v>2040</v>
      </c>
      <c r="FD27" s="69"/>
      <c r="FE27" s="86">
        <f t="shared" si="25"/>
        <v>0</v>
      </c>
    </row>
    <row r="28" spans="2:161">
      <c r="B28" s="210">
        <f t="shared" si="22"/>
        <v>2041</v>
      </c>
      <c r="C28" s="8">
        <f t="shared" si="7"/>
        <v>0</v>
      </c>
      <c r="D28" s="211"/>
      <c r="E28" s="8">
        <f t="shared" ca="1" si="23"/>
        <v>30.638767228539173</v>
      </c>
      <c r="F28" s="33"/>
      <c r="G28" s="8">
        <f t="shared" ca="1" si="24"/>
        <v>30.638767228539173</v>
      </c>
      <c r="H28" s="33"/>
      <c r="I28" s="331"/>
      <c r="J28" s="331"/>
      <c r="K28" s="331"/>
      <c r="M28" s="45"/>
      <c r="O28">
        <f t="shared" si="8"/>
        <v>2041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X28">
        <f t="shared" si="9"/>
        <v>0</v>
      </c>
      <c r="AY28">
        <f t="shared" si="10"/>
        <v>0</v>
      </c>
      <c r="AZ28">
        <f t="shared" si="11"/>
        <v>0</v>
      </c>
      <c r="BA28">
        <f t="shared" si="12"/>
        <v>0</v>
      </c>
      <c r="BB28">
        <f t="shared" si="13"/>
        <v>0</v>
      </c>
      <c r="BC28">
        <f t="shared" si="14"/>
        <v>0</v>
      </c>
      <c r="BD28">
        <f t="shared" si="15"/>
        <v>0</v>
      </c>
      <c r="BE28">
        <f t="shared" si="16"/>
        <v>0</v>
      </c>
      <c r="BF28">
        <f t="shared" si="17"/>
        <v>0</v>
      </c>
      <c r="BG28">
        <f t="shared" si="18"/>
        <v>0</v>
      </c>
      <c r="CG28" s="145">
        <f t="shared" si="19"/>
        <v>2041</v>
      </c>
      <c r="CH28" s="70">
        <f>INDEX(Table3Compare!$B$6:$K$37,MATCH($CG28,Table3Compare!$A$6:$A$37,0),MATCH(CH$9,Table3Compare!$B$5:$K$5,0))</f>
        <v>159.72984793229006</v>
      </c>
      <c r="CI28" s="70">
        <f>INDEX(Table3Compare!$B$6:$K$37,MATCH($CG28,Table3Compare!$A$6:$A$37,0),MATCH(CI$9,Table3Compare!$B$5:$K$5,0))</f>
        <v>157.17726872458636</v>
      </c>
      <c r="CJ28" s="70">
        <f>INDEX(Table3Compare!$B$6:$K$37,MATCH($CG28,Table3Compare!$A$6:$A$37,0),MATCH(CJ$9,Table3Compare!$B$5:$K$5,0))</f>
        <v>156.0167972299769</v>
      </c>
      <c r="CK28" s="70">
        <f>INDEX(Table3Compare!$B$6:$K$37,MATCH($CG28,Table3Compare!$A$6:$A$37,0),MATCH(CK$9,Table3Compare!$B$5:$K$5,0))</f>
        <v>159.72984793229006</v>
      </c>
      <c r="CL28" s="70">
        <f>INDEX(Table3Compare!$B$6:$K$37,MATCH($CG28,Table3Compare!$A$6:$A$37,0),MATCH(CL$9,Table3Compare!$B$5:$K$5,0))</f>
        <v>157.17726872458636</v>
      </c>
      <c r="CM28" s="70">
        <f>INDEX(Table3Compare!$B$6:$K$37,MATCH($CG28,Table3Compare!$A$6:$A$37,0),MATCH(CM$9,Table3Compare!$B$5:$K$5,0))</f>
        <v>156.0167972299769</v>
      </c>
      <c r="CN28" s="70">
        <f>INDEX(Table3Compare!$B$6:$K$37,MATCH($CG28,Table3Compare!$A$6:$A$37,0),MATCH(CN$9,Table3Compare!$B$5:$K$5,0))</f>
        <v>125.02931497641799</v>
      </c>
      <c r="CO28" s="70">
        <f>INDEX(Table3Compare!$B$6:$K$37,MATCH($CG28,Table3Compare!$A$6:$A$37,0),MATCH(CO$9,Table3Compare!$B$5:$K$5,0))</f>
        <v>125.02931497641799</v>
      </c>
      <c r="CP28" s="70">
        <f>INDEX(Table3Compare!$B$6:$K$37,MATCH($CG28,Table3Compare!$A$6:$A$37,0),MATCH(CP$9,Table3Compare!$B$5:$K$5,0))</f>
        <v>125.02931497641799</v>
      </c>
      <c r="CQ28" s="70">
        <f>INDEX(Table3Compare!$B$6:$K$37,MATCH($CG28,Table3Compare!$A$6:$A$37,0),MATCH(CQ$9,Table3Compare!$B$5:$K$5,0))</f>
        <v>125.02931497641799</v>
      </c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152"/>
      <c r="DG28" s="152"/>
      <c r="DH28" s="70"/>
      <c r="DI28" s="152"/>
      <c r="DJ28" s="152"/>
      <c r="DK28" s="152"/>
      <c r="DL28" s="152"/>
      <c r="DM28" s="152"/>
      <c r="DR28">
        <f>SUM(AX$13:AX28)*CH28/1000</f>
        <v>0</v>
      </c>
      <c r="DS28">
        <f>SUM(AY$13:AY28)*CI28/1000</f>
        <v>0</v>
      </c>
      <c r="DT28">
        <f>SUM(AZ$13:AZ28)*CJ28/1000</f>
        <v>0</v>
      </c>
      <c r="DU28">
        <f>SUM(BA$13:BA28)*CK28/1000</f>
        <v>0</v>
      </c>
      <c r="DV28">
        <f>SUM(BB$13:BB28)*CL28/1000</f>
        <v>0</v>
      </c>
      <c r="DW28">
        <f>SUM(BC$13:BC28)*CM28/1000</f>
        <v>0</v>
      </c>
      <c r="DX28">
        <f>SUM(BD$13:BD28)*CN28/1000</f>
        <v>0</v>
      </c>
      <c r="DY28">
        <f>SUM(BE$13:BE28)*CO28/1000</f>
        <v>0</v>
      </c>
      <c r="DZ28">
        <f>SUM(BF$13:BF28)*CP28/1000</f>
        <v>0</v>
      </c>
      <c r="EA28">
        <f>SUM(BG$13:BG28)*CQ28/1000</f>
        <v>0</v>
      </c>
      <c r="EB28">
        <f>SUM(BH$13:BH28)*CR28/1000</f>
        <v>0</v>
      </c>
      <c r="EC28">
        <f>SUM(BI$13:BI28)*CS28/1000</f>
        <v>0</v>
      </c>
      <c r="ED28">
        <f>SUM(BJ$13:BJ28)*CT28/1000</f>
        <v>0</v>
      </c>
      <c r="EE28">
        <f>SUM(BK$13:BK28)*CU28/1000</f>
        <v>0</v>
      </c>
      <c r="EF28">
        <f>SUM(BL$13:BL28)*CV28/1000</f>
        <v>0</v>
      </c>
      <c r="EG28">
        <f>SUM(BM$13:BM28)*CW28/1000</f>
        <v>0</v>
      </c>
      <c r="EH28">
        <f>SUM(BN$13:BN28)*CX28/1000</f>
        <v>0</v>
      </c>
      <c r="EI28">
        <f>SUM(BO$13:BO28)*CY28/1000</f>
        <v>0</v>
      </c>
      <c r="EJ28">
        <f>SUM(BP$13:BP28)*CZ28/1000</f>
        <v>0</v>
      </c>
      <c r="EK28">
        <f>SUM(BQ$13:BQ28)*DA28/1000</f>
        <v>0</v>
      </c>
      <c r="EL28">
        <f>SUM(BR$13:BR28)*DB28/1000</f>
        <v>0</v>
      </c>
      <c r="EM28">
        <f>SUM(BS$13:BS28)*DC28/1000</f>
        <v>0</v>
      </c>
      <c r="EN28">
        <f>SUM(BT$13:BT28)*DD28/1000</f>
        <v>0</v>
      </c>
      <c r="EO28">
        <f>SUM(BU$13:BU28)*DE28/1000</f>
        <v>0</v>
      </c>
      <c r="EP28">
        <f>SUM(BV$13:BV28)*DF28/1000</f>
        <v>0</v>
      </c>
      <c r="EQ28">
        <f>SUM(BW$13:BW28)*DG28/1000</f>
        <v>0</v>
      </c>
      <c r="ER28">
        <f>SUM(BX$13:BX28)*DH28/1000</f>
        <v>0</v>
      </c>
      <c r="ES28">
        <f>SUM(BY$13:BY28)*DI28/1000</f>
        <v>0</v>
      </c>
      <c r="ET28">
        <f>SUM(BZ$13:BZ28)*DJ28/1000</f>
        <v>0</v>
      </c>
      <c r="FA28">
        <f t="shared" si="20"/>
        <v>0</v>
      </c>
      <c r="FC28">
        <f t="shared" si="21"/>
        <v>2041</v>
      </c>
      <c r="FD28" s="69"/>
      <c r="FE28" s="86">
        <f t="shared" si="25"/>
        <v>0</v>
      </c>
    </row>
    <row r="29" spans="2:161">
      <c r="B29" s="210">
        <f t="shared" si="22"/>
        <v>2042</v>
      </c>
      <c r="C29" s="8">
        <f t="shared" si="7"/>
        <v>0</v>
      </c>
      <c r="D29" s="211"/>
      <c r="E29" s="8">
        <f t="shared" ca="1" si="23"/>
        <v>37.82541049445917</v>
      </c>
      <c r="F29" s="33"/>
      <c r="G29" s="8">
        <f t="shared" ca="1" si="24"/>
        <v>37.82541049445917</v>
      </c>
      <c r="H29" s="33"/>
      <c r="I29" s="331"/>
      <c r="J29" s="331"/>
      <c r="K29" s="331"/>
      <c r="M29" s="86"/>
      <c r="O29">
        <f t="shared" si="8"/>
        <v>2042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X29">
        <f t="shared" si="9"/>
        <v>0</v>
      </c>
      <c r="AY29">
        <f t="shared" si="10"/>
        <v>0</v>
      </c>
      <c r="AZ29">
        <f t="shared" si="11"/>
        <v>0</v>
      </c>
      <c r="BA29">
        <f t="shared" si="12"/>
        <v>0</v>
      </c>
      <c r="BB29">
        <f t="shared" si="13"/>
        <v>0</v>
      </c>
      <c r="BC29">
        <f t="shared" si="14"/>
        <v>0</v>
      </c>
      <c r="BD29">
        <f t="shared" si="15"/>
        <v>0</v>
      </c>
      <c r="BE29">
        <f t="shared" si="16"/>
        <v>0</v>
      </c>
      <c r="BF29">
        <f t="shared" si="17"/>
        <v>0</v>
      </c>
      <c r="BG29">
        <f t="shared" si="18"/>
        <v>0</v>
      </c>
      <c r="CG29" s="145">
        <f t="shared" si="19"/>
        <v>2042</v>
      </c>
      <c r="CH29" s="70">
        <f>INDEX(Table3Compare!$B$6:$K$37,MATCH($CG29,Table3Compare!$A$6:$A$37,0),MATCH(CH$9,Table3Compare!$B$5:$K$5,0))</f>
        <v>163.21195862319203</v>
      </c>
      <c r="CI29" s="70">
        <f>INDEX(Table3Compare!$B$6:$K$37,MATCH($CG29,Table3Compare!$A$6:$A$37,0),MATCH(CI$9,Table3Compare!$B$5:$K$5,0))</f>
        <v>160.60373318866488</v>
      </c>
      <c r="CJ29" s="70">
        <f>INDEX(Table3Compare!$B$6:$K$37,MATCH($CG29,Table3Compare!$A$6:$A$37,0),MATCH(CJ$9,Table3Compare!$B$5:$K$5,0))</f>
        <v>159.41796341542948</v>
      </c>
      <c r="CK29" s="70">
        <f>INDEX(Table3Compare!$B$6:$K$37,MATCH($CG29,Table3Compare!$A$6:$A$37,0),MATCH(CK$9,Table3Compare!$B$5:$K$5,0))</f>
        <v>163.21195862319203</v>
      </c>
      <c r="CL29" s="70">
        <f>INDEX(Table3Compare!$B$6:$K$37,MATCH($CG29,Table3Compare!$A$6:$A$37,0),MATCH(CL$9,Table3Compare!$B$5:$K$5,0))</f>
        <v>160.60373318866488</v>
      </c>
      <c r="CM29" s="70">
        <f>INDEX(Table3Compare!$B$6:$K$37,MATCH($CG29,Table3Compare!$A$6:$A$37,0),MATCH(CM$9,Table3Compare!$B$5:$K$5,0))</f>
        <v>159.41796341542948</v>
      </c>
      <c r="CN29" s="70">
        <f>INDEX(Table3Compare!$B$6:$K$37,MATCH($CG29,Table3Compare!$A$6:$A$37,0),MATCH(CN$9,Table3Compare!$B$5:$K$5,0))</f>
        <v>127.75495404758324</v>
      </c>
      <c r="CO29" s="70">
        <f>INDEX(Table3Compare!$B$6:$K$37,MATCH($CG29,Table3Compare!$A$6:$A$37,0),MATCH(CO$9,Table3Compare!$B$5:$K$5,0))</f>
        <v>127.75495404758324</v>
      </c>
      <c r="CP29" s="70">
        <f>INDEX(Table3Compare!$B$6:$K$37,MATCH($CG29,Table3Compare!$A$6:$A$37,0),MATCH(CP$9,Table3Compare!$B$5:$K$5,0))</f>
        <v>127.75495404758324</v>
      </c>
      <c r="CQ29" s="70">
        <f>INDEX(Table3Compare!$B$6:$K$37,MATCH($CG29,Table3Compare!$A$6:$A$37,0),MATCH(CQ$9,Table3Compare!$B$5:$K$5,0))</f>
        <v>127.75495404758324</v>
      </c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152"/>
      <c r="DG29" s="152"/>
      <c r="DH29" s="70"/>
      <c r="DI29" s="152"/>
      <c r="DJ29" s="152"/>
      <c r="DK29" s="152"/>
      <c r="DL29" s="152"/>
      <c r="DM29" s="152"/>
      <c r="DR29">
        <f>SUM(AX$13:AX29)*CH29/1000</f>
        <v>0</v>
      </c>
      <c r="DS29">
        <f>SUM(AY$13:AY29)*CI29/1000</f>
        <v>0</v>
      </c>
      <c r="DT29">
        <f>SUM(AZ$13:AZ29)*CJ29/1000</f>
        <v>0</v>
      </c>
      <c r="DU29">
        <f>SUM(BA$13:BA29)*CK29/1000</f>
        <v>0</v>
      </c>
      <c r="DV29">
        <f>SUM(BB$13:BB29)*CL29/1000</f>
        <v>0</v>
      </c>
      <c r="DW29">
        <f>SUM(BC$13:BC29)*CM29/1000</f>
        <v>0</v>
      </c>
      <c r="DX29">
        <f>SUM(BD$13:BD29)*CN29/1000</f>
        <v>0</v>
      </c>
      <c r="DY29">
        <f>SUM(BE$13:BE29)*CO29/1000</f>
        <v>0</v>
      </c>
      <c r="DZ29">
        <f>SUM(BF$13:BF29)*CP29/1000</f>
        <v>0</v>
      </c>
      <c r="EA29">
        <f>SUM(BG$13:BG29)*CQ29/1000</f>
        <v>0</v>
      </c>
      <c r="EB29">
        <f>SUM(BH$13:BH29)*CR29/1000</f>
        <v>0</v>
      </c>
      <c r="EC29">
        <f>SUM(BI$13:BI29)*CS29/1000</f>
        <v>0</v>
      </c>
      <c r="ED29">
        <f>SUM(BJ$13:BJ29)*CT29/1000</f>
        <v>0</v>
      </c>
      <c r="EE29">
        <f>SUM(BK$13:BK29)*CU29/1000</f>
        <v>0</v>
      </c>
      <c r="EF29">
        <f>SUM(BL$13:BL29)*CV29/1000</f>
        <v>0</v>
      </c>
      <c r="EG29">
        <f>SUM(BM$13:BM29)*CW29/1000</f>
        <v>0</v>
      </c>
      <c r="EH29">
        <f>SUM(BN$13:BN29)*CX29/1000</f>
        <v>0</v>
      </c>
      <c r="EI29">
        <f>SUM(BO$13:BO29)*CY29/1000</f>
        <v>0</v>
      </c>
      <c r="EJ29">
        <f>SUM(BP$13:BP29)*CZ29/1000</f>
        <v>0</v>
      </c>
      <c r="EK29">
        <f>SUM(BQ$13:BQ29)*DA29/1000</f>
        <v>0</v>
      </c>
      <c r="EL29">
        <f>SUM(BR$13:BR29)*DB29/1000</f>
        <v>0</v>
      </c>
      <c r="EM29">
        <f>SUM(BS$13:BS29)*DC29/1000</f>
        <v>0</v>
      </c>
      <c r="EN29">
        <f>SUM(BT$13:BT29)*DD29/1000</f>
        <v>0</v>
      </c>
      <c r="EO29">
        <f>SUM(BU$13:BU29)*DE29/1000</f>
        <v>0</v>
      </c>
      <c r="EP29">
        <f>SUM(BV$13:BV29)*DF29/1000</f>
        <v>0</v>
      </c>
      <c r="EQ29">
        <f>SUM(BW$13:BW29)*DG29/1000</f>
        <v>0</v>
      </c>
      <c r="ER29">
        <f>SUM(BX$13:BX29)*DH29/1000</f>
        <v>0</v>
      </c>
      <c r="ES29">
        <f>SUM(BY$13:BY29)*DI29/1000</f>
        <v>0</v>
      </c>
      <c r="ET29">
        <f>SUM(BZ$13:BZ29)*DJ29/1000</f>
        <v>0</v>
      </c>
      <c r="FA29">
        <f t="shared" si="20"/>
        <v>0</v>
      </c>
      <c r="FC29">
        <f t="shared" si="21"/>
        <v>2042</v>
      </c>
      <c r="FD29" s="69"/>
      <c r="FE29" s="86">
        <f t="shared" si="25"/>
        <v>0</v>
      </c>
    </row>
    <row r="30" spans="2:161">
      <c r="B30" s="210">
        <f t="shared" si="22"/>
        <v>2043</v>
      </c>
      <c r="C30" s="8">
        <f t="shared" si="7"/>
        <v>0</v>
      </c>
      <c r="D30" s="211"/>
      <c r="E30" s="8">
        <f t="shared" ca="1" si="23"/>
        <v>42.261394465956613</v>
      </c>
      <c r="F30" s="33"/>
      <c r="G30" s="8">
        <f t="shared" ca="1" si="24"/>
        <v>42.261394465956613</v>
      </c>
      <c r="H30" s="33"/>
      <c r="I30" s="331"/>
      <c r="J30" s="331"/>
      <c r="K30" s="331"/>
      <c r="M30" s="86"/>
      <c r="O30">
        <f t="shared" si="8"/>
        <v>2043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X30">
        <f t="shared" si="9"/>
        <v>0</v>
      </c>
      <c r="AY30">
        <f t="shared" si="10"/>
        <v>0</v>
      </c>
      <c r="AZ30">
        <f t="shared" si="11"/>
        <v>0</v>
      </c>
      <c r="BA30">
        <f t="shared" si="12"/>
        <v>0</v>
      </c>
      <c r="BB30">
        <f t="shared" si="13"/>
        <v>0</v>
      </c>
      <c r="BC30">
        <f t="shared" si="14"/>
        <v>0</v>
      </c>
      <c r="BD30">
        <f t="shared" si="15"/>
        <v>0</v>
      </c>
      <c r="BE30">
        <f t="shared" si="16"/>
        <v>0</v>
      </c>
      <c r="BF30">
        <f t="shared" si="17"/>
        <v>0</v>
      </c>
      <c r="BG30">
        <f t="shared" si="18"/>
        <v>0</v>
      </c>
      <c r="CG30" s="145">
        <f t="shared" si="19"/>
        <v>2043</v>
      </c>
      <c r="CH30" s="70">
        <f>INDEX(Table3Compare!$B$6:$K$37,MATCH($CG30,Table3Compare!$A$6:$A$37,0),MATCH(CH$9,Table3Compare!$B$5:$K$5,0))</f>
        <v>166.7699793719689</v>
      </c>
      <c r="CI30" s="70">
        <f>INDEX(Table3Compare!$B$6:$K$37,MATCH($CG30,Table3Compare!$A$6:$A$37,0),MATCH(CI$9,Table3Compare!$B$5:$K$5,0))</f>
        <v>164.10489462215736</v>
      </c>
      <c r="CJ30" s="70">
        <f>INDEX(Table3Compare!$B$6:$K$37,MATCH($CG30,Table3Compare!$A$6:$A$37,0),MATCH(CJ$9,Table3Compare!$B$5:$K$5,0))</f>
        <v>162.89327506749646</v>
      </c>
      <c r="CK30" s="70">
        <f>INDEX(Table3Compare!$B$6:$K$37,MATCH($CG30,Table3Compare!$A$6:$A$37,0),MATCH(CK$9,Table3Compare!$B$5:$K$5,0))</f>
        <v>166.7699793719689</v>
      </c>
      <c r="CL30" s="70">
        <f>INDEX(Table3Compare!$B$6:$K$37,MATCH($CG30,Table3Compare!$A$6:$A$37,0),MATCH(CL$9,Table3Compare!$B$5:$K$5,0))</f>
        <v>164.10489462215736</v>
      </c>
      <c r="CM30" s="70">
        <f>INDEX(Table3Compare!$B$6:$K$37,MATCH($CG30,Table3Compare!$A$6:$A$37,0),MATCH(CM$9,Table3Compare!$B$5:$K$5,0))</f>
        <v>162.89327506749646</v>
      </c>
      <c r="CN30" s="70">
        <f>INDEX(Table3Compare!$B$6:$K$37,MATCH($CG30,Table3Compare!$A$6:$A$37,0),MATCH(CN$9,Table3Compare!$B$5:$K$5,0))</f>
        <v>130.5400120855777</v>
      </c>
      <c r="CO30" s="70">
        <f>INDEX(Table3Compare!$B$6:$K$37,MATCH($CG30,Table3Compare!$A$6:$A$37,0),MATCH(CO$9,Table3Compare!$B$5:$K$5,0))</f>
        <v>130.5400120855777</v>
      </c>
      <c r="CP30" s="70">
        <f>INDEX(Table3Compare!$B$6:$K$37,MATCH($CG30,Table3Compare!$A$6:$A$37,0),MATCH(CP$9,Table3Compare!$B$5:$K$5,0))</f>
        <v>130.5400120855777</v>
      </c>
      <c r="CQ30" s="70">
        <f>INDEX(Table3Compare!$B$6:$K$37,MATCH($CG30,Table3Compare!$A$6:$A$37,0),MATCH(CQ$9,Table3Compare!$B$5:$K$5,0))</f>
        <v>130.5400120855777</v>
      </c>
      <c r="CR30" s="70"/>
      <c r="CS30" s="70"/>
      <c r="CT30" s="70"/>
      <c r="CU30" s="70"/>
      <c r="CV30" s="70"/>
      <c r="CW30" s="70"/>
      <c r="CX30" s="70"/>
      <c r="CY30" s="70"/>
      <c r="CZ30" s="70"/>
      <c r="DA30" s="70"/>
      <c r="DB30" s="70"/>
      <c r="DC30" s="70"/>
      <c r="DD30" s="70"/>
      <c r="DE30" s="70"/>
      <c r="DF30" s="152"/>
      <c r="DG30" s="152"/>
      <c r="DH30" s="70"/>
      <c r="DI30" s="152"/>
      <c r="DJ30" s="152"/>
      <c r="DK30" s="152"/>
      <c r="DL30" s="152"/>
      <c r="DM30" s="152"/>
      <c r="DR30">
        <f>SUM(AX$13:AX30)*CH30/1000</f>
        <v>0</v>
      </c>
      <c r="DS30">
        <f>SUM(AY$13:AY30)*CI30/1000</f>
        <v>0</v>
      </c>
      <c r="DT30">
        <f>SUM(AZ$13:AZ30)*CJ30/1000</f>
        <v>0</v>
      </c>
      <c r="DU30">
        <f>SUM(BA$13:BA30)*CK30/1000</f>
        <v>0</v>
      </c>
      <c r="DV30">
        <f>SUM(BB$13:BB30)*CL30/1000</f>
        <v>0</v>
      </c>
      <c r="DW30">
        <f>SUM(BC$13:BC30)*CM30/1000</f>
        <v>0</v>
      </c>
      <c r="DX30">
        <f>SUM(BD$13:BD30)*CN30/1000</f>
        <v>0</v>
      </c>
      <c r="DY30">
        <f>SUM(BE$13:BE30)*CO30/1000</f>
        <v>0</v>
      </c>
      <c r="DZ30">
        <f>SUM(BF$13:BF30)*CP30/1000</f>
        <v>0</v>
      </c>
      <c r="EA30">
        <f>SUM(BG$13:BG30)*CQ30/1000</f>
        <v>0</v>
      </c>
      <c r="EB30">
        <f>SUM(BH$13:BH30)*CR30/1000</f>
        <v>0</v>
      </c>
      <c r="EC30">
        <f>SUM(BI$13:BI30)*CS30/1000</f>
        <v>0</v>
      </c>
      <c r="ED30">
        <f>SUM(BJ$13:BJ30)*CT30/1000</f>
        <v>0</v>
      </c>
      <c r="EE30">
        <f>SUM(BK$13:BK30)*CU30/1000</f>
        <v>0</v>
      </c>
      <c r="EF30">
        <f>SUM(BL$13:BL30)*CV30/1000</f>
        <v>0</v>
      </c>
      <c r="EG30">
        <f>SUM(BM$13:BM30)*CW30/1000</f>
        <v>0</v>
      </c>
      <c r="EH30">
        <f>SUM(BN$13:BN30)*CX30/1000</f>
        <v>0</v>
      </c>
      <c r="EI30">
        <f>SUM(BO$13:BO30)*CY30/1000</f>
        <v>0</v>
      </c>
      <c r="EJ30">
        <f>SUM(BP$13:BP30)*CZ30/1000</f>
        <v>0</v>
      </c>
      <c r="EK30">
        <f>SUM(BQ$13:BQ30)*DA30/1000</f>
        <v>0</v>
      </c>
      <c r="EL30">
        <f>SUM(BR$13:BR30)*DB30/1000</f>
        <v>0</v>
      </c>
      <c r="EM30">
        <f>SUM(BS$13:BS30)*DC30/1000</f>
        <v>0</v>
      </c>
      <c r="EN30">
        <f>SUM(BT$13:BT30)*DD30/1000</f>
        <v>0</v>
      </c>
      <c r="EO30">
        <f>SUM(BU$13:BU30)*DE30/1000</f>
        <v>0</v>
      </c>
      <c r="EP30">
        <f>SUM(BV$13:BV30)*DF30/1000</f>
        <v>0</v>
      </c>
      <c r="EQ30">
        <f>SUM(BW$13:BW30)*DG30/1000</f>
        <v>0</v>
      </c>
      <c r="ER30">
        <f>SUM(BX$13:BX30)*DH30/1000</f>
        <v>0</v>
      </c>
      <c r="ES30">
        <f>SUM(BY$13:BY30)*DI30/1000</f>
        <v>0</v>
      </c>
      <c r="ET30">
        <f>SUM(BZ$13:BZ30)*DJ30/1000</f>
        <v>0</v>
      </c>
      <c r="FA30">
        <f t="shared" si="20"/>
        <v>0</v>
      </c>
      <c r="FC30">
        <f t="shared" si="21"/>
        <v>2043</v>
      </c>
      <c r="FD30" s="69"/>
      <c r="FE30" s="86">
        <f t="shared" si="25"/>
        <v>0</v>
      </c>
    </row>
    <row r="31" spans="2:161">
      <c r="B31" s="210">
        <f t="shared" si="22"/>
        <v>2044</v>
      </c>
      <c r="C31" s="8">
        <f t="shared" si="7"/>
        <v>0</v>
      </c>
      <c r="D31" s="211"/>
      <c r="E31" s="8">
        <f t="shared" ca="1" si="23"/>
        <v>43.259954613665592</v>
      </c>
      <c r="F31" s="33"/>
      <c r="G31" s="8">
        <f t="shared" ca="1" si="24"/>
        <v>43.259954613665592</v>
      </c>
      <c r="H31" s="33"/>
      <c r="I31" s="331"/>
      <c r="J31" s="331"/>
      <c r="K31" s="331"/>
      <c r="M31" s="86"/>
      <c r="O31">
        <f t="shared" si="8"/>
        <v>2044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X31">
        <f t="shared" si="9"/>
        <v>0</v>
      </c>
      <c r="AY31">
        <f t="shared" si="10"/>
        <v>0</v>
      </c>
      <c r="AZ31">
        <f t="shared" si="11"/>
        <v>0</v>
      </c>
      <c r="BA31">
        <f t="shared" si="12"/>
        <v>0</v>
      </c>
      <c r="BB31">
        <f t="shared" si="13"/>
        <v>0</v>
      </c>
      <c r="BC31">
        <f t="shared" si="14"/>
        <v>0</v>
      </c>
      <c r="BD31">
        <f t="shared" si="15"/>
        <v>0</v>
      </c>
      <c r="BE31">
        <f t="shared" si="16"/>
        <v>0</v>
      </c>
      <c r="BF31">
        <f t="shared" si="17"/>
        <v>0</v>
      </c>
      <c r="BG31">
        <f t="shared" si="18"/>
        <v>0</v>
      </c>
      <c r="CG31" s="145">
        <f t="shared" si="19"/>
        <v>2044</v>
      </c>
      <c r="CH31" s="70">
        <f>INDEX(Table3Compare!$B$6:$K$37,MATCH($CG31,Table3Compare!$A$6:$A$37,0),MATCH(CH$9,Table3Compare!$B$5:$K$5,0))</f>
        <v>170.40556488080787</v>
      </c>
      <c r="CI31" s="70">
        <f>INDEX(Table3Compare!$B$6:$K$37,MATCH($CG31,Table3Compare!$A$6:$A$37,0),MATCH(CI$9,Table3Compare!$B$5:$K$5,0))</f>
        <v>167.68238128411315</v>
      </c>
      <c r="CJ31" s="70">
        <f>INDEX(Table3Compare!$B$6:$K$37,MATCH($CG31,Table3Compare!$A$6:$A$37,0),MATCH(CJ$9,Table3Compare!$B$5:$K$5,0))</f>
        <v>166.44434842346192</v>
      </c>
      <c r="CK31" s="70">
        <f>INDEX(Table3Compare!$B$6:$K$37,MATCH($CG31,Table3Compare!$A$6:$A$37,0),MATCH(CK$9,Table3Compare!$B$5:$K$5,0))</f>
        <v>170.40556488080787</v>
      </c>
      <c r="CL31" s="70">
        <f>INDEX(Table3Compare!$B$6:$K$37,MATCH($CG31,Table3Compare!$A$6:$A$37,0),MATCH(CL$9,Table3Compare!$B$5:$K$5,0))</f>
        <v>167.68238128411315</v>
      </c>
      <c r="CM31" s="70">
        <f>INDEX(Table3Compare!$B$6:$K$37,MATCH($CG31,Table3Compare!$A$6:$A$37,0),MATCH(CM$9,Table3Compare!$B$5:$K$5,0))</f>
        <v>166.44434842346192</v>
      </c>
      <c r="CN31" s="70">
        <f>INDEX(Table3Compare!$B$6:$K$37,MATCH($CG31,Table3Compare!$A$6:$A$37,0),MATCH(CN$9,Table3Compare!$B$5:$K$5,0))</f>
        <v>133.38578431658249</v>
      </c>
      <c r="CO31" s="70">
        <f>INDEX(Table3Compare!$B$6:$K$37,MATCH($CG31,Table3Compare!$A$6:$A$37,0),MATCH(CO$9,Table3Compare!$B$5:$K$5,0))</f>
        <v>133.38578431658249</v>
      </c>
      <c r="CP31" s="70">
        <f>INDEX(Table3Compare!$B$6:$K$37,MATCH($CG31,Table3Compare!$A$6:$A$37,0),MATCH(CP$9,Table3Compare!$B$5:$K$5,0))</f>
        <v>133.38578431658249</v>
      </c>
      <c r="CQ31" s="70">
        <f>INDEX(Table3Compare!$B$6:$K$37,MATCH($CG31,Table3Compare!$A$6:$A$37,0),MATCH(CQ$9,Table3Compare!$B$5:$K$5,0))</f>
        <v>133.38578431658249</v>
      </c>
      <c r="CR31" s="70"/>
      <c r="CS31" s="70"/>
      <c r="CT31" s="70"/>
      <c r="CU31" s="70"/>
      <c r="CV31" s="70"/>
      <c r="CW31" s="70"/>
      <c r="CX31" s="70"/>
      <c r="CY31" s="70"/>
      <c r="CZ31" s="70"/>
      <c r="DA31" s="70"/>
      <c r="DB31" s="70"/>
      <c r="DC31" s="70"/>
      <c r="DD31" s="70"/>
      <c r="DE31" s="70"/>
      <c r="DF31" s="152"/>
      <c r="DG31" s="152"/>
      <c r="DH31" s="70"/>
      <c r="DI31" s="152"/>
      <c r="DJ31" s="152"/>
      <c r="DK31" s="152"/>
      <c r="DL31" s="152"/>
      <c r="DM31" s="152"/>
      <c r="DR31">
        <f>SUM(AX$13:AX31)*CH31/1000</f>
        <v>0</v>
      </c>
      <c r="DS31">
        <f>SUM(AY$13:AY31)*CI31/1000</f>
        <v>0</v>
      </c>
      <c r="DT31">
        <f>SUM(AZ$13:AZ31)*CJ31/1000</f>
        <v>0</v>
      </c>
      <c r="DU31">
        <f>SUM(BA$13:BA31)*CK31/1000</f>
        <v>0</v>
      </c>
      <c r="DV31">
        <f>SUM(BB$13:BB31)*CL31/1000</f>
        <v>0</v>
      </c>
      <c r="DW31">
        <f>SUM(BC$13:BC31)*CM31/1000</f>
        <v>0</v>
      </c>
      <c r="DX31">
        <f>SUM(BD$13:BD31)*CN31/1000</f>
        <v>0</v>
      </c>
      <c r="DY31">
        <f>SUM(BE$13:BE31)*CO31/1000</f>
        <v>0</v>
      </c>
      <c r="DZ31">
        <f>SUM(BF$13:BF31)*CP31/1000</f>
        <v>0</v>
      </c>
      <c r="EA31">
        <f>SUM(BG$13:BG31)*CQ31/1000</f>
        <v>0</v>
      </c>
      <c r="EB31">
        <f>SUM(BH$13:BH31)*CR31/1000</f>
        <v>0</v>
      </c>
      <c r="EC31">
        <f>SUM(BI$13:BI31)*CS31/1000</f>
        <v>0</v>
      </c>
      <c r="ED31">
        <f>SUM(BJ$13:BJ31)*CT31/1000</f>
        <v>0</v>
      </c>
      <c r="EE31">
        <f>SUM(BK$13:BK31)*CU31/1000</f>
        <v>0</v>
      </c>
      <c r="EF31">
        <f>SUM(BL$13:BL31)*CV31/1000</f>
        <v>0</v>
      </c>
      <c r="EG31">
        <f>SUM(BM$13:BM31)*CW31/1000</f>
        <v>0</v>
      </c>
      <c r="EH31">
        <f>SUM(BN$13:BN31)*CX31/1000</f>
        <v>0</v>
      </c>
      <c r="EI31">
        <f>SUM(BO$13:BO31)*CY31/1000</f>
        <v>0</v>
      </c>
      <c r="EJ31">
        <f>SUM(BP$13:BP31)*CZ31/1000</f>
        <v>0</v>
      </c>
      <c r="EK31">
        <f>SUM(BQ$13:BQ31)*DA31/1000</f>
        <v>0</v>
      </c>
      <c r="EL31">
        <f>SUM(BR$13:BR31)*DB31/1000</f>
        <v>0</v>
      </c>
      <c r="EM31">
        <f>SUM(BS$13:BS31)*DC31/1000</f>
        <v>0</v>
      </c>
      <c r="EN31">
        <f>SUM(BT$13:BT31)*DD31/1000</f>
        <v>0</v>
      </c>
      <c r="EO31">
        <f>SUM(BU$13:BU31)*DE31/1000</f>
        <v>0</v>
      </c>
      <c r="EP31">
        <f>SUM(BV$13:BV31)*DF31/1000</f>
        <v>0</v>
      </c>
      <c r="EQ31">
        <f>SUM(BW$13:BW31)*DG31/1000</f>
        <v>0</v>
      </c>
      <c r="ER31">
        <f>SUM(BX$13:BX31)*DH31/1000</f>
        <v>0</v>
      </c>
      <c r="ES31">
        <f>SUM(BY$13:BY31)*DI31/1000</f>
        <v>0</v>
      </c>
      <c r="ET31">
        <f>SUM(BZ$13:BZ31)*DJ31/1000</f>
        <v>0</v>
      </c>
      <c r="FA31">
        <f t="shared" si="20"/>
        <v>0</v>
      </c>
      <c r="FC31">
        <f t="shared" si="21"/>
        <v>2044</v>
      </c>
      <c r="FD31" s="69"/>
      <c r="FE31" s="86">
        <f t="shared" si="25"/>
        <v>0</v>
      </c>
    </row>
    <row r="32" spans="2:161">
      <c r="B32" s="210">
        <f t="shared" si="22"/>
        <v>2045</v>
      </c>
      <c r="C32" s="8">
        <f t="shared" si="7"/>
        <v>0</v>
      </c>
      <c r="D32" s="211"/>
      <c r="E32" s="8">
        <f t="shared" ca="1" si="23"/>
        <v>44.523375868581169</v>
      </c>
      <c r="F32" s="33"/>
      <c r="G32" s="8">
        <f t="shared" ca="1" si="24"/>
        <v>44.523375868581169</v>
      </c>
      <c r="H32" s="33"/>
      <c r="I32" s="331"/>
      <c r="J32" s="331"/>
      <c r="K32" s="331"/>
      <c r="M32" s="86"/>
      <c r="O32">
        <f t="shared" si="8"/>
        <v>2045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X32">
        <f t="shared" si="9"/>
        <v>0</v>
      </c>
      <c r="AY32">
        <f t="shared" si="10"/>
        <v>0</v>
      </c>
      <c r="AZ32">
        <f t="shared" si="11"/>
        <v>0</v>
      </c>
      <c r="BA32">
        <f t="shared" si="12"/>
        <v>0</v>
      </c>
      <c r="BB32">
        <f t="shared" si="13"/>
        <v>0</v>
      </c>
      <c r="BC32">
        <f t="shared" si="14"/>
        <v>0</v>
      </c>
      <c r="BD32">
        <f t="shared" si="15"/>
        <v>0</v>
      </c>
      <c r="BE32">
        <f t="shared" si="16"/>
        <v>0</v>
      </c>
      <c r="BF32">
        <f t="shared" si="17"/>
        <v>0</v>
      </c>
      <c r="BG32">
        <f t="shared" si="18"/>
        <v>0</v>
      </c>
      <c r="CG32" s="145">
        <f t="shared" si="19"/>
        <v>2045</v>
      </c>
      <c r="CH32" s="70">
        <f>INDEX(Table3Compare!$B$6:$K$37,MATCH($CG32,Table3Compare!$A$6:$A$37,0),MATCH(CH$9,Table3Compare!$B$5:$K$5,0))</f>
        <v>174.12040627372122</v>
      </c>
      <c r="CI32" s="70">
        <f>INDEX(Table3Compare!$B$6:$K$37,MATCH($CG32,Table3Compare!$A$6:$A$37,0),MATCH(CI$9,Table3Compare!$B$5:$K$5,0))</f>
        <v>171.33785727336391</v>
      </c>
      <c r="CJ32" s="70">
        <f>INDEX(Table3Compare!$B$6:$K$37,MATCH($CG32,Table3Compare!$A$6:$A$37,0),MATCH(CJ$9,Table3Compare!$B$5:$K$5,0))</f>
        <v>170.07283529578007</v>
      </c>
      <c r="CK32" s="70">
        <f>INDEX(Table3Compare!$B$6:$K$37,MATCH($CG32,Table3Compare!$A$6:$A$37,0),MATCH(CK$9,Table3Compare!$B$5:$K$5,0))</f>
        <v>174.12040627372122</v>
      </c>
      <c r="CL32" s="70">
        <f>INDEX(Table3Compare!$B$6:$K$37,MATCH($CG32,Table3Compare!$A$6:$A$37,0),MATCH(CL$9,Table3Compare!$B$5:$K$5,0))</f>
        <v>171.33785727336391</v>
      </c>
      <c r="CM32" s="70">
        <f>INDEX(Table3Compare!$B$6:$K$37,MATCH($CG32,Table3Compare!$A$6:$A$37,0),MATCH(CM$9,Table3Compare!$B$5:$K$5,0))</f>
        <v>170.07283529578007</v>
      </c>
      <c r="CN32" s="70">
        <f>INDEX(Table3Compare!$B$6:$K$37,MATCH($CG32,Table3Compare!$A$6:$A$37,0),MATCH(CN$9,Table3Compare!$B$5:$K$5,0))</f>
        <v>136.29359447613942</v>
      </c>
      <c r="CO32" s="70">
        <f>INDEX(Table3Compare!$B$6:$K$37,MATCH($CG32,Table3Compare!$A$6:$A$37,0),MATCH(CO$9,Table3Compare!$B$5:$K$5,0))</f>
        <v>136.29359447613942</v>
      </c>
      <c r="CP32" s="70">
        <f>INDEX(Table3Compare!$B$6:$K$37,MATCH($CG32,Table3Compare!$A$6:$A$37,0),MATCH(CP$9,Table3Compare!$B$5:$K$5,0))</f>
        <v>136.29359447613942</v>
      </c>
      <c r="CQ32" s="70">
        <f>INDEX(Table3Compare!$B$6:$K$37,MATCH($CG32,Table3Compare!$A$6:$A$37,0),MATCH(CQ$9,Table3Compare!$B$5:$K$5,0))</f>
        <v>136.29359447613942</v>
      </c>
      <c r="CR32" s="70"/>
      <c r="CS32" s="70"/>
      <c r="CT32" s="70"/>
      <c r="CU32" s="70"/>
      <c r="CV32" s="70"/>
      <c r="CW32" s="70"/>
      <c r="CX32" s="70"/>
      <c r="CY32" s="70"/>
      <c r="CZ32" s="70"/>
      <c r="DA32" s="70"/>
      <c r="DB32" s="70"/>
      <c r="DC32" s="70"/>
      <c r="DD32" s="70"/>
      <c r="DE32" s="70"/>
      <c r="DF32" s="152"/>
      <c r="DG32" s="152"/>
      <c r="DH32" s="70"/>
      <c r="DI32" s="152"/>
      <c r="DJ32" s="152"/>
      <c r="DK32" s="152"/>
      <c r="DL32" s="152"/>
      <c r="DM32" s="152"/>
      <c r="DR32">
        <f>SUM(AX$13:AX32)*CH32/1000</f>
        <v>0</v>
      </c>
      <c r="DS32">
        <f>SUM(AY$13:AY32)*CI32/1000</f>
        <v>0</v>
      </c>
      <c r="DT32">
        <f>SUM(AZ$13:AZ32)*CJ32/1000</f>
        <v>0</v>
      </c>
      <c r="DU32">
        <f>SUM(BA$13:BA32)*CK32/1000</f>
        <v>0</v>
      </c>
      <c r="DV32">
        <f>SUM(BB$13:BB32)*CL32/1000</f>
        <v>0</v>
      </c>
      <c r="DW32">
        <f>SUM(BC$13:BC32)*CM32/1000</f>
        <v>0</v>
      </c>
      <c r="DX32">
        <f>SUM(BD$13:BD32)*CN32/1000</f>
        <v>0</v>
      </c>
      <c r="DY32">
        <f>SUM(BE$13:BE32)*CO32/1000</f>
        <v>0</v>
      </c>
      <c r="DZ32">
        <f>SUM(BF$13:BF32)*CP32/1000</f>
        <v>0</v>
      </c>
      <c r="EA32">
        <f>SUM(BG$13:BG32)*CQ32/1000</f>
        <v>0</v>
      </c>
      <c r="EB32">
        <f>SUM(BH$13:BH32)*CR32/1000</f>
        <v>0</v>
      </c>
      <c r="EC32">
        <f>SUM(BI$13:BI32)*CS32/1000</f>
        <v>0</v>
      </c>
      <c r="ED32">
        <f>SUM(BJ$13:BJ32)*CT32/1000</f>
        <v>0</v>
      </c>
      <c r="EE32">
        <f>SUM(BK$13:BK32)*CU32/1000</f>
        <v>0</v>
      </c>
      <c r="EF32">
        <f>SUM(BL$13:BL32)*CV32/1000</f>
        <v>0</v>
      </c>
      <c r="EG32">
        <f>SUM(BM$13:BM32)*CW32/1000</f>
        <v>0</v>
      </c>
      <c r="EH32">
        <f>SUM(BN$13:BN32)*CX32/1000</f>
        <v>0</v>
      </c>
      <c r="EI32">
        <f>SUM(BO$13:BO32)*CY32/1000</f>
        <v>0</v>
      </c>
      <c r="EJ32">
        <f>SUM(BP$13:BP32)*CZ32/1000</f>
        <v>0</v>
      </c>
      <c r="EK32">
        <f>SUM(BQ$13:BQ32)*DA32/1000</f>
        <v>0</v>
      </c>
      <c r="EL32">
        <f>SUM(BR$13:BR32)*DB32/1000</f>
        <v>0</v>
      </c>
      <c r="EM32">
        <f>SUM(BS$13:BS32)*DC32/1000</f>
        <v>0</v>
      </c>
      <c r="EN32">
        <f>SUM(BT$13:BT32)*DD32/1000</f>
        <v>0</v>
      </c>
      <c r="EO32">
        <f>SUM(BU$13:BU32)*DE32/1000</f>
        <v>0</v>
      </c>
      <c r="EP32">
        <f>SUM(BV$13:BV32)*DF32/1000</f>
        <v>0</v>
      </c>
      <c r="EQ32">
        <f>SUM(BW$13:BW32)*DG32/1000</f>
        <v>0</v>
      </c>
      <c r="ER32">
        <f>SUM(BX$13:BX32)*DH32/1000</f>
        <v>0</v>
      </c>
      <c r="ES32">
        <f>SUM(BY$13:BY32)*DI32/1000</f>
        <v>0</v>
      </c>
      <c r="ET32">
        <f>SUM(BZ$13:BZ32)*DJ32/1000</f>
        <v>0</v>
      </c>
      <c r="FA32">
        <f t="shared" si="20"/>
        <v>0</v>
      </c>
      <c r="FC32">
        <f t="shared" si="21"/>
        <v>2045</v>
      </c>
      <c r="FD32" s="69"/>
      <c r="FE32" s="86">
        <f t="shared" si="25"/>
        <v>0</v>
      </c>
    </row>
    <row r="33" spans="1:161">
      <c r="B33" s="210">
        <f t="shared" si="22"/>
        <v>2046</v>
      </c>
      <c r="C33" s="8">
        <f t="shared" si="7"/>
        <v>0</v>
      </c>
      <c r="D33" s="211"/>
      <c r="E33" s="8">
        <f t="shared" ref="E33" ca="1" si="26">SUMIF(INDIRECT("'Table 5'!$J$"&amp;$K$3&amp;":$J$"&amp;$K$4),B33,INDIRECT("'Table 5'!$c$"&amp;$K$3&amp;":$c$"&amp;$K$4))/SUMIF(INDIRECT("'Table 5'!$J$"&amp;$K$3&amp;":$J$"&amp;$K$4),B33,INDIRECT("'Table 5'!$f$"&amp;$K$3&amp;":$f$"&amp;$K$4))</f>
        <v>45.722598454790187</v>
      </c>
      <c r="F33" s="33"/>
      <c r="G33" s="8">
        <f t="shared" ref="G33" ca="1" si="27">SUMIF(INDIRECT("'Table 5'!$J$"&amp;$K$3&amp;":$J$"&amp;$K$4),B33,INDIRECT("'Table 5'!$e$"&amp;$K$3&amp;":$e$"&amp;$K$4))/SUMIF(INDIRECT("'Table 5'!$J$"&amp;$K$3&amp;":$J$"&amp;$K$4),B33,INDIRECT("'Table 5'!$f$"&amp;$K$3&amp;":$f$"&amp;$K$4))</f>
        <v>45.722598454790187</v>
      </c>
      <c r="H33" s="33"/>
      <c r="I33" s="331"/>
      <c r="J33" s="331"/>
      <c r="K33" s="331"/>
      <c r="M33" s="86"/>
      <c r="O33">
        <f t="shared" ref="O33" si="28">B33</f>
        <v>2046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X33">
        <f t="shared" ref="AX33" si="29">P33/P$5</f>
        <v>0</v>
      </c>
      <c r="AY33">
        <f t="shared" si="10"/>
        <v>0</v>
      </c>
      <c r="AZ33">
        <f t="shared" si="11"/>
        <v>0</v>
      </c>
      <c r="BA33">
        <f t="shared" si="12"/>
        <v>0</v>
      </c>
      <c r="BB33">
        <f t="shared" si="13"/>
        <v>0</v>
      </c>
      <c r="BC33">
        <f t="shared" si="14"/>
        <v>0</v>
      </c>
      <c r="BD33">
        <f t="shared" si="15"/>
        <v>0</v>
      </c>
      <c r="BE33">
        <f t="shared" si="16"/>
        <v>0</v>
      </c>
      <c r="BF33">
        <f t="shared" si="17"/>
        <v>0</v>
      </c>
      <c r="BG33">
        <f t="shared" si="18"/>
        <v>0</v>
      </c>
      <c r="CG33" s="145">
        <f t="shared" ref="CG33" si="30">O33</f>
        <v>2046</v>
      </c>
      <c r="CH33" s="70">
        <f>INDEX(Table3Compare!$B$6:$K$37,MATCH($CG33,Table3Compare!$A$6:$A$37,0),MATCH(CH$9,Table3Compare!$B$5:$K$5,0))</f>
        <v>177.91623109654628</v>
      </c>
      <c r="CI33" s="70">
        <f>INDEX(Table3Compare!$B$6:$K$37,MATCH($CG33,Table3Compare!$A$6:$A$37,0),MATCH(CI$9,Table3Compare!$B$5:$K$5,0))</f>
        <v>175.07302252852358</v>
      </c>
      <c r="CJ33" s="70">
        <f>INDEX(Table3Compare!$B$6:$K$37,MATCH($CG33,Table3Compare!$A$6:$A$37,0),MATCH(CJ$9,Table3Compare!$B$5:$K$5,0))</f>
        <v>173.78042307207502</v>
      </c>
      <c r="CK33" s="70">
        <f>INDEX(Table3Compare!$B$6:$K$37,MATCH($CG33,Table3Compare!$A$6:$A$37,0),MATCH(CK$9,Table3Compare!$B$5:$K$5,0))</f>
        <v>177.91623109654628</v>
      </c>
      <c r="CL33" s="70">
        <f>INDEX(Table3Compare!$B$6:$K$37,MATCH($CG33,Table3Compare!$A$6:$A$37,0),MATCH(CL$9,Table3Compare!$B$5:$K$5,0))</f>
        <v>175.07302252852358</v>
      </c>
      <c r="CM33" s="70">
        <f>INDEX(Table3Compare!$B$6:$K$37,MATCH($CG33,Table3Compare!$A$6:$A$37,0),MATCH(CM$9,Table3Compare!$B$5:$K$5,0))</f>
        <v>173.78042307207502</v>
      </c>
      <c r="CN33" s="70">
        <f>INDEX(Table3Compare!$B$6:$K$37,MATCH($CG33,Table3Compare!$A$6:$A$37,0),MATCH(CN$9,Table3Compare!$B$5:$K$5,0))</f>
        <v>139.26479480915094</v>
      </c>
      <c r="CO33" s="70">
        <f>INDEX(Table3Compare!$B$6:$K$37,MATCH($CG33,Table3Compare!$A$6:$A$37,0),MATCH(CO$9,Table3Compare!$B$5:$K$5,0))</f>
        <v>139.26479480915094</v>
      </c>
      <c r="CP33" s="70">
        <f>INDEX(Table3Compare!$B$6:$K$37,MATCH($CG33,Table3Compare!$A$6:$A$37,0),MATCH(CP$9,Table3Compare!$B$5:$K$5,0))</f>
        <v>139.26479480915094</v>
      </c>
      <c r="CQ33" s="70">
        <f>INDEX(Table3Compare!$B$6:$K$37,MATCH($CG33,Table3Compare!$A$6:$A$37,0),MATCH(CQ$9,Table3Compare!$B$5:$K$5,0))</f>
        <v>139.26479480915094</v>
      </c>
      <c r="CR33" s="70"/>
      <c r="CS33" s="70"/>
      <c r="CT33" s="70"/>
      <c r="CU33" s="70"/>
      <c r="CV33" s="70"/>
      <c r="CW33" s="70"/>
      <c r="CX33" s="70"/>
      <c r="CY33" s="70"/>
      <c r="CZ33" s="70"/>
      <c r="DA33" s="70"/>
      <c r="DB33" s="70"/>
      <c r="DC33" s="70"/>
      <c r="DD33" s="70"/>
      <c r="DE33" s="70"/>
      <c r="DF33" s="152"/>
      <c r="DG33" s="152"/>
      <c r="DH33" s="70"/>
      <c r="DI33" s="152"/>
      <c r="DJ33" s="152"/>
      <c r="DK33" s="152"/>
      <c r="DL33" s="152"/>
      <c r="DM33" s="152"/>
      <c r="DR33">
        <f>SUM(AX$13:AX33)*CH33/1000</f>
        <v>0</v>
      </c>
      <c r="DS33">
        <f>SUM(AY$13:AY33)*CI33/1000</f>
        <v>0</v>
      </c>
      <c r="DT33">
        <f>SUM(AZ$13:AZ33)*CJ33/1000</f>
        <v>0</v>
      </c>
      <c r="DU33">
        <f>SUM(BA$13:BA33)*CK33/1000</f>
        <v>0</v>
      </c>
      <c r="DV33">
        <f>SUM(BB$13:BB33)*CL33/1000</f>
        <v>0</v>
      </c>
      <c r="DW33">
        <f>SUM(BC$13:BC33)*CM33/1000</f>
        <v>0</v>
      </c>
      <c r="DX33">
        <f>SUM(BD$13:BD33)*CN33/1000</f>
        <v>0</v>
      </c>
      <c r="DY33">
        <f>SUM(BE$13:BE33)*CO33/1000</f>
        <v>0</v>
      </c>
      <c r="DZ33">
        <f>SUM(BF$13:BF33)*CP33/1000</f>
        <v>0</v>
      </c>
      <c r="EA33">
        <f>SUM(BG$13:BG33)*CQ33/1000</f>
        <v>0</v>
      </c>
      <c r="EB33">
        <f>SUM(BH$13:BH33)*CR33/1000</f>
        <v>0</v>
      </c>
      <c r="EC33">
        <f>SUM(BI$13:BI33)*CS33/1000</f>
        <v>0</v>
      </c>
      <c r="ED33">
        <f>SUM(BJ$13:BJ33)*CT33/1000</f>
        <v>0</v>
      </c>
      <c r="EE33">
        <f>SUM(BK$13:BK33)*CU33/1000</f>
        <v>0</v>
      </c>
      <c r="EF33">
        <f>SUM(BL$13:BL33)*CV33/1000</f>
        <v>0</v>
      </c>
      <c r="EG33">
        <f>SUM(BM$13:BM33)*CW33/1000</f>
        <v>0</v>
      </c>
      <c r="EH33">
        <f>SUM(BN$13:BN33)*CX33/1000</f>
        <v>0</v>
      </c>
      <c r="EI33">
        <f>SUM(BO$13:BO33)*CY33/1000</f>
        <v>0</v>
      </c>
      <c r="EJ33">
        <f>SUM(BP$13:BP33)*CZ33/1000</f>
        <v>0</v>
      </c>
      <c r="EK33">
        <f>SUM(BQ$13:BQ33)*DA33/1000</f>
        <v>0</v>
      </c>
      <c r="EL33">
        <f>SUM(BR$13:BR33)*DB33/1000</f>
        <v>0</v>
      </c>
      <c r="EM33">
        <f>SUM(BS$13:BS33)*DC33/1000</f>
        <v>0</v>
      </c>
      <c r="EN33">
        <f>SUM(BT$13:BT33)*DD33/1000</f>
        <v>0</v>
      </c>
      <c r="EO33">
        <f>SUM(BU$13:BU33)*DE33/1000</f>
        <v>0</v>
      </c>
      <c r="EP33">
        <f>SUM(BV$13:BV33)*DF33/1000</f>
        <v>0</v>
      </c>
      <c r="EQ33">
        <f>SUM(BW$13:BW33)*DG33/1000</f>
        <v>0</v>
      </c>
      <c r="ER33">
        <f>SUM(BX$13:BX33)*DH33/1000</f>
        <v>0</v>
      </c>
      <c r="ES33">
        <f>SUM(BY$13:BY33)*DI33/1000</f>
        <v>0</v>
      </c>
      <c r="ET33">
        <f>SUM(BZ$13:BZ33)*DJ33/1000</f>
        <v>0</v>
      </c>
      <c r="FA33">
        <f t="shared" ref="FA33" si="31">SUM(DR33:EZ33)</f>
        <v>0</v>
      </c>
      <c r="FC33">
        <f t="shared" ref="FC33" si="32">O33</f>
        <v>2046</v>
      </c>
      <c r="FD33" s="69"/>
      <c r="FE33" s="86">
        <f t="shared" ref="FE33" si="33">$FD$5*FD33/1000</f>
        <v>0</v>
      </c>
    </row>
    <row r="34" spans="1:161">
      <c r="B34" s="210">
        <f t="shared" si="22"/>
        <v>2047</v>
      </c>
      <c r="C34" s="8">
        <f t="shared" si="7"/>
        <v>0</v>
      </c>
      <c r="D34" s="211"/>
      <c r="E34" s="8">
        <f t="shared" ref="E34" ca="1" si="34">SUMIF(INDIRECT("'Table 5'!$J$"&amp;$K$3&amp;":$J$"&amp;$K$4),B34,INDIRECT("'Table 5'!$c$"&amp;$K$3&amp;":$c$"&amp;$K$4))/SUMIF(INDIRECT("'Table 5'!$J$"&amp;$K$3&amp;":$J$"&amp;$K$4),B34,INDIRECT("'Table 5'!$f$"&amp;$K$3&amp;":$f$"&amp;$K$4))</f>
        <v>46.954121709652874</v>
      </c>
      <c r="F34" s="33"/>
      <c r="G34" s="8">
        <f t="shared" ref="G34" ca="1" si="35">SUMIF(INDIRECT("'Table 5'!$J$"&amp;$K$3&amp;":$J$"&amp;$K$4),B34,INDIRECT("'Table 5'!$e$"&amp;$K$3&amp;":$e$"&amp;$K$4))/SUMIF(INDIRECT("'Table 5'!$J$"&amp;$K$3&amp;":$J$"&amp;$K$4),B34,INDIRECT("'Table 5'!$f$"&amp;$K$3&amp;":$f$"&amp;$K$4))</f>
        <v>46.954121709652874</v>
      </c>
      <c r="H34" s="33"/>
      <c r="I34" s="8"/>
      <c r="J34" s="86"/>
      <c r="M34" s="86"/>
      <c r="O34">
        <f t="shared" ref="O34" si="36">B34</f>
        <v>2047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X34">
        <f t="shared" si="9"/>
        <v>0</v>
      </c>
      <c r="AY34">
        <f t="shared" si="10"/>
        <v>0</v>
      </c>
      <c r="AZ34">
        <f t="shared" si="11"/>
        <v>0</v>
      </c>
      <c r="BA34">
        <f t="shared" si="12"/>
        <v>0</v>
      </c>
      <c r="BB34">
        <f t="shared" si="13"/>
        <v>0</v>
      </c>
      <c r="BC34">
        <f t="shared" si="14"/>
        <v>0</v>
      </c>
      <c r="BD34">
        <f t="shared" si="15"/>
        <v>0</v>
      </c>
      <c r="BE34">
        <f t="shared" si="16"/>
        <v>0</v>
      </c>
      <c r="BF34">
        <f t="shared" si="17"/>
        <v>0</v>
      </c>
      <c r="BG34">
        <f t="shared" si="18"/>
        <v>0</v>
      </c>
      <c r="CG34" s="145">
        <f t="shared" si="19"/>
        <v>2047</v>
      </c>
      <c r="CH34" s="70">
        <f>INDEX(Table3Compare!$B$6:$K$37,MATCH($CG34,Table3Compare!$A$6:$A$37,0),MATCH(CH$9,Table3Compare!$B$5:$K$5,0))</f>
        <v>181.79480486681047</v>
      </c>
      <c r="CI34" s="70">
        <f>INDEX(Table3Compare!$B$6:$K$37,MATCH($CG34,Table3Compare!$A$6:$A$37,0),MATCH(CI$9,Table3Compare!$B$5:$K$5,0))</f>
        <v>178.88961435308579</v>
      </c>
      <c r="CJ34" s="70">
        <f>INDEX(Table3Compare!$B$6:$K$37,MATCH($CG34,Table3Compare!$A$6:$A$37,0),MATCH(CJ$9,Table3Compare!$B$5:$K$5,0))</f>
        <v>177.56883622897806</v>
      </c>
      <c r="CK34" s="70">
        <f>INDEX(Table3Compare!$B$6:$K$37,MATCH($CG34,Table3Compare!$A$6:$A$37,0),MATCH(CK$9,Table3Compare!$B$5:$K$5,0))</f>
        <v>181.79480486681047</v>
      </c>
      <c r="CL34" s="70">
        <f>INDEX(Table3Compare!$B$6:$K$37,MATCH($CG34,Table3Compare!$A$6:$A$37,0),MATCH(CL$9,Table3Compare!$B$5:$K$5,0))</f>
        <v>178.88961435308579</v>
      </c>
      <c r="CM34" s="70">
        <f>INDEX(Table3Compare!$B$6:$K$37,MATCH($CG34,Table3Compare!$A$6:$A$37,0),MATCH(CM$9,Table3Compare!$B$5:$K$5,0))</f>
        <v>177.56883622897806</v>
      </c>
      <c r="CN34" s="70">
        <f>INDEX(Table3Compare!$B$6:$K$37,MATCH($CG34,Table3Compare!$A$6:$A$37,0),MATCH(CN$9,Table3Compare!$B$5:$K$5,0))</f>
        <v>142.30076728304451</v>
      </c>
      <c r="CO34" s="70">
        <f>INDEX(Table3Compare!$B$6:$K$37,MATCH($CG34,Table3Compare!$A$6:$A$37,0),MATCH(CO$9,Table3Compare!$B$5:$K$5,0))</f>
        <v>142.30076728304451</v>
      </c>
      <c r="CP34" s="70">
        <f>INDEX(Table3Compare!$B$6:$K$37,MATCH($CG34,Table3Compare!$A$6:$A$37,0),MATCH(CP$9,Table3Compare!$B$5:$K$5,0))</f>
        <v>142.30076728304451</v>
      </c>
      <c r="CQ34" s="70">
        <f>INDEX(Table3Compare!$B$6:$K$37,MATCH($CG34,Table3Compare!$A$6:$A$37,0),MATCH(CQ$9,Table3Compare!$B$5:$K$5,0))</f>
        <v>142.30076728304451</v>
      </c>
      <c r="CR34" s="70"/>
      <c r="CS34" s="70"/>
      <c r="CT34" s="70"/>
      <c r="CU34" s="70"/>
      <c r="CV34" s="70"/>
      <c r="CW34" s="70"/>
      <c r="CX34" s="70"/>
      <c r="CY34" s="70"/>
      <c r="CZ34" s="70"/>
      <c r="DA34" s="70"/>
      <c r="DB34" s="70"/>
      <c r="DC34" s="70"/>
      <c r="DD34" s="70"/>
      <c r="DE34" s="70"/>
      <c r="DF34" s="152"/>
      <c r="DG34" s="152"/>
      <c r="DH34" s="70"/>
      <c r="DI34" s="152"/>
      <c r="DJ34" s="152"/>
      <c r="DK34" s="152"/>
      <c r="DL34" s="152"/>
      <c r="DM34" s="152"/>
      <c r="DR34">
        <f>SUM(AX$13:AX34)*CH34/1000</f>
        <v>0</v>
      </c>
      <c r="DS34">
        <f>SUM(AY$13:AY34)*CI34/1000</f>
        <v>0</v>
      </c>
      <c r="DT34">
        <f>SUM(AZ$13:AZ34)*CJ34/1000</f>
        <v>0</v>
      </c>
      <c r="DU34">
        <f>SUM(BA$13:BA34)*CK34/1000</f>
        <v>0</v>
      </c>
      <c r="DV34">
        <f>SUM(BB$13:BB34)*CL34/1000</f>
        <v>0</v>
      </c>
      <c r="DW34">
        <f>SUM(BC$13:BC34)*CM34/1000</f>
        <v>0</v>
      </c>
      <c r="DX34">
        <f>SUM(BD$13:BD34)*CN34/1000</f>
        <v>0</v>
      </c>
      <c r="DY34">
        <f>SUM(BE$13:BE34)*CO34/1000</f>
        <v>0</v>
      </c>
      <c r="DZ34">
        <f>SUM(BF$13:BF34)*CP34/1000</f>
        <v>0</v>
      </c>
      <c r="EA34">
        <f>SUM(BG$13:BG34)*CQ34/1000</f>
        <v>0</v>
      </c>
      <c r="EB34">
        <f>SUM(BH$13:BH34)*CR34/1000</f>
        <v>0</v>
      </c>
      <c r="EC34">
        <f>SUM(BI$13:BI34)*CS34/1000</f>
        <v>0</v>
      </c>
      <c r="ED34">
        <f>SUM(BJ$13:BJ34)*CT34/1000</f>
        <v>0</v>
      </c>
      <c r="EE34">
        <f>SUM(BK$13:BK34)*CU34/1000</f>
        <v>0</v>
      </c>
      <c r="EF34">
        <f>SUM(BL$13:BL34)*CV34/1000</f>
        <v>0</v>
      </c>
      <c r="EG34">
        <f>SUM(BM$13:BM34)*CW34/1000</f>
        <v>0</v>
      </c>
      <c r="EH34">
        <f>SUM(BN$13:BN34)*CX34/1000</f>
        <v>0</v>
      </c>
      <c r="EI34">
        <f>SUM(BO$13:BO34)*CY34/1000</f>
        <v>0</v>
      </c>
      <c r="EJ34">
        <f>SUM(BP$13:BP34)*CZ34/1000</f>
        <v>0</v>
      </c>
      <c r="EK34">
        <f>SUM(BQ$13:BQ34)*DA34/1000</f>
        <v>0</v>
      </c>
      <c r="EL34">
        <f>SUM(BR$13:BR34)*DB34/1000</f>
        <v>0</v>
      </c>
      <c r="EM34">
        <f>SUM(BS$13:BS34)*DC34/1000</f>
        <v>0</v>
      </c>
      <c r="EN34">
        <f>SUM(BT$13:BT34)*DD34/1000</f>
        <v>0</v>
      </c>
      <c r="EO34">
        <f>SUM(BU$13:BU34)*DE34/1000</f>
        <v>0</v>
      </c>
      <c r="EP34">
        <f>SUM(BV$13:BV34)*DF34/1000</f>
        <v>0</v>
      </c>
      <c r="EQ34">
        <f>SUM(BW$13:BW34)*DG34/1000</f>
        <v>0</v>
      </c>
      <c r="ER34">
        <f>SUM(BX$13:BX34)*DH34/1000</f>
        <v>0</v>
      </c>
      <c r="ES34">
        <f>SUM(BY$13:BY34)*DI34/1000</f>
        <v>0</v>
      </c>
      <c r="ET34">
        <f>SUM(BZ$13:BZ34)*DJ34/1000</f>
        <v>0</v>
      </c>
      <c r="FA34">
        <f t="shared" si="20"/>
        <v>0</v>
      </c>
      <c r="FC34">
        <f t="shared" si="21"/>
        <v>2047</v>
      </c>
      <c r="FD34" s="69"/>
      <c r="FE34" s="86"/>
    </row>
    <row r="35" spans="1:161" hidden="1">
      <c r="B35" s="210">
        <f t="shared" si="22"/>
        <v>2048</v>
      </c>
      <c r="C35" s="8">
        <f t="shared" si="7"/>
        <v>0</v>
      </c>
      <c r="D35" s="211"/>
      <c r="E35" s="8" t="e">
        <f t="shared" ref="E35:E41" ca="1" si="37">SUMIF(INDIRECT("'Table 5'!$J$"&amp;$K$3&amp;":$J$"&amp;$K$4),B35,INDIRECT("'Table 5'!$c$"&amp;$K$3&amp;":$c$"&amp;$K$4))/SUMIF(INDIRECT("'Table 5'!$J$"&amp;$K$3&amp;":$J$"&amp;$K$4),B35,INDIRECT("'Table 5'!$f$"&amp;$K$3&amp;":$f$"&amp;$K$4))</f>
        <v>#DIV/0!</v>
      </c>
      <c r="F35" s="33"/>
      <c r="G35" s="8" t="e">
        <f t="shared" ref="G35:G41" ca="1" si="38">SUMIF(INDIRECT("'Table 5'!$J$"&amp;$K$3&amp;":$J$"&amp;$K$4),B35,INDIRECT("'Table 5'!$e$"&amp;$K$3&amp;":$e$"&amp;$K$4))/SUMIF(INDIRECT("'Table 5'!$J$"&amp;$K$3&amp;":$J$"&amp;$K$4),B35,INDIRECT("'Table 5'!$f$"&amp;$K$3&amp;":$f$"&amp;$K$4))</f>
        <v>#DIV/0!</v>
      </c>
      <c r="H35" s="33"/>
      <c r="I35" s="8"/>
      <c r="J35" s="86"/>
      <c r="M35" s="86"/>
      <c r="O35">
        <f t="shared" ref="O35:O41" si="39">B35</f>
        <v>2048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X35">
        <f t="shared" ref="AX35:AX41" si="40">P35/P$5</f>
        <v>0</v>
      </c>
      <c r="AY35">
        <f t="shared" si="10"/>
        <v>0</v>
      </c>
      <c r="AZ35">
        <f t="shared" si="11"/>
        <v>0</v>
      </c>
      <c r="BA35">
        <f t="shared" si="12"/>
        <v>0</v>
      </c>
      <c r="BB35">
        <f t="shared" si="13"/>
        <v>0</v>
      </c>
      <c r="BC35">
        <f t="shared" si="14"/>
        <v>0</v>
      </c>
      <c r="BD35">
        <f t="shared" si="15"/>
        <v>0</v>
      </c>
      <c r="BE35">
        <f t="shared" si="16"/>
        <v>0</v>
      </c>
      <c r="BF35">
        <f t="shared" si="17"/>
        <v>0</v>
      </c>
      <c r="BG35">
        <f t="shared" si="18"/>
        <v>0</v>
      </c>
      <c r="CG35" s="145">
        <f t="shared" ref="CG35:CG41" si="41">O35</f>
        <v>2048</v>
      </c>
      <c r="CH35" s="70">
        <f>INDEX(Table3Compare!$B$6:$K$37,MATCH($CG35,Table3Compare!$A$6:$A$37,0),MATCH(CH$9,Table3Compare!$B$5:$K$5,0))</f>
        <v>185.75793154379184</v>
      </c>
      <c r="CI35" s="70">
        <f>INDEX(Table3Compare!$B$6:$K$37,MATCH($CG35,Table3Compare!$A$6:$A$37,0),MATCH(CI$9,Table3Compare!$B$5:$K$5,0))</f>
        <v>182.78940787797245</v>
      </c>
      <c r="CJ35" s="70">
        <f>INDEX(Table3Compare!$B$6:$K$37,MATCH($CG35,Table3Compare!$A$6:$A$37,0),MATCH(CJ$9,Table3Compare!$B$5:$K$5,0))</f>
        <v>181.43983679126131</v>
      </c>
      <c r="CK35" s="70">
        <f>INDEX(Table3Compare!$B$6:$K$37,MATCH($CG35,Table3Compare!$A$6:$A$37,0),MATCH(CK$9,Table3Compare!$B$5:$K$5,0))</f>
        <v>185.75793154379184</v>
      </c>
      <c r="CL35" s="70">
        <f>INDEX(Table3Compare!$B$6:$K$37,MATCH($CG35,Table3Compare!$A$6:$A$37,0),MATCH(CL$9,Table3Compare!$B$5:$K$5,0))</f>
        <v>182.78940787797245</v>
      </c>
      <c r="CM35" s="70">
        <f>INDEX(Table3Compare!$B$6:$K$37,MATCH($CG35,Table3Compare!$A$6:$A$37,0),MATCH(CM$9,Table3Compare!$B$5:$K$5,0))</f>
        <v>181.43983679126131</v>
      </c>
      <c r="CN35" s="70">
        <f>INDEX(Table3Compare!$B$6:$K$37,MATCH($CG35,Table3Compare!$A$6:$A$37,0),MATCH(CN$9,Table3Compare!$B$5:$K$5,0))</f>
        <v>145.4029239557147</v>
      </c>
      <c r="CO35" s="70">
        <f>INDEX(Table3Compare!$B$6:$K$37,MATCH($CG35,Table3Compare!$A$6:$A$37,0),MATCH(CO$9,Table3Compare!$B$5:$K$5,0))</f>
        <v>145.4029239557147</v>
      </c>
      <c r="CP35" s="70">
        <f>INDEX(Table3Compare!$B$6:$K$37,MATCH($CG35,Table3Compare!$A$6:$A$37,0),MATCH(CP$9,Table3Compare!$B$5:$K$5,0))</f>
        <v>145.4029239557147</v>
      </c>
      <c r="CQ35" s="70">
        <f>INDEX(Table3Compare!$B$6:$K$37,MATCH($CG35,Table3Compare!$A$6:$A$37,0),MATCH(CQ$9,Table3Compare!$B$5:$K$5,0))</f>
        <v>145.4029239557147</v>
      </c>
      <c r="CR35" s="70"/>
      <c r="CS35" s="70"/>
      <c r="CT35" s="70"/>
      <c r="CU35" s="70"/>
      <c r="CV35" s="70"/>
      <c r="CW35" s="70"/>
      <c r="CX35" s="70"/>
      <c r="CY35" s="70"/>
      <c r="CZ35" s="70"/>
      <c r="DA35" s="70"/>
      <c r="DB35" s="70"/>
      <c r="DC35" s="70"/>
      <c r="DD35" s="70"/>
      <c r="DE35" s="70"/>
      <c r="DF35" s="152"/>
      <c r="DG35" s="152"/>
      <c r="DH35" s="70"/>
      <c r="DI35" s="152"/>
      <c r="DJ35" s="152"/>
      <c r="DK35" s="152"/>
      <c r="DL35" s="152"/>
      <c r="DM35" s="152"/>
      <c r="DR35">
        <f>SUM(AX$13:AX35)*CH35/1000</f>
        <v>0</v>
      </c>
      <c r="DS35">
        <f>SUM(AY$13:AY35)*CI35/1000</f>
        <v>0</v>
      </c>
      <c r="DT35">
        <f>SUM(AZ$13:AZ35)*CJ35/1000</f>
        <v>0</v>
      </c>
      <c r="DU35">
        <f>SUM(BA$13:BA35)*CK35/1000</f>
        <v>0</v>
      </c>
      <c r="DV35">
        <f>SUM(BB$13:BB35)*CL35/1000</f>
        <v>0</v>
      </c>
      <c r="DW35">
        <f>SUM(BC$13:BC35)*CM35/1000</f>
        <v>0</v>
      </c>
      <c r="DX35">
        <f>SUM(BD$13:BD35)*CN35/1000</f>
        <v>0</v>
      </c>
      <c r="DY35">
        <f>SUM(BE$13:BE35)*CO35/1000</f>
        <v>0</v>
      </c>
      <c r="DZ35">
        <f>SUM(BF$13:BF35)*CP35/1000</f>
        <v>0</v>
      </c>
      <c r="EA35">
        <f>SUM(BG$13:BG35)*CQ35/1000</f>
        <v>0</v>
      </c>
      <c r="EB35">
        <f>SUM(BH$13:BH35)*CR35/1000</f>
        <v>0</v>
      </c>
      <c r="EC35">
        <f>SUM(BI$13:BI35)*CS35/1000</f>
        <v>0</v>
      </c>
      <c r="ED35">
        <f>SUM(BJ$13:BJ35)*CT35/1000</f>
        <v>0</v>
      </c>
      <c r="EE35">
        <f>SUM(BK$13:BK35)*CU35/1000</f>
        <v>0</v>
      </c>
      <c r="EF35">
        <f>SUM(BL$13:BL35)*CV35/1000</f>
        <v>0</v>
      </c>
      <c r="EG35">
        <f>SUM(BM$13:BM35)*CW35/1000</f>
        <v>0</v>
      </c>
      <c r="EH35">
        <f>SUM(BN$13:BN35)*CX35/1000</f>
        <v>0</v>
      </c>
      <c r="EI35">
        <f>SUM(BO$13:BO35)*CY35/1000</f>
        <v>0</v>
      </c>
      <c r="EJ35">
        <f>SUM(BP$13:BP35)*CZ35/1000</f>
        <v>0</v>
      </c>
      <c r="EK35">
        <f>SUM(BQ$13:BQ35)*DA35/1000</f>
        <v>0</v>
      </c>
      <c r="EL35">
        <f>SUM(BR$13:BR35)*DB35/1000</f>
        <v>0</v>
      </c>
      <c r="EM35">
        <f>SUM(BS$13:BS35)*DC35/1000</f>
        <v>0</v>
      </c>
      <c r="EN35">
        <f>SUM(BT$13:BT35)*DD35/1000</f>
        <v>0</v>
      </c>
      <c r="EO35">
        <f>SUM(BU$13:BU35)*DE35/1000</f>
        <v>0</v>
      </c>
      <c r="EP35">
        <f>SUM(BV$13:BV35)*DF35/1000</f>
        <v>0</v>
      </c>
      <c r="EQ35">
        <f>SUM(BW$13:BW35)*DG35/1000</f>
        <v>0</v>
      </c>
      <c r="ER35">
        <f>SUM(BX$13:BX35)*DH35/1000</f>
        <v>0</v>
      </c>
      <c r="ES35">
        <f>SUM(BY$13:BY35)*DI35/1000</f>
        <v>0</v>
      </c>
      <c r="ET35">
        <f>SUM(BZ$13:BZ35)*DJ35/1000</f>
        <v>0</v>
      </c>
      <c r="FA35">
        <f t="shared" ref="FA35:FA41" si="42">SUM(DR35:EZ35)</f>
        <v>0</v>
      </c>
      <c r="FC35">
        <f t="shared" ref="FC35:FC41" si="43">O35</f>
        <v>2048</v>
      </c>
      <c r="FD35" s="69"/>
      <c r="FE35" s="86"/>
    </row>
    <row r="36" spans="1:161" hidden="1">
      <c r="B36" s="210">
        <f t="shared" si="22"/>
        <v>2049</v>
      </c>
      <c r="C36" s="8">
        <f t="shared" si="7"/>
        <v>0</v>
      </c>
      <c r="D36" s="211"/>
      <c r="E36" s="8" t="e">
        <f t="shared" ca="1" si="37"/>
        <v>#DIV/0!</v>
      </c>
      <c r="F36" s="33"/>
      <c r="G36" s="8" t="e">
        <f t="shared" ca="1" si="38"/>
        <v>#DIV/0!</v>
      </c>
      <c r="H36" s="33"/>
      <c r="I36" s="8"/>
      <c r="J36" s="86"/>
      <c r="M36" s="86"/>
      <c r="O36">
        <f t="shared" si="39"/>
        <v>2049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X36">
        <f t="shared" si="40"/>
        <v>0</v>
      </c>
      <c r="AY36">
        <f t="shared" si="10"/>
        <v>0</v>
      </c>
      <c r="AZ36">
        <f t="shared" si="11"/>
        <v>0</v>
      </c>
      <c r="BA36">
        <f t="shared" si="12"/>
        <v>0</v>
      </c>
      <c r="BB36">
        <f t="shared" si="13"/>
        <v>0</v>
      </c>
      <c r="BC36">
        <f t="shared" si="14"/>
        <v>0</v>
      </c>
      <c r="BD36">
        <f t="shared" si="15"/>
        <v>0</v>
      </c>
      <c r="BE36">
        <f t="shared" si="16"/>
        <v>0</v>
      </c>
      <c r="BF36">
        <f t="shared" si="17"/>
        <v>0</v>
      </c>
      <c r="BG36">
        <f t="shared" si="18"/>
        <v>0</v>
      </c>
      <c r="CG36" s="145">
        <f t="shared" si="41"/>
        <v>2049</v>
      </c>
      <c r="CH36" s="70">
        <f>INDEX(Table3Compare!$B$6:$K$37,MATCH($CG36,Table3Compare!$A$6:$A$37,0),MATCH(CH$9,Table3Compare!$B$5:$K$5,0))</f>
        <v>189.80745438082474</v>
      </c>
      <c r="CI36" s="70">
        <f>INDEX(Table3Compare!$B$6:$K$37,MATCH($CG36,Table3Compare!$A$6:$A$37,0),MATCH(CI$9,Table3Compare!$B$5:$K$5,0))</f>
        <v>186.77421690021902</v>
      </c>
      <c r="CJ36" s="70">
        <f>INDEX(Table3Compare!$B$6:$K$37,MATCH($CG36,Table3Compare!$A$6:$A$37,0),MATCH(CJ$9,Table3Compare!$B$5:$K$5,0))</f>
        <v>185.39522516433067</v>
      </c>
      <c r="CK36" s="70">
        <f>INDEX(Table3Compare!$B$6:$K$37,MATCH($CG36,Table3Compare!$A$6:$A$37,0),MATCH(CK$9,Table3Compare!$B$5:$K$5,0))</f>
        <v>189.80745438082474</v>
      </c>
      <c r="CL36" s="70">
        <f>INDEX(Table3Compare!$B$6:$K$37,MATCH($CG36,Table3Compare!$A$6:$A$37,0),MATCH(CL$9,Table3Compare!$B$5:$K$5,0))</f>
        <v>186.77421690021902</v>
      </c>
      <c r="CM36" s="70">
        <f>INDEX(Table3Compare!$B$6:$K$37,MATCH($CG36,Table3Compare!$A$6:$A$37,0),MATCH(CM$9,Table3Compare!$B$5:$K$5,0))</f>
        <v>185.39522516433067</v>
      </c>
      <c r="CN36" s="70">
        <f>INDEX(Table3Compare!$B$6:$K$37,MATCH($CG36,Table3Compare!$A$6:$A$37,0),MATCH(CN$9,Table3Compare!$B$5:$K$5,0))</f>
        <v>148.57270764266974</v>
      </c>
      <c r="CO36" s="70">
        <f>INDEX(Table3Compare!$B$6:$K$37,MATCH($CG36,Table3Compare!$A$6:$A$37,0),MATCH(CO$9,Table3Compare!$B$5:$K$5,0))</f>
        <v>148.57270764266974</v>
      </c>
      <c r="CP36" s="70">
        <f>INDEX(Table3Compare!$B$6:$K$37,MATCH($CG36,Table3Compare!$A$6:$A$37,0),MATCH(CP$9,Table3Compare!$B$5:$K$5,0))</f>
        <v>148.57270764266974</v>
      </c>
      <c r="CQ36" s="70">
        <f>INDEX(Table3Compare!$B$6:$K$37,MATCH($CG36,Table3Compare!$A$6:$A$37,0),MATCH(CQ$9,Table3Compare!$B$5:$K$5,0))</f>
        <v>148.57270764266974</v>
      </c>
      <c r="CR36" s="70"/>
      <c r="CS36" s="70"/>
      <c r="CT36" s="70"/>
      <c r="CU36" s="70"/>
      <c r="CV36" s="70"/>
      <c r="CW36" s="70"/>
      <c r="CX36" s="70"/>
      <c r="CY36" s="70"/>
      <c r="CZ36" s="70"/>
      <c r="DA36" s="70"/>
      <c r="DB36" s="70"/>
      <c r="DC36" s="70"/>
      <c r="DD36" s="70"/>
      <c r="DE36" s="70"/>
      <c r="DF36" s="152"/>
      <c r="DG36" s="152"/>
      <c r="DH36" s="70"/>
      <c r="DI36" s="152"/>
      <c r="DJ36" s="152"/>
      <c r="DK36" s="152"/>
      <c r="DL36" s="152"/>
      <c r="DM36" s="152"/>
      <c r="DR36">
        <f>SUM(AX$13:AX36)*CH36/1000</f>
        <v>0</v>
      </c>
      <c r="DS36">
        <f>SUM(AY$13:AY36)*CI36/1000</f>
        <v>0</v>
      </c>
      <c r="DT36">
        <f>SUM(AZ$13:AZ36)*CJ36/1000</f>
        <v>0</v>
      </c>
      <c r="DU36">
        <f>SUM(BA$13:BA36)*CK36/1000</f>
        <v>0</v>
      </c>
      <c r="DV36">
        <f>SUM(BB$13:BB36)*CL36/1000</f>
        <v>0</v>
      </c>
      <c r="DW36">
        <f>SUM(BC$13:BC36)*CM36/1000</f>
        <v>0</v>
      </c>
      <c r="DX36">
        <f>SUM(BD$13:BD36)*CN36/1000</f>
        <v>0</v>
      </c>
      <c r="DY36">
        <f>SUM(BE$13:BE36)*CO36/1000</f>
        <v>0</v>
      </c>
      <c r="DZ36">
        <f>SUM(BF$13:BF36)*CP36/1000</f>
        <v>0</v>
      </c>
      <c r="EA36">
        <f>SUM(BG$13:BG36)*CQ36/1000</f>
        <v>0</v>
      </c>
      <c r="EB36">
        <f>SUM(BH$13:BH36)*CR36/1000</f>
        <v>0</v>
      </c>
      <c r="EC36">
        <f>SUM(BI$13:BI36)*CS36/1000</f>
        <v>0</v>
      </c>
      <c r="ED36">
        <f>SUM(BJ$13:BJ36)*CT36/1000</f>
        <v>0</v>
      </c>
      <c r="EE36">
        <f>SUM(BK$13:BK36)*CU36/1000</f>
        <v>0</v>
      </c>
      <c r="EF36">
        <f>SUM(BL$13:BL36)*CV36/1000</f>
        <v>0</v>
      </c>
      <c r="EG36">
        <f>SUM(BM$13:BM36)*CW36/1000</f>
        <v>0</v>
      </c>
      <c r="EH36">
        <f>SUM(BN$13:BN36)*CX36/1000</f>
        <v>0</v>
      </c>
      <c r="EI36">
        <f>SUM(BO$13:BO36)*CY36/1000</f>
        <v>0</v>
      </c>
      <c r="EJ36">
        <f>SUM(BP$13:BP36)*CZ36/1000</f>
        <v>0</v>
      </c>
      <c r="EK36">
        <f>SUM(BQ$13:BQ36)*DA36/1000</f>
        <v>0</v>
      </c>
      <c r="EL36">
        <f>SUM(BR$13:BR36)*DB36/1000</f>
        <v>0</v>
      </c>
      <c r="EM36">
        <f>SUM(BS$13:BS36)*DC36/1000</f>
        <v>0</v>
      </c>
      <c r="EN36">
        <f>SUM(BT$13:BT36)*DD36/1000</f>
        <v>0</v>
      </c>
      <c r="EO36">
        <f>SUM(BU$13:BU36)*DE36/1000</f>
        <v>0</v>
      </c>
      <c r="EP36">
        <f>SUM(BV$13:BV36)*DF36/1000</f>
        <v>0</v>
      </c>
      <c r="EQ36">
        <f>SUM(BW$13:BW36)*DG36/1000</f>
        <v>0</v>
      </c>
      <c r="ER36">
        <f>SUM(BX$13:BX36)*DH36/1000</f>
        <v>0</v>
      </c>
      <c r="ES36">
        <f>SUM(BY$13:BY36)*DI36/1000</f>
        <v>0</v>
      </c>
      <c r="ET36">
        <f>SUM(BZ$13:BZ36)*DJ36/1000</f>
        <v>0</v>
      </c>
      <c r="FA36">
        <f t="shared" si="42"/>
        <v>0</v>
      </c>
      <c r="FC36">
        <f t="shared" si="43"/>
        <v>2049</v>
      </c>
      <c r="FD36" s="69"/>
      <c r="FE36" s="86"/>
    </row>
    <row r="37" spans="1:161" hidden="1">
      <c r="B37" s="210">
        <f t="shared" si="22"/>
        <v>2050</v>
      </c>
      <c r="C37" s="8">
        <f t="shared" si="7"/>
        <v>0</v>
      </c>
      <c r="D37" s="211"/>
      <c r="E37" s="8" t="e">
        <f t="shared" ca="1" si="37"/>
        <v>#DIV/0!</v>
      </c>
      <c r="F37" s="33"/>
      <c r="G37" s="8" t="e">
        <f t="shared" ca="1" si="38"/>
        <v>#DIV/0!</v>
      </c>
      <c r="H37" s="33"/>
      <c r="I37" s="8"/>
      <c r="J37" s="86"/>
      <c r="M37" s="86"/>
      <c r="O37">
        <f t="shared" si="39"/>
        <v>2050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X37">
        <f t="shared" si="40"/>
        <v>0</v>
      </c>
      <c r="AY37">
        <f t="shared" si="10"/>
        <v>0</v>
      </c>
      <c r="AZ37">
        <f t="shared" si="11"/>
        <v>0</v>
      </c>
      <c r="BA37">
        <f t="shared" si="12"/>
        <v>0</v>
      </c>
      <c r="BB37">
        <f t="shared" si="13"/>
        <v>0</v>
      </c>
      <c r="BC37">
        <f t="shared" si="14"/>
        <v>0</v>
      </c>
      <c r="BD37">
        <f t="shared" si="15"/>
        <v>0</v>
      </c>
      <c r="BE37">
        <f t="shared" si="16"/>
        <v>0</v>
      </c>
      <c r="BF37">
        <f t="shared" si="17"/>
        <v>0</v>
      </c>
      <c r="BG37">
        <f t="shared" si="18"/>
        <v>0</v>
      </c>
      <c r="CG37" s="145">
        <f t="shared" si="41"/>
        <v>2050</v>
      </c>
      <c r="CH37" s="70">
        <f>INDEX(Table3Compare!$B$6:$K$37,MATCH($CG37,Table3Compare!$A$6:$A$37,0),MATCH(CH$9,Table3Compare!$B$5:$K$5,0))</f>
        <v>183.18893035202484</v>
      </c>
      <c r="CI37" s="70">
        <f>INDEX(Table3Compare!$B$6:$K$37,MATCH($CG37,Table3Compare!$A$6:$A$37,0),MATCH(CI$9,Table3Compare!$B$5:$K$5,0))</f>
        <v>190.84589475763559</v>
      </c>
      <c r="CJ37" s="70">
        <f>INDEX(Table3Compare!$B$6:$K$37,MATCH($CG37,Table3Compare!$A$6:$A$37,0),MATCH(CJ$9,Table3Compare!$B$5:$K$5,0))</f>
        <v>189.43684100242913</v>
      </c>
      <c r="CK37" s="70">
        <f>INDEX(Table3Compare!$B$6:$K$37,MATCH($CG37,Table3Compare!$A$6:$A$37,0),MATCH(CK$9,Table3Compare!$B$5:$K$5,0))</f>
        <v>193.94525681416536</v>
      </c>
      <c r="CL37" s="70">
        <f>INDEX(Table3Compare!$B$6:$K$37,MATCH($CG37,Table3Compare!$A$6:$A$37,0),MATCH(CL$9,Table3Compare!$B$5:$K$5,0))</f>
        <v>190.84589475763559</v>
      </c>
      <c r="CM37" s="70">
        <f>INDEX(Table3Compare!$B$6:$K$37,MATCH($CG37,Table3Compare!$A$6:$A$37,0),MATCH(CM$9,Table3Compare!$B$5:$K$5,0))</f>
        <v>189.43684100242913</v>
      </c>
      <c r="CN37" s="70">
        <f>INDEX(Table3Compare!$B$6:$K$37,MATCH($CG37,Table3Compare!$A$6:$A$37,0),MATCH(CN$9,Table3Compare!$B$5:$K$5,0))</f>
        <v>151.81159261279529</v>
      </c>
      <c r="CO37" s="70">
        <f>INDEX(Table3Compare!$B$6:$K$37,MATCH($CG37,Table3Compare!$A$6:$A$37,0),MATCH(CO$9,Table3Compare!$B$5:$K$5,0))</f>
        <v>151.81159261279529</v>
      </c>
      <c r="CP37" s="70">
        <f>INDEX(Table3Compare!$B$6:$K$37,MATCH($CG37,Table3Compare!$A$6:$A$37,0),MATCH(CP$9,Table3Compare!$B$5:$K$5,0))</f>
        <v>151.81159261279529</v>
      </c>
      <c r="CQ37" s="70">
        <f>INDEX(Table3Compare!$B$6:$K$37,MATCH($CG37,Table3Compare!$A$6:$A$37,0),MATCH(CQ$9,Table3Compare!$B$5:$K$5,0))</f>
        <v>151.81159261279529</v>
      </c>
      <c r="CR37" s="70"/>
      <c r="CS37" s="70"/>
      <c r="CT37" s="70"/>
      <c r="CU37" s="70"/>
      <c r="CV37" s="70"/>
      <c r="CW37" s="70"/>
      <c r="CX37" s="70"/>
      <c r="CY37" s="70"/>
      <c r="CZ37" s="70"/>
      <c r="DA37" s="70"/>
      <c r="DB37" s="70"/>
      <c r="DC37" s="70"/>
      <c r="DD37" s="70"/>
      <c r="DE37" s="70"/>
      <c r="DF37" s="152"/>
      <c r="DG37" s="152"/>
      <c r="DH37" s="70"/>
      <c r="DI37" s="152"/>
      <c r="DJ37" s="152"/>
      <c r="DK37" s="152"/>
      <c r="DL37" s="152"/>
      <c r="DM37" s="152"/>
      <c r="DR37">
        <f>SUM(AX$13:AX37)*CH37/1000</f>
        <v>0</v>
      </c>
      <c r="DS37">
        <f>SUM(AY$13:AY37)*CI37/1000</f>
        <v>0</v>
      </c>
      <c r="DT37">
        <f>SUM(AZ$13:AZ37)*CJ37/1000</f>
        <v>0</v>
      </c>
      <c r="DU37">
        <f>SUM(BA$13:BA37)*CK37/1000</f>
        <v>0</v>
      </c>
      <c r="DV37">
        <f>SUM(BB$13:BB37)*CL37/1000</f>
        <v>0</v>
      </c>
      <c r="DW37">
        <f>SUM(BC$13:BC37)*CM37/1000</f>
        <v>0</v>
      </c>
      <c r="DX37">
        <f>SUM(BD$13:BD37)*CN37/1000</f>
        <v>0</v>
      </c>
      <c r="DY37">
        <f>SUM(BE$13:BE37)*CO37/1000</f>
        <v>0</v>
      </c>
      <c r="DZ37">
        <f>SUM(BF$13:BF37)*CP37/1000</f>
        <v>0</v>
      </c>
      <c r="EA37">
        <f>SUM(BG$13:BG37)*CQ37/1000</f>
        <v>0</v>
      </c>
      <c r="EB37">
        <f>SUM(BH$13:BH37)*CR37/1000</f>
        <v>0</v>
      </c>
      <c r="EC37">
        <f>SUM(BI$13:BI37)*CS37/1000</f>
        <v>0</v>
      </c>
      <c r="ED37">
        <f>SUM(BJ$13:BJ37)*CT37/1000</f>
        <v>0</v>
      </c>
      <c r="EE37">
        <f>SUM(BK$13:BK37)*CU37/1000</f>
        <v>0</v>
      </c>
      <c r="EF37">
        <f>SUM(BL$13:BL37)*CV37/1000</f>
        <v>0</v>
      </c>
      <c r="EG37">
        <f>SUM(BM$13:BM37)*CW37/1000</f>
        <v>0</v>
      </c>
      <c r="EH37">
        <f>SUM(BN$13:BN37)*CX37/1000</f>
        <v>0</v>
      </c>
      <c r="EI37">
        <f>SUM(BO$13:BO37)*CY37/1000</f>
        <v>0</v>
      </c>
      <c r="EJ37">
        <f>SUM(BP$13:BP37)*CZ37/1000</f>
        <v>0</v>
      </c>
      <c r="EK37">
        <f>SUM(BQ$13:BQ37)*DA37/1000</f>
        <v>0</v>
      </c>
      <c r="EL37">
        <f>SUM(BR$13:BR37)*DB37/1000</f>
        <v>0</v>
      </c>
      <c r="EM37">
        <f>SUM(BS$13:BS37)*DC37/1000</f>
        <v>0</v>
      </c>
      <c r="EN37">
        <f>SUM(BT$13:BT37)*DD37/1000</f>
        <v>0</v>
      </c>
      <c r="EO37">
        <f>SUM(BU$13:BU37)*DE37/1000</f>
        <v>0</v>
      </c>
      <c r="EP37">
        <f>SUM(BV$13:BV37)*DF37/1000</f>
        <v>0</v>
      </c>
      <c r="EQ37">
        <f>SUM(BW$13:BW37)*DG37/1000</f>
        <v>0</v>
      </c>
      <c r="ER37">
        <f>SUM(BX$13:BX37)*DH37/1000</f>
        <v>0</v>
      </c>
      <c r="ES37">
        <f>SUM(BY$13:BY37)*DI37/1000</f>
        <v>0</v>
      </c>
      <c r="ET37">
        <f>SUM(BZ$13:BZ37)*DJ37/1000</f>
        <v>0</v>
      </c>
      <c r="FA37">
        <f t="shared" si="42"/>
        <v>0</v>
      </c>
      <c r="FC37">
        <f t="shared" si="43"/>
        <v>2050</v>
      </c>
      <c r="FD37" s="69"/>
      <c r="FE37" s="86"/>
    </row>
    <row r="38" spans="1:161" hidden="1">
      <c r="B38" s="210">
        <f t="shared" si="22"/>
        <v>2051</v>
      </c>
      <c r="C38" s="8">
        <f t="shared" si="7"/>
        <v>0</v>
      </c>
      <c r="D38" s="211"/>
      <c r="E38" s="8" t="e">
        <f t="shared" ca="1" si="37"/>
        <v>#DIV/0!</v>
      </c>
      <c r="F38" s="33"/>
      <c r="G38" s="8" t="e">
        <f t="shared" ca="1" si="38"/>
        <v>#DIV/0!</v>
      </c>
      <c r="H38" s="33"/>
      <c r="I38" s="8"/>
      <c r="J38" s="86"/>
      <c r="M38" s="86"/>
      <c r="O38">
        <f t="shared" si="39"/>
        <v>2051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X38">
        <f t="shared" si="40"/>
        <v>0</v>
      </c>
      <c r="AY38">
        <f t="shared" si="10"/>
        <v>0</v>
      </c>
      <c r="AZ38">
        <f t="shared" si="11"/>
        <v>0</v>
      </c>
      <c r="BA38">
        <f t="shared" si="12"/>
        <v>0</v>
      </c>
      <c r="BB38">
        <f t="shared" si="13"/>
        <v>0</v>
      </c>
      <c r="BC38">
        <f t="shared" si="14"/>
        <v>0</v>
      </c>
      <c r="BD38">
        <f t="shared" si="15"/>
        <v>0</v>
      </c>
      <c r="BE38">
        <f t="shared" si="16"/>
        <v>0</v>
      </c>
      <c r="BF38">
        <f t="shared" si="17"/>
        <v>0</v>
      </c>
      <c r="BG38">
        <f t="shared" si="18"/>
        <v>0</v>
      </c>
      <c r="CG38" s="145">
        <f t="shared" si="41"/>
        <v>2051</v>
      </c>
      <c r="CH38" s="70">
        <f>INDEX(Table3Compare!$B$6:$K$37,MATCH($CG38,Table3Compare!$A$6:$A$37,0),MATCH(CH$9,Table3Compare!$B$5:$K$5,0))</f>
        <v>187.18244901604126</v>
      </c>
      <c r="CI38" s="70">
        <f>INDEX(Table3Compare!$B$6:$K$37,MATCH($CG38,Table3Compare!$A$6:$A$37,0),MATCH(CI$9,Table3Compare!$B$5:$K$5,0))</f>
        <v>195.00633519079582</v>
      </c>
      <c r="CJ38" s="70">
        <f>INDEX(Table3Compare!$B$6:$K$37,MATCH($CG38,Table3Compare!$A$6:$A$37,0),MATCH(CJ$9,Table3Compare!$B$5:$K$5,0))</f>
        <v>193.56656406426157</v>
      </c>
      <c r="CK38" s="70">
        <f>INDEX(Table3Compare!$B$6:$K$37,MATCH($CG38,Table3Compare!$A$6:$A$37,0),MATCH(CK$9,Table3Compare!$B$5:$K$5,0))</f>
        <v>198.17326333897967</v>
      </c>
      <c r="CL38" s="70">
        <f>INDEX(Table3Compare!$B$6:$K$37,MATCH($CG38,Table3Compare!$A$6:$A$37,0),MATCH(CL$9,Table3Compare!$B$5:$K$5,0))</f>
        <v>195.00633519079582</v>
      </c>
      <c r="CM38" s="70">
        <f>INDEX(Table3Compare!$B$6:$K$37,MATCH($CG38,Table3Compare!$A$6:$A$37,0),MATCH(CM$9,Table3Compare!$B$5:$K$5,0))</f>
        <v>193.56656406426157</v>
      </c>
      <c r="CN38" s="70">
        <f>INDEX(Table3Compare!$B$6:$K$37,MATCH($CG38,Table3Compare!$A$6:$A$37,0),MATCH(CN$9,Table3Compare!$B$5:$K$5,0))</f>
        <v>155.12108527403822</v>
      </c>
      <c r="CO38" s="70">
        <f>INDEX(Table3Compare!$B$6:$K$37,MATCH($CG38,Table3Compare!$A$6:$A$37,0),MATCH(CO$9,Table3Compare!$B$5:$K$5,0))</f>
        <v>155.12108527403822</v>
      </c>
      <c r="CP38" s="70">
        <f>INDEX(Table3Compare!$B$6:$K$37,MATCH($CG38,Table3Compare!$A$6:$A$37,0),MATCH(CP$9,Table3Compare!$B$5:$K$5,0))</f>
        <v>0</v>
      </c>
      <c r="CQ38" s="70">
        <f>INDEX(Table3Compare!$B$6:$K$37,MATCH($CG38,Table3Compare!$A$6:$A$37,0),MATCH(CQ$9,Table3Compare!$B$5:$K$5,0))</f>
        <v>155.12108527403822</v>
      </c>
      <c r="CR38" s="70"/>
      <c r="CS38" s="70"/>
      <c r="CT38" s="70"/>
      <c r="CU38" s="70"/>
      <c r="CV38" s="70"/>
      <c r="CW38" s="70"/>
      <c r="CX38" s="70"/>
      <c r="CY38" s="70"/>
      <c r="CZ38" s="70"/>
      <c r="DA38" s="70"/>
      <c r="DB38" s="70"/>
      <c r="DC38" s="70"/>
      <c r="DD38" s="70"/>
      <c r="DE38" s="70"/>
      <c r="DF38" s="152"/>
      <c r="DG38" s="152"/>
      <c r="DH38" s="70"/>
      <c r="DI38" s="152"/>
      <c r="DJ38" s="152"/>
      <c r="DK38" s="152"/>
      <c r="DL38" s="152"/>
      <c r="DM38" s="152"/>
      <c r="DR38">
        <f>SUM(AX$13:AX38)*CH38/1000</f>
        <v>0</v>
      </c>
      <c r="DS38">
        <f>SUM(AY$13:AY38)*CI38/1000</f>
        <v>0</v>
      </c>
      <c r="DT38">
        <f>SUM(AZ$13:AZ38)*CJ38/1000</f>
        <v>0</v>
      </c>
      <c r="DU38">
        <f>SUM(BA$13:BA38)*CK38/1000</f>
        <v>0</v>
      </c>
      <c r="DV38">
        <f>SUM(BB$13:BB38)*CL38/1000</f>
        <v>0</v>
      </c>
      <c r="DW38">
        <f>SUM(BC$13:BC38)*CM38/1000</f>
        <v>0</v>
      </c>
      <c r="DX38">
        <f>SUM(BD$13:BD38)*CN38/1000</f>
        <v>0</v>
      </c>
      <c r="DY38">
        <f>SUM(BE$13:BE38)*CO38/1000</f>
        <v>0</v>
      </c>
      <c r="DZ38">
        <f>SUM(BF$13:BF38)*CP38/1000</f>
        <v>0</v>
      </c>
      <c r="EA38">
        <f>SUM(BG$13:BG38)*CQ38/1000</f>
        <v>0</v>
      </c>
      <c r="EB38">
        <f>SUM(BH$13:BH38)*CR38/1000</f>
        <v>0</v>
      </c>
      <c r="EC38">
        <f>SUM(BI$13:BI38)*CS38/1000</f>
        <v>0</v>
      </c>
      <c r="ED38">
        <f>SUM(BJ$13:BJ38)*CT38/1000</f>
        <v>0</v>
      </c>
      <c r="EE38">
        <f>SUM(BK$13:BK38)*CU38/1000</f>
        <v>0</v>
      </c>
      <c r="EF38">
        <f>SUM(BL$13:BL38)*CV38/1000</f>
        <v>0</v>
      </c>
      <c r="EG38">
        <f>SUM(BM$13:BM38)*CW38/1000</f>
        <v>0</v>
      </c>
      <c r="EH38">
        <f>SUM(BN$13:BN38)*CX38/1000</f>
        <v>0</v>
      </c>
      <c r="EI38">
        <f>SUM(BO$13:BO38)*CY38/1000</f>
        <v>0</v>
      </c>
      <c r="EJ38">
        <f>SUM(BP$13:BP38)*CZ38/1000</f>
        <v>0</v>
      </c>
      <c r="EK38">
        <f>SUM(BQ$13:BQ38)*DA38/1000</f>
        <v>0</v>
      </c>
      <c r="EL38">
        <f>SUM(BR$13:BR38)*DB38/1000</f>
        <v>0</v>
      </c>
      <c r="EM38">
        <f>SUM(BS$13:BS38)*DC38/1000</f>
        <v>0</v>
      </c>
      <c r="EN38">
        <f>SUM(BT$13:BT38)*DD38/1000</f>
        <v>0</v>
      </c>
      <c r="EO38">
        <f>SUM(BU$13:BU38)*DE38/1000</f>
        <v>0</v>
      </c>
      <c r="EP38">
        <f>SUM(BV$13:BV38)*DF38/1000</f>
        <v>0</v>
      </c>
      <c r="EQ38">
        <f>SUM(BW$13:BW38)*DG38/1000</f>
        <v>0</v>
      </c>
      <c r="ER38">
        <f>SUM(BX$13:BX38)*DH38/1000</f>
        <v>0</v>
      </c>
      <c r="ES38">
        <f>SUM(BY$13:BY38)*DI38/1000</f>
        <v>0</v>
      </c>
      <c r="ET38">
        <f>SUM(BZ$13:BZ38)*DJ38/1000</f>
        <v>0</v>
      </c>
      <c r="FA38">
        <f t="shared" si="42"/>
        <v>0</v>
      </c>
      <c r="FC38">
        <f t="shared" si="43"/>
        <v>2051</v>
      </c>
      <c r="FD38" s="69"/>
      <c r="FE38" s="86"/>
    </row>
    <row r="39" spans="1:161" hidden="1">
      <c r="B39" s="210">
        <f t="shared" si="22"/>
        <v>2052</v>
      </c>
      <c r="C39" s="8">
        <f t="shared" si="7"/>
        <v>0</v>
      </c>
      <c r="D39" s="211"/>
      <c r="E39" s="8" t="e">
        <f t="shared" ca="1" si="37"/>
        <v>#DIV/0!</v>
      </c>
      <c r="F39" s="33"/>
      <c r="G39" s="8" t="e">
        <f t="shared" ca="1" si="38"/>
        <v>#DIV/0!</v>
      </c>
      <c r="H39" s="33"/>
      <c r="I39" s="8"/>
      <c r="J39" s="86"/>
      <c r="M39" s="86"/>
      <c r="O39">
        <f t="shared" si="39"/>
        <v>2052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X39">
        <f t="shared" si="40"/>
        <v>0</v>
      </c>
      <c r="AY39">
        <f t="shared" si="10"/>
        <v>0</v>
      </c>
      <c r="AZ39">
        <f t="shared" si="11"/>
        <v>0</v>
      </c>
      <c r="BA39">
        <f t="shared" si="12"/>
        <v>0</v>
      </c>
      <c r="BB39">
        <f t="shared" si="13"/>
        <v>0</v>
      </c>
      <c r="BC39">
        <f t="shared" si="14"/>
        <v>0</v>
      </c>
      <c r="BD39">
        <f t="shared" si="15"/>
        <v>0</v>
      </c>
      <c r="BE39">
        <f t="shared" si="16"/>
        <v>0</v>
      </c>
      <c r="BF39">
        <f t="shared" si="17"/>
        <v>0</v>
      </c>
      <c r="BG39">
        <f t="shared" si="18"/>
        <v>0</v>
      </c>
      <c r="CG39" s="145">
        <f t="shared" si="41"/>
        <v>2052</v>
      </c>
      <c r="CH39" s="70">
        <f>INDEX(Table3Compare!$B$6:$K$37,MATCH($CG39,Table3Compare!$A$6:$A$37,0),MATCH(CH$9,Table3Compare!$B$5:$K$5,0))</f>
        <v>191.26302629311488</v>
      </c>
      <c r="CI39" s="70">
        <f>INDEX(Table3Compare!$B$6:$K$37,MATCH($CG39,Table3Compare!$A$6:$A$37,0),MATCH(CI$9,Table3Compare!$B$5:$K$5,0))</f>
        <v>199.25747322381727</v>
      </c>
      <c r="CJ39" s="70">
        <f>INDEX(Table3Compare!$B$6:$K$37,MATCH($CG39,Table3Compare!$A$6:$A$37,0),MATCH(CJ$9,Table3Compare!$B$5:$K$5,0))</f>
        <v>197.78631508727193</v>
      </c>
      <c r="CK39" s="70">
        <f>INDEX(Table3Compare!$B$6:$K$37,MATCH($CG39,Table3Compare!$A$6:$A$37,0),MATCH(CK$9,Table3Compare!$B$5:$K$5,0))</f>
        <v>202.49344040442753</v>
      </c>
      <c r="CL39" s="70">
        <f>INDEX(Table3Compare!$B$6:$K$37,MATCH($CG39,Table3Compare!$A$6:$A$37,0),MATCH(CL$9,Table3Compare!$B$5:$K$5,0))</f>
        <v>199.25747322381727</v>
      </c>
      <c r="CM39" s="70">
        <f>INDEX(Table3Compare!$B$6:$K$37,MATCH($CG39,Table3Compare!$A$6:$A$37,0),MATCH(CM$9,Table3Compare!$B$5:$K$5,0))</f>
        <v>197.78631508727193</v>
      </c>
      <c r="CN39" s="70">
        <f>INDEX(Table3Compare!$B$6:$K$37,MATCH($CG39,Table3Compare!$A$6:$A$37,0),MATCH(CN$9,Table3Compare!$B$5:$K$5,0))</f>
        <v>158.50272487403802</v>
      </c>
      <c r="CO39" s="70">
        <f>INDEX(Table3Compare!$B$6:$K$37,MATCH($CG39,Table3Compare!$A$6:$A$37,0),MATCH(CO$9,Table3Compare!$B$5:$K$5,0))</f>
        <v>158.50272487403802</v>
      </c>
      <c r="CP39" s="70">
        <f>INDEX(Table3Compare!$B$6:$K$37,MATCH($CG39,Table3Compare!$A$6:$A$37,0),MATCH(CP$9,Table3Compare!$B$5:$K$5,0))</f>
        <v>0</v>
      </c>
      <c r="CQ39" s="70">
        <f>INDEX(Table3Compare!$B$6:$K$37,MATCH($CG39,Table3Compare!$A$6:$A$37,0),MATCH(CQ$9,Table3Compare!$B$5:$K$5,0))</f>
        <v>158.50272487403802</v>
      </c>
      <c r="CR39" s="70"/>
      <c r="CS39" s="70"/>
      <c r="CT39" s="70"/>
      <c r="CU39" s="70"/>
      <c r="CV39" s="70"/>
      <c r="CW39" s="70"/>
      <c r="CX39" s="70"/>
      <c r="CY39" s="70"/>
      <c r="CZ39" s="70"/>
      <c r="DA39" s="70"/>
      <c r="DB39" s="70"/>
      <c r="DC39" s="70"/>
      <c r="DD39" s="70"/>
      <c r="DE39" s="70"/>
      <c r="DF39" s="152"/>
      <c r="DG39" s="152"/>
      <c r="DH39" s="70"/>
      <c r="DI39" s="152"/>
      <c r="DJ39" s="152"/>
      <c r="DK39" s="152"/>
      <c r="DL39" s="152"/>
      <c r="DM39" s="152"/>
      <c r="DR39">
        <f>SUM(AX$13:AX39)*CH39/1000</f>
        <v>0</v>
      </c>
      <c r="DS39">
        <f>SUM(AY$13:AY39)*CI39/1000</f>
        <v>0</v>
      </c>
      <c r="DT39">
        <f>SUM(AZ$13:AZ39)*CJ39/1000</f>
        <v>0</v>
      </c>
      <c r="DU39">
        <f>SUM(BA$13:BA39)*CK39/1000</f>
        <v>0</v>
      </c>
      <c r="DV39">
        <f>SUM(BB$13:BB39)*CL39/1000</f>
        <v>0</v>
      </c>
      <c r="DW39">
        <f>SUM(BC$13:BC39)*CM39/1000</f>
        <v>0</v>
      </c>
      <c r="DX39">
        <f>SUM(BD$13:BD39)*CN39/1000</f>
        <v>0</v>
      </c>
      <c r="DY39">
        <f>SUM(BE$13:BE39)*CO39/1000</f>
        <v>0</v>
      </c>
      <c r="DZ39">
        <f>SUM(BF$13:BF39)*CP39/1000</f>
        <v>0</v>
      </c>
      <c r="EA39">
        <f>SUM(BG$13:BG39)*CQ39/1000</f>
        <v>0</v>
      </c>
      <c r="EB39">
        <f>SUM(BH$13:BH39)*CR39/1000</f>
        <v>0</v>
      </c>
      <c r="EC39">
        <f>SUM(BI$13:BI39)*CS39/1000</f>
        <v>0</v>
      </c>
      <c r="ED39">
        <f>SUM(BJ$13:BJ39)*CT39/1000</f>
        <v>0</v>
      </c>
      <c r="EE39">
        <f>SUM(BK$13:BK39)*CU39/1000</f>
        <v>0</v>
      </c>
      <c r="EF39">
        <f>SUM(BL$13:BL39)*CV39/1000</f>
        <v>0</v>
      </c>
      <c r="EG39">
        <f>SUM(BM$13:BM39)*CW39/1000</f>
        <v>0</v>
      </c>
      <c r="EH39">
        <f>SUM(BN$13:BN39)*CX39/1000</f>
        <v>0</v>
      </c>
      <c r="EI39">
        <f>SUM(BO$13:BO39)*CY39/1000</f>
        <v>0</v>
      </c>
      <c r="EJ39">
        <f>SUM(BP$13:BP39)*CZ39/1000</f>
        <v>0</v>
      </c>
      <c r="EK39">
        <f>SUM(BQ$13:BQ39)*DA39/1000</f>
        <v>0</v>
      </c>
      <c r="EL39">
        <f>SUM(BR$13:BR39)*DB39/1000</f>
        <v>0</v>
      </c>
      <c r="EM39">
        <f>SUM(BS$13:BS39)*DC39/1000</f>
        <v>0</v>
      </c>
      <c r="EN39">
        <f>SUM(BT$13:BT39)*DD39/1000</f>
        <v>0</v>
      </c>
      <c r="EO39">
        <f>SUM(BU$13:BU39)*DE39/1000</f>
        <v>0</v>
      </c>
      <c r="EP39">
        <f>SUM(BV$13:BV39)*DF39/1000</f>
        <v>0</v>
      </c>
      <c r="EQ39">
        <f>SUM(BW$13:BW39)*DG39/1000</f>
        <v>0</v>
      </c>
      <c r="ER39">
        <f>SUM(BX$13:BX39)*DH39/1000</f>
        <v>0</v>
      </c>
      <c r="ES39">
        <f>SUM(BY$13:BY39)*DI39/1000</f>
        <v>0</v>
      </c>
      <c r="ET39">
        <f>SUM(BZ$13:BZ39)*DJ39/1000</f>
        <v>0</v>
      </c>
      <c r="FA39">
        <f t="shared" si="42"/>
        <v>0</v>
      </c>
      <c r="FC39">
        <f t="shared" si="43"/>
        <v>2052</v>
      </c>
      <c r="FD39" s="69"/>
      <c r="FE39" s="86"/>
    </row>
    <row r="40" spans="1:161" hidden="1">
      <c r="B40" s="210">
        <f t="shared" si="22"/>
        <v>2053</v>
      </c>
      <c r="C40" s="8">
        <f t="shared" si="7"/>
        <v>0</v>
      </c>
      <c r="D40" s="211"/>
      <c r="E40" s="8" t="e">
        <f t="shared" ca="1" si="37"/>
        <v>#DIV/0!</v>
      </c>
      <c r="F40" s="33"/>
      <c r="G40" s="8" t="e">
        <f t="shared" ca="1" si="38"/>
        <v>#DIV/0!</v>
      </c>
      <c r="H40" s="33"/>
      <c r="I40" s="8"/>
      <c r="J40" s="86"/>
      <c r="M40" s="86"/>
      <c r="O40">
        <f t="shared" si="39"/>
        <v>2053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X40">
        <f t="shared" si="40"/>
        <v>0</v>
      </c>
      <c r="AY40">
        <f t="shared" si="10"/>
        <v>0</v>
      </c>
      <c r="AZ40">
        <f t="shared" si="11"/>
        <v>0</v>
      </c>
      <c r="BA40">
        <f t="shared" si="12"/>
        <v>0</v>
      </c>
      <c r="BB40">
        <f t="shared" si="13"/>
        <v>0</v>
      </c>
      <c r="BC40">
        <f t="shared" si="14"/>
        <v>0</v>
      </c>
      <c r="BD40">
        <f t="shared" si="15"/>
        <v>0</v>
      </c>
      <c r="BE40">
        <f t="shared" si="16"/>
        <v>0</v>
      </c>
      <c r="BF40">
        <f t="shared" si="17"/>
        <v>0</v>
      </c>
      <c r="BG40">
        <f t="shared" si="18"/>
        <v>0</v>
      </c>
      <c r="CG40" s="145">
        <f t="shared" si="41"/>
        <v>2053</v>
      </c>
      <c r="CH40" s="70">
        <f>INDEX(Table3Compare!$B$6:$K$37,MATCH($CG40,Table3Compare!$A$6:$A$37,0),MATCH(CH$9,Table3Compare!$B$5:$K$5,0))</f>
        <v>195.43256023718754</v>
      </c>
      <c r="CI40" s="70">
        <f>INDEX(Table3Compare!$B$6:$K$37,MATCH($CG40,Table3Compare!$A$6:$A$37,0),MATCH(CI$9,Table3Compare!$B$5:$K$5,0))</f>
        <v>203.60128606434233</v>
      </c>
      <c r="CJ40" s="70">
        <f>INDEX(Table3Compare!$B$6:$K$37,MATCH($CG40,Table3Compare!$A$6:$A$37,0),MATCH(CJ$9,Table3Compare!$B$5:$K$5,0))</f>
        <v>202.09805668097965</v>
      </c>
      <c r="CK40" s="70">
        <f>INDEX(Table3Compare!$B$6:$K$37,MATCH($CG40,Table3Compare!$A$6:$A$37,0),MATCH(CK$9,Table3Compare!$B$5:$K$5,0))</f>
        <v>206.90779732825973</v>
      </c>
      <c r="CL40" s="70">
        <f>INDEX(Table3Compare!$B$6:$K$37,MATCH($CG40,Table3Compare!$A$6:$A$37,0),MATCH(CL$9,Table3Compare!$B$5:$K$5,0))</f>
        <v>203.60128606434233</v>
      </c>
      <c r="CM40" s="70">
        <f>INDEX(Table3Compare!$B$6:$K$37,MATCH($CG40,Table3Compare!$A$6:$A$37,0),MATCH(CM$9,Table3Compare!$B$5:$K$5,0))</f>
        <v>202.09805668097965</v>
      </c>
      <c r="CN40" s="70">
        <f>INDEX(Table3Compare!$B$6:$K$37,MATCH($CG40,Table3Compare!$A$6:$A$37,0),MATCH(CN$9,Table3Compare!$B$5:$K$5,0))</f>
        <v>161.9580842160322</v>
      </c>
      <c r="CO40" s="70">
        <f>INDEX(Table3Compare!$B$6:$K$37,MATCH($CG40,Table3Compare!$A$6:$A$37,0),MATCH(CO$9,Table3Compare!$B$5:$K$5,0))</f>
        <v>161.9580842160322</v>
      </c>
      <c r="CP40" s="70">
        <f>INDEX(Table3Compare!$B$6:$K$37,MATCH($CG40,Table3Compare!$A$6:$A$37,0),MATCH(CP$9,Table3Compare!$B$5:$K$5,0))</f>
        <v>0</v>
      </c>
      <c r="CQ40" s="70">
        <f>INDEX(Table3Compare!$B$6:$K$37,MATCH($CG40,Table3Compare!$A$6:$A$37,0),MATCH(CQ$9,Table3Compare!$B$5:$K$5,0))</f>
        <v>161.9580842160322</v>
      </c>
      <c r="CR40" s="70"/>
      <c r="CS40" s="70"/>
      <c r="CT40" s="70"/>
      <c r="CU40" s="70"/>
      <c r="CV40" s="70"/>
      <c r="CW40" s="70"/>
      <c r="CX40" s="70"/>
      <c r="CY40" s="70"/>
      <c r="CZ40" s="70"/>
      <c r="DA40" s="70"/>
      <c r="DB40" s="70"/>
      <c r="DC40" s="70"/>
      <c r="DD40" s="70"/>
      <c r="DE40" s="70"/>
      <c r="DF40" s="152"/>
      <c r="DG40" s="152"/>
      <c r="DH40" s="70"/>
      <c r="DI40" s="152"/>
      <c r="DJ40" s="152"/>
      <c r="DK40" s="152"/>
      <c r="DL40" s="152"/>
      <c r="DM40" s="152"/>
      <c r="DR40">
        <f>SUM(AX$13:AX40)*CH40/1000</f>
        <v>0</v>
      </c>
      <c r="DS40">
        <f>SUM(AY$13:AY40)*CI40/1000</f>
        <v>0</v>
      </c>
      <c r="DT40">
        <f>SUM(AZ$13:AZ40)*CJ40/1000</f>
        <v>0</v>
      </c>
      <c r="DU40">
        <f>SUM(BA$13:BA40)*CK40/1000</f>
        <v>0</v>
      </c>
      <c r="DV40">
        <f>SUM(BB$13:BB40)*CL40/1000</f>
        <v>0</v>
      </c>
      <c r="DW40">
        <f>SUM(BC$13:BC40)*CM40/1000</f>
        <v>0</v>
      </c>
      <c r="DX40">
        <f>SUM(BD$13:BD40)*CN40/1000</f>
        <v>0</v>
      </c>
      <c r="DY40">
        <f>SUM(BE$13:BE40)*CO40/1000</f>
        <v>0</v>
      </c>
      <c r="DZ40">
        <f>SUM(BF$13:BF40)*CP40/1000</f>
        <v>0</v>
      </c>
      <c r="EA40">
        <f>SUM(BG$13:BG40)*CQ40/1000</f>
        <v>0</v>
      </c>
      <c r="EB40">
        <f>SUM(BH$13:BH40)*CR40/1000</f>
        <v>0</v>
      </c>
      <c r="EC40">
        <f>SUM(BI$13:BI40)*CS40/1000</f>
        <v>0</v>
      </c>
      <c r="ED40">
        <f>SUM(BJ$13:BJ40)*CT40/1000</f>
        <v>0</v>
      </c>
      <c r="EE40">
        <f>SUM(BK$13:BK40)*CU40/1000</f>
        <v>0</v>
      </c>
      <c r="EF40">
        <f>SUM(BL$13:BL40)*CV40/1000</f>
        <v>0</v>
      </c>
      <c r="EG40">
        <f>SUM(BM$13:BM40)*CW40/1000</f>
        <v>0</v>
      </c>
      <c r="EH40">
        <f>SUM(BN$13:BN40)*CX40/1000</f>
        <v>0</v>
      </c>
      <c r="EI40">
        <f>SUM(BO$13:BO40)*CY40/1000</f>
        <v>0</v>
      </c>
      <c r="EJ40">
        <f>SUM(BP$13:BP40)*CZ40/1000</f>
        <v>0</v>
      </c>
      <c r="EK40">
        <f>SUM(BQ$13:BQ40)*DA40/1000</f>
        <v>0</v>
      </c>
      <c r="EL40">
        <f>SUM(BR$13:BR40)*DB40/1000</f>
        <v>0</v>
      </c>
      <c r="EM40">
        <f>SUM(BS$13:BS40)*DC40/1000</f>
        <v>0</v>
      </c>
      <c r="EN40">
        <f>SUM(BT$13:BT40)*DD40/1000</f>
        <v>0</v>
      </c>
      <c r="EO40">
        <f>SUM(BU$13:BU40)*DE40/1000</f>
        <v>0</v>
      </c>
      <c r="EP40">
        <f>SUM(BV$13:BV40)*DF40/1000</f>
        <v>0</v>
      </c>
      <c r="EQ40">
        <f>SUM(BW$13:BW40)*DG40/1000</f>
        <v>0</v>
      </c>
      <c r="ER40">
        <f>SUM(BX$13:BX40)*DH40/1000</f>
        <v>0</v>
      </c>
      <c r="ES40">
        <f>SUM(BY$13:BY40)*DI40/1000</f>
        <v>0</v>
      </c>
      <c r="ET40">
        <f>SUM(BZ$13:BZ40)*DJ40/1000</f>
        <v>0</v>
      </c>
      <c r="FA40">
        <f t="shared" si="42"/>
        <v>0</v>
      </c>
      <c r="FC40">
        <f t="shared" si="43"/>
        <v>2053</v>
      </c>
      <c r="FD40" s="69"/>
      <c r="FE40" s="86"/>
    </row>
    <row r="41" spans="1:161" hidden="1">
      <c r="B41" s="210">
        <f t="shared" si="22"/>
        <v>2054</v>
      </c>
      <c r="C41" s="8">
        <f t="shared" si="7"/>
        <v>0</v>
      </c>
      <c r="D41" s="211"/>
      <c r="E41" s="8" t="e">
        <f t="shared" ca="1" si="37"/>
        <v>#DIV/0!</v>
      </c>
      <c r="F41" s="33"/>
      <c r="G41" s="8" t="e">
        <f t="shared" ca="1" si="38"/>
        <v>#DIV/0!</v>
      </c>
      <c r="H41" s="33"/>
      <c r="I41" s="8"/>
      <c r="J41" s="86"/>
      <c r="M41" s="86"/>
      <c r="O41">
        <f t="shared" si="39"/>
        <v>2054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X41">
        <f t="shared" si="40"/>
        <v>0</v>
      </c>
      <c r="AY41">
        <f t="shared" si="10"/>
        <v>0</v>
      </c>
      <c r="AZ41">
        <f t="shared" si="11"/>
        <v>0</v>
      </c>
      <c r="BA41">
        <f t="shared" si="12"/>
        <v>0</v>
      </c>
      <c r="BB41">
        <f t="shared" si="13"/>
        <v>0</v>
      </c>
      <c r="BC41">
        <f t="shared" si="14"/>
        <v>0</v>
      </c>
      <c r="BD41">
        <f t="shared" si="15"/>
        <v>0</v>
      </c>
      <c r="BE41">
        <f t="shared" si="16"/>
        <v>0</v>
      </c>
      <c r="BF41">
        <f t="shared" si="17"/>
        <v>0</v>
      </c>
      <c r="BG41">
        <f t="shared" si="18"/>
        <v>0</v>
      </c>
      <c r="CG41" s="145">
        <f t="shared" si="41"/>
        <v>2054</v>
      </c>
      <c r="CH41" s="70">
        <f>INDEX(Table3Compare!$B$6:$K$37,MATCH($CG41,Table3Compare!$A$6:$A$37,0),MATCH(CH$9,Table3Compare!$B$5:$K$5,0))</f>
        <v>199.69299002207569</v>
      </c>
      <c r="CI41" s="70">
        <f>INDEX(Table3Compare!$B$6:$K$37,MATCH($CG41,Table3Compare!$A$6:$A$37,0),MATCH(CI$9,Table3Compare!$B$5:$K$5,0))</f>
        <v>208.03979402313945</v>
      </c>
      <c r="CJ41" s="70">
        <f>INDEX(Table3Compare!$B$6:$K$37,MATCH($CG41,Table3Compare!$A$6:$A$37,0),MATCH(CJ$9,Table3Compare!$B$5:$K$5,0))</f>
        <v>206.50379423979092</v>
      </c>
      <c r="CK41" s="70">
        <f>INDEX(Table3Compare!$B$6:$K$37,MATCH($CG41,Table3Compare!$A$6:$A$37,0),MATCH(CK$9,Table3Compare!$B$5:$K$5,0))</f>
        <v>211.41838723135322</v>
      </c>
      <c r="CL41" s="70">
        <f>INDEX(Table3Compare!$B$6:$K$37,MATCH($CG41,Table3Compare!$A$6:$A$37,0),MATCH(CL$9,Table3Compare!$B$5:$K$5,0))</f>
        <v>208.03979402313945</v>
      </c>
      <c r="CM41" s="70">
        <f>INDEX(Table3Compare!$B$6:$K$37,MATCH($CG41,Table3Compare!$A$6:$A$37,0),MATCH(CM$9,Table3Compare!$B$5:$K$5,0))</f>
        <v>206.50379423979092</v>
      </c>
      <c r="CN41" s="70">
        <f>INDEX(Table3Compare!$B$6:$K$37,MATCH($CG41,Table3Compare!$A$6:$A$37,0),MATCH(CN$9,Table3Compare!$B$5:$K$5,0))</f>
        <v>165.48877039036819</v>
      </c>
      <c r="CO41" s="70">
        <f>INDEX(Table3Compare!$B$6:$K$37,MATCH($CG41,Table3Compare!$A$6:$A$37,0),MATCH(CO$9,Table3Compare!$B$5:$K$5,0))</f>
        <v>165.48877039036819</v>
      </c>
      <c r="CP41" s="70">
        <f>INDEX(Table3Compare!$B$6:$K$37,MATCH($CG41,Table3Compare!$A$6:$A$37,0),MATCH(CP$9,Table3Compare!$B$5:$K$5,0))</f>
        <v>0</v>
      </c>
      <c r="CQ41" s="70">
        <f>INDEX(Table3Compare!$B$6:$K$37,MATCH($CG41,Table3Compare!$A$6:$A$37,0),MATCH(CQ$9,Table3Compare!$B$5:$K$5,0))</f>
        <v>165.48877039036819</v>
      </c>
      <c r="CR41" s="70"/>
      <c r="CS41" s="70"/>
      <c r="CT41" s="70"/>
      <c r="CU41" s="70"/>
      <c r="CV41" s="70"/>
      <c r="CW41" s="70"/>
      <c r="CX41" s="70"/>
      <c r="CY41" s="70"/>
      <c r="CZ41" s="70"/>
      <c r="DA41" s="70"/>
      <c r="DB41" s="70"/>
      <c r="DC41" s="70"/>
      <c r="DD41" s="70"/>
      <c r="DE41" s="70"/>
      <c r="DF41" s="152"/>
      <c r="DG41" s="152"/>
      <c r="DH41" s="70"/>
      <c r="DI41" s="152"/>
      <c r="DJ41" s="152"/>
      <c r="DK41" s="152"/>
      <c r="DL41" s="152"/>
      <c r="DM41" s="152"/>
      <c r="DR41">
        <f>SUM(AX$13:AX41)*CH41/1000</f>
        <v>0</v>
      </c>
      <c r="DS41">
        <f>SUM(AY$13:AY41)*CI41/1000</f>
        <v>0</v>
      </c>
      <c r="DT41">
        <f>SUM(AZ$13:AZ41)*CJ41/1000</f>
        <v>0</v>
      </c>
      <c r="DU41">
        <f>SUM(BA$13:BA41)*CK41/1000</f>
        <v>0</v>
      </c>
      <c r="DV41">
        <f>SUM(BB$13:BB41)*CL41/1000</f>
        <v>0</v>
      </c>
      <c r="DW41">
        <f>SUM(BC$13:BC41)*CM41/1000</f>
        <v>0</v>
      </c>
      <c r="DX41">
        <f>SUM(BD$13:BD41)*CN41/1000</f>
        <v>0</v>
      </c>
      <c r="DY41">
        <f>SUM(BE$13:BE41)*CO41/1000</f>
        <v>0</v>
      </c>
      <c r="DZ41">
        <f>SUM(BF$13:BF41)*CP41/1000</f>
        <v>0</v>
      </c>
      <c r="EA41">
        <f>SUM(BG$13:BG41)*CQ41/1000</f>
        <v>0</v>
      </c>
      <c r="EB41">
        <f>SUM(BH$13:BH41)*CR41/1000</f>
        <v>0</v>
      </c>
      <c r="EC41">
        <f>SUM(BI$13:BI41)*CS41/1000</f>
        <v>0</v>
      </c>
      <c r="ED41">
        <f>SUM(BJ$13:BJ41)*CT41/1000</f>
        <v>0</v>
      </c>
      <c r="EE41">
        <f>SUM(BK$13:BK41)*CU41/1000</f>
        <v>0</v>
      </c>
      <c r="EF41">
        <f>SUM(BL$13:BL41)*CV41/1000</f>
        <v>0</v>
      </c>
      <c r="EG41">
        <f>SUM(BM$13:BM41)*CW41/1000</f>
        <v>0</v>
      </c>
      <c r="EH41">
        <f>SUM(BN$13:BN41)*CX41/1000</f>
        <v>0</v>
      </c>
      <c r="EI41">
        <f>SUM(BO$13:BO41)*CY41/1000</f>
        <v>0</v>
      </c>
      <c r="EJ41">
        <f>SUM(BP$13:BP41)*CZ41/1000</f>
        <v>0</v>
      </c>
      <c r="EK41">
        <f>SUM(BQ$13:BQ41)*DA41/1000</f>
        <v>0</v>
      </c>
      <c r="EL41">
        <f>SUM(BR$13:BR41)*DB41/1000</f>
        <v>0</v>
      </c>
      <c r="EM41">
        <f>SUM(BS$13:BS41)*DC41/1000</f>
        <v>0</v>
      </c>
      <c r="EN41">
        <f>SUM(BT$13:BT41)*DD41/1000</f>
        <v>0</v>
      </c>
      <c r="EO41">
        <f>SUM(BU$13:BU41)*DE41/1000</f>
        <v>0</v>
      </c>
      <c r="EP41">
        <f>SUM(BV$13:BV41)*DF41/1000</f>
        <v>0</v>
      </c>
      <c r="EQ41">
        <f>SUM(BW$13:BW41)*DG41/1000</f>
        <v>0</v>
      </c>
      <c r="ER41">
        <f>SUM(BX$13:BX41)*DH41/1000</f>
        <v>0</v>
      </c>
      <c r="ES41">
        <f>SUM(BY$13:BY41)*DI41/1000</f>
        <v>0</v>
      </c>
      <c r="ET41">
        <f>SUM(BZ$13:BZ41)*DJ41/1000</f>
        <v>0</v>
      </c>
      <c r="FA41">
        <f t="shared" si="42"/>
        <v>0</v>
      </c>
      <c r="FC41">
        <f t="shared" si="43"/>
        <v>2054</v>
      </c>
      <c r="FD41" s="69"/>
      <c r="FE41" s="86"/>
    </row>
    <row r="42" spans="1:161">
      <c r="B42" s="210"/>
      <c r="C42" s="8"/>
      <c r="D42" s="211"/>
      <c r="E42" s="8"/>
      <c r="F42" s="33"/>
      <c r="G42" s="8"/>
      <c r="H42" s="33"/>
      <c r="I42" s="8"/>
      <c r="J42" s="86"/>
      <c r="M42" s="86"/>
      <c r="Z42"/>
      <c r="CG42" s="145"/>
      <c r="CH42" s="70"/>
      <c r="CI42" s="70"/>
      <c r="CJ42" s="70"/>
      <c r="CK42" s="70"/>
      <c r="CL42" s="70"/>
      <c r="CM42" s="70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70"/>
      <c r="DB42" s="70"/>
      <c r="DC42" s="70"/>
      <c r="DD42" s="70"/>
      <c r="DE42" s="70"/>
      <c r="DF42" s="152"/>
      <c r="DG42" s="152"/>
      <c r="DH42" s="70"/>
      <c r="DI42" s="152"/>
      <c r="DJ42" s="152"/>
      <c r="DK42" s="152"/>
      <c r="DL42" s="152"/>
      <c r="DM42" s="152"/>
      <c r="FD42" s="69"/>
      <c r="FE42" s="86"/>
    </row>
    <row r="43" spans="1:161">
      <c r="B43" s="210"/>
      <c r="C43" s="8"/>
      <c r="D43" s="211"/>
      <c r="E43" s="8"/>
      <c r="F43" s="33"/>
      <c r="G43" s="8"/>
      <c r="H43" s="33"/>
      <c r="J43" s="86"/>
      <c r="K43" s="86"/>
      <c r="Z43"/>
      <c r="CG43" s="145"/>
      <c r="CH43" s="70"/>
      <c r="CI43" s="70"/>
      <c r="CJ43" s="70"/>
      <c r="CK43" s="70"/>
      <c r="CL43" s="70"/>
      <c r="CM43" s="70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70"/>
      <c r="DB43" s="70"/>
      <c r="DC43" s="70"/>
      <c r="DD43" s="70"/>
      <c r="DE43" s="70"/>
      <c r="DF43" s="70"/>
      <c r="DG43" s="70"/>
      <c r="DH43" s="70"/>
      <c r="DI43" s="70"/>
      <c r="DJ43" s="70"/>
      <c r="DK43" s="70"/>
      <c r="DL43" s="70"/>
      <c r="DM43" s="70"/>
      <c r="FD43" s="45"/>
      <c r="FE43" s="86"/>
    </row>
    <row r="44" spans="1:161">
      <c r="B44" s="210"/>
      <c r="C44" s="8"/>
      <c r="D44" s="211"/>
      <c r="E44" s="8"/>
      <c r="F44" s="33"/>
      <c r="G44" s="8"/>
      <c r="H44" s="33"/>
      <c r="J44" s="86"/>
      <c r="K44" s="86"/>
      <c r="Z44"/>
      <c r="CG44" s="145"/>
      <c r="CH44" s="70"/>
      <c r="CI44" s="70"/>
      <c r="CJ44" s="70"/>
      <c r="CK44" s="70"/>
      <c r="CL44" s="70"/>
      <c r="CM44" s="70"/>
      <c r="CN44" s="70"/>
      <c r="CO44" s="70"/>
      <c r="CP44" s="70"/>
      <c r="CQ44" s="70"/>
      <c r="CR44" s="70"/>
      <c r="CS44" s="70"/>
      <c r="CT44" s="70"/>
      <c r="CU44" s="70"/>
      <c r="CV44" s="70"/>
      <c r="CW44" s="70"/>
      <c r="CX44" s="70"/>
      <c r="CY44" s="70"/>
      <c r="CZ44" s="70"/>
      <c r="DA44" s="70"/>
      <c r="DB44" s="70"/>
      <c r="DC44" s="70"/>
      <c r="DD44" s="70"/>
      <c r="DE44" s="70"/>
      <c r="DF44" s="70"/>
      <c r="DG44" s="70"/>
      <c r="DH44" s="70"/>
      <c r="DI44" s="70"/>
      <c r="DJ44" s="70"/>
      <c r="DK44" s="70"/>
      <c r="DL44" s="70"/>
      <c r="DM44" s="70"/>
      <c r="FD44" s="45"/>
      <c r="FE44" s="86"/>
    </row>
    <row r="45" spans="1:161">
      <c r="B45" s="210"/>
      <c r="C45" s="8"/>
      <c r="D45" s="211"/>
      <c r="E45" s="8"/>
      <c r="F45" s="33"/>
      <c r="G45" s="8"/>
      <c r="H45" s="33"/>
      <c r="J45" s="86"/>
      <c r="K45" s="86"/>
      <c r="Z45"/>
      <c r="CG45" s="145"/>
      <c r="CH45" s="70"/>
      <c r="CI45" s="70"/>
      <c r="CJ45" s="70"/>
      <c r="CK45" s="70"/>
      <c r="CL45" s="70"/>
      <c r="CM45" s="70"/>
      <c r="CN45" s="70"/>
      <c r="CO45" s="70"/>
      <c r="CP45" s="70"/>
      <c r="CQ45" s="70"/>
      <c r="CR45" s="70"/>
      <c r="CS45" s="70"/>
      <c r="CT45" s="70"/>
      <c r="CU45" s="70"/>
      <c r="CV45" s="70"/>
      <c r="CW45" s="70"/>
      <c r="CX45" s="70"/>
      <c r="CY45" s="70"/>
      <c r="CZ45" s="70"/>
      <c r="DA45" s="70"/>
      <c r="DB45" s="70"/>
      <c r="DC45" s="70"/>
      <c r="DD45" s="70"/>
      <c r="DE45" s="70"/>
      <c r="DF45" s="70"/>
      <c r="DG45" s="70"/>
      <c r="DH45" s="70"/>
      <c r="DI45" s="70"/>
      <c r="DJ45" s="70"/>
      <c r="DK45" s="70"/>
      <c r="DL45" s="70"/>
      <c r="DM45" s="70"/>
      <c r="FD45" s="45"/>
      <c r="FE45" s="86"/>
    </row>
    <row r="46" spans="1:161">
      <c r="B46" s="210"/>
      <c r="C46" s="8"/>
      <c r="D46" s="211"/>
      <c r="E46" s="8"/>
      <c r="F46" s="33"/>
      <c r="G46" s="8"/>
      <c r="H46" s="8"/>
      <c r="I46" s="8"/>
      <c r="J46" s="8"/>
      <c r="K46" s="8"/>
      <c r="Z46"/>
      <c r="CG46" s="145"/>
      <c r="CH46" s="70"/>
      <c r="CI46" s="70"/>
      <c r="CJ46" s="70"/>
      <c r="CK46" s="70"/>
      <c r="CL46" s="70"/>
      <c r="CM46" s="70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70"/>
      <c r="DB46" s="70"/>
      <c r="DC46" s="70"/>
      <c r="DD46" s="70"/>
      <c r="DE46" s="70"/>
      <c r="FD46" s="45"/>
      <c r="FE46" s="86"/>
    </row>
    <row r="47" spans="1:161" ht="12" customHeight="1">
      <c r="B47" s="210"/>
      <c r="C47" s="8"/>
      <c r="D47" s="211"/>
      <c r="E47" s="8"/>
      <c r="F47" s="8"/>
      <c r="G47" s="8"/>
      <c r="H47" s="8"/>
      <c r="I47" s="8"/>
      <c r="J47" s="8"/>
      <c r="K47" s="8"/>
      <c r="N47" t="s">
        <v>77</v>
      </c>
      <c r="P47">
        <v>2029</v>
      </c>
      <c r="Q47">
        <v>2030</v>
      </c>
      <c r="R47">
        <v>2031</v>
      </c>
      <c r="S47">
        <v>2029</v>
      </c>
      <c r="T47">
        <v>2030</v>
      </c>
      <c r="U47">
        <v>2031</v>
      </c>
      <c r="V47">
        <v>2031</v>
      </c>
      <c r="W47">
        <v>2031</v>
      </c>
      <c r="X47">
        <v>2031</v>
      </c>
      <c r="Y47">
        <v>2031</v>
      </c>
      <c r="Z47"/>
    </row>
    <row r="48" spans="1:161">
      <c r="A48" s="424"/>
      <c r="B48" s="424"/>
      <c r="D48" s="8"/>
      <c r="F48" s="33"/>
      <c r="H48" s="33"/>
      <c r="I48"/>
      <c r="N48" t="s">
        <v>88</v>
      </c>
      <c r="P48" s="97">
        <v>0</v>
      </c>
      <c r="Q48" s="97">
        <v>0</v>
      </c>
      <c r="R48" s="97">
        <v>0</v>
      </c>
      <c r="S48" s="97">
        <v>0</v>
      </c>
      <c r="T48" s="97">
        <v>0</v>
      </c>
      <c r="U48" s="97">
        <v>0</v>
      </c>
      <c r="V48" s="97">
        <v>0</v>
      </c>
      <c r="W48" s="97">
        <v>0</v>
      </c>
      <c r="X48" s="97">
        <v>0</v>
      </c>
      <c r="Y48" s="97">
        <v>0</v>
      </c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</row>
    <row r="49" spans="1:49">
      <c r="A49" s="89"/>
      <c r="B49" s="44"/>
      <c r="I49" t="s">
        <v>188</v>
      </c>
      <c r="P49" s="84"/>
      <c r="Q49" s="84"/>
      <c r="R49" s="84"/>
      <c r="W49" s="97"/>
      <c r="X49" s="97"/>
      <c r="Y49" s="97"/>
      <c r="Z49" s="20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</row>
    <row r="50" spans="1:49">
      <c r="B50" s="40"/>
      <c r="C50" s="8"/>
      <c r="D50" s="8"/>
      <c r="G50" s="319"/>
      <c r="H50" s="33"/>
      <c r="I50" s="57">
        <f>'2025 IRP Assumptions'!$C$281</f>
        <v>6.3799999999999996E-2</v>
      </c>
    </row>
    <row r="51" spans="1:49">
      <c r="B51" s="40"/>
      <c r="E51" s="8"/>
      <c r="G51" s="90"/>
      <c r="H51" s="33"/>
    </row>
    <row r="52" spans="1:49">
      <c r="A52" s="425"/>
      <c r="B52" s="425"/>
      <c r="E52" s="8"/>
      <c r="G52" s="90"/>
      <c r="H52" s="33"/>
      <c r="I52" s="3" t="s">
        <v>189</v>
      </c>
      <c r="J52" s="235">
        <v>2.18E-2</v>
      </c>
    </row>
    <row r="53" spans="1:49" ht="13.7" customHeight="1">
      <c r="A53" s="44"/>
      <c r="B53" s="44"/>
      <c r="H53" s="33"/>
      <c r="I53"/>
    </row>
    <row r="54" spans="1:49" ht="30.6" customHeight="1">
      <c r="A54" s="426" t="str">
        <f>'Table 5'!A10</f>
        <v>15 Year Starting 2026</v>
      </c>
      <c r="B54" s="427"/>
      <c r="C54" s="427"/>
      <c r="E54" s="8"/>
      <c r="G54" s="56"/>
      <c r="H54" s="33"/>
      <c r="I54" t="s">
        <v>301</v>
      </c>
      <c r="J54" s="263">
        <f>(1+Discount_Rate)/(1+Inflation)-1</f>
        <v>4.1103934233705175E-2</v>
      </c>
    </row>
    <row r="55" spans="1:49">
      <c r="B55" s="44" t="str">
        <f>" Levelized Prices (Nominal) @ "&amp;TEXT($I$50,"0.00%")&amp;" Discount Rate (1) (3) "</f>
        <v xml:space="preserve"> Levelized Prices (Nominal) @ 6.38% Discount Rate (1) (3) </v>
      </c>
      <c r="H55" s="33"/>
      <c r="I55"/>
      <c r="M55" s="58"/>
    </row>
    <row r="56" spans="1:49">
      <c r="B56" s="40" t="s">
        <v>8</v>
      </c>
      <c r="C56" s="8">
        <f ca="1">'Table 5'!$D$10*(Study_CF*8.76)/'Table 5'!$F$10</f>
        <v>0</v>
      </c>
      <c r="D56" s="8"/>
      <c r="H56" s="33"/>
      <c r="I56" s="331"/>
    </row>
    <row r="57" spans="1:49">
      <c r="B57" s="40" t="s">
        <v>31</v>
      </c>
      <c r="E57" s="8">
        <f ca="1">'Table 5'!$C$10/'Table 5'!$F$10</f>
        <v>22.531862158957466</v>
      </c>
      <c r="G57" s="90">
        <f ca="1">'Table 5'!$G$10</f>
        <v>22.531862158957466</v>
      </c>
      <c r="H57" s="8"/>
      <c r="I57" s="8"/>
      <c r="J57" s="331"/>
      <c r="K57" s="331"/>
    </row>
    <row r="58" spans="1:49" ht="8.25" customHeight="1">
      <c r="A58" s="425"/>
      <c r="B58" s="425"/>
      <c r="E58" s="8"/>
      <c r="G58" s="56"/>
      <c r="H58" s="33"/>
    </row>
    <row r="59" spans="1:49">
      <c r="A59" s="425" t="str">
        <f>'Table 5'!A8</f>
        <v>15 Year Starting 2027</v>
      </c>
      <c r="B59" s="425"/>
      <c r="E59" s="8"/>
      <c r="G59" s="8"/>
      <c r="H59" s="33"/>
      <c r="I59"/>
      <c r="M59" s="58"/>
    </row>
    <row r="60" spans="1:49">
      <c r="B60" s="44" t="str">
        <f>" Levelized Prices (Nominal) @ "&amp;TEXT($I$50,"0.00%")&amp;" Discount Rate (1) (3) "</f>
        <v xml:space="preserve"> Levelized Prices (Nominal) @ 6.38% Discount Rate (1) (3) </v>
      </c>
      <c r="C60" s="8"/>
      <c r="E60" s="8"/>
      <c r="G60" s="90"/>
      <c r="H60" s="33"/>
      <c r="I60"/>
    </row>
    <row r="61" spans="1:49">
      <c r="B61" s="40" t="s">
        <v>8</v>
      </c>
      <c r="C61" s="8">
        <f ca="1">'Table 5'!$D$8*(Study_CF*8.76)/'Table 5'!$F$8</f>
        <v>0</v>
      </c>
      <c r="D61" s="8"/>
      <c r="E61" s="8">
        <f ca="1">'Table 5'!$C$8/'Table 5'!$F$8</f>
        <v>23.394748537088457</v>
      </c>
      <c r="H61" s="33"/>
      <c r="I61" s="331"/>
    </row>
    <row r="62" spans="1:49">
      <c r="B62" s="40" t="s">
        <v>31</v>
      </c>
      <c r="E62" s="8"/>
      <c r="G62" s="90">
        <f ca="1">'Table 5'!$G$8</f>
        <v>23.394748537088457</v>
      </c>
      <c r="H62" s="33"/>
      <c r="I62" s="8"/>
      <c r="J62" s="331"/>
      <c r="K62" s="331"/>
    </row>
    <row r="63" spans="1:49">
      <c r="A63" s="425"/>
      <c r="B63" s="425"/>
      <c r="E63" s="8"/>
      <c r="G63" s="56"/>
      <c r="H63" s="33"/>
    </row>
    <row r="64" spans="1:49">
      <c r="A64" s="425" t="str">
        <f>'Table 5'!A7</f>
        <v>15 Year Starting 2028</v>
      </c>
      <c r="B64" s="425"/>
      <c r="E64" s="8"/>
      <c r="G64" s="8"/>
      <c r="H64" s="33"/>
      <c r="I64"/>
      <c r="M64" s="58"/>
    </row>
    <row r="65" spans="1:11">
      <c r="B65" s="44" t="str">
        <f>" Levelized Prices (Nominal) @ "&amp;TEXT($I$50,"0.00%")&amp;" Discount Rate (1) (3) "</f>
        <v xml:space="preserve"> Levelized Prices (Nominal) @ 6.38% Discount Rate (1) (3) </v>
      </c>
      <c r="C65" s="8"/>
      <c r="E65" s="8"/>
      <c r="G65" s="90"/>
      <c r="H65" s="33"/>
      <c r="I65"/>
    </row>
    <row r="66" spans="1:11">
      <c r="B66" s="40" t="s">
        <v>8</v>
      </c>
      <c r="C66" s="8">
        <f ca="1">'Table 5'!$D$7*(Study_CF*8.76)/'Table 5'!$F$7</f>
        <v>0</v>
      </c>
      <c r="D66" s="8"/>
      <c r="H66" s="33"/>
      <c r="I66" s="331"/>
    </row>
    <row r="67" spans="1:11">
      <c r="B67" s="40" t="s">
        <v>31</v>
      </c>
      <c r="E67" s="8">
        <f ca="1">'Table 5'!$C$7/'Table 5'!$F$7</f>
        <v>24.254636182792989</v>
      </c>
      <c r="G67" s="90">
        <f ca="1">'Table 5'!$G$7</f>
        <v>24.254636182792989</v>
      </c>
      <c r="H67" s="33"/>
      <c r="I67" s="8"/>
      <c r="J67" s="331"/>
      <c r="K67" s="331"/>
    </row>
    <row r="68" spans="1:11">
      <c r="B68" s="40"/>
      <c r="C68" s="8"/>
      <c r="E68" s="8"/>
      <c r="G68" s="90"/>
      <c r="H68" s="33"/>
    </row>
    <row r="69" spans="1:11">
      <c r="B69" s="40"/>
      <c r="C69" s="8"/>
      <c r="D69" s="8"/>
      <c r="H69" s="33"/>
    </row>
    <row r="70" spans="1:11">
      <c r="B70" s="44"/>
      <c r="H70" s="33"/>
    </row>
    <row r="71" spans="1:11">
      <c r="B71" s="40"/>
      <c r="C71" s="8"/>
      <c r="D71" s="8"/>
      <c r="H71" s="33"/>
    </row>
    <row r="72" spans="1:11">
      <c r="A72" s="425"/>
      <c r="B72" s="425"/>
      <c r="E72" s="8"/>
      <c r="G72" s="56"/>
      <c r="H72" s="33"/>
    </row>
    <row r="73" spans="1:11">
      <c r="B73" s="44"/>
      <c r="H73" s="33"/>
    </row>
    <row r="74" spans="1:11">
      <c r="B74" s="40"/>
      <c r="C74" s="8"/>
      <c r="D74" s="8"/>
      <c r="H74" s="33"/>
    </row>
    <row r="75" spans="1:11">
      <c r="B75" s="40"/>
      <c r="E75" s="8"/>
      <c r="G75" s="90"/>
      <c r="H75" s="33"/>
    </row>
    <row r="76" spans="1:11">
      <c r="E76" s="34"/>
      <c r="G76" s="34"/>
      <c r="H76" s="33"/>
      <c r="I76" s="56"/>
    </row>
    <row r="77" spans="1:11">
      <c r="B77" s="41"/>
      <c r="E77" s="33"/>
      <c r="F77" s="34"/>
      <c r="G77" s="33"/>
      <c r="H77" s="33"/>
      <c r="I77" s="56"/>
    </row>
    <row r="78" spans="1:11">
      <c r="F78" s="34"/>
      <c r="H78" s="33"/>
      <c r="I78" s="56"/>
    </row>
    <row r="81" spans="1:26">
      <c r="B81" s="46"/>
    </row>
    <row r="82" spans="1:26" ht="12.75" customHeight="1">
      <c r="B82" s="46"/>
    </row>
    <row r="83" spans="1:26" ht="12.75" customHeight="1">
      <c r="B83" s="46"/>
    </row>
    <row r="84" spans="1:26">
      <c r="B84" s="9"/>
      <c r="C84" s="6"/>
      <c r="D84" s="6"/>
      <c r="E84" s="6"/>
      <c r="G84" s="6"/>
    </row>
    <row r="85" spans="1:26">
      <c r="A85"/>
      <c r="I85" t="s">
        <v>54</v>
      </c>
    </row>
    <row r="86" spans="1:26" s="43" customFormat="1">
      <c r="B86" s="9"/>
      <c r="I86" t="str">
        <f ca="1">"       Avoided Costs calculated annually are  "&amp;TEXT(PMT(Discount_Rate,COUNT($G$13:$G$27),-NPV(Discount_Rate,$G$13:$G$27)),"$0.00")&amp;"/MWH"</f>
        <v xml:space="preserve">       Avoided Costs calculated annually are  $22.66/MWH</v>
      </c>
      <c r="J86"/>
      <c r="K86"/>
      <c r="L86"/>
      <c r="M86"/>
      <c r="Z86" s="208"/>
    </row>
    <row r="87" spans="1:26" s="43" customFormat="1">
      <c r="B87" s="9"/>
      <c r="I87" s="9" t="str">
        <f ca="1">"       Avoided Costs calculated monthly are  "&amp;TEXT($G$57,"$0.00")&amp;"/MWH"</f>
        <v xml:space="preserve">       Avoided Costs calculated monthly are  $22.53/MWH</v>
      </c>
      <c r="J87"/>
      <c r="K87"/>
      <c r="Z87" s="208"/>
    </row>
    <row r="88" spans="1:26">
      <c r="A88"/>
      <c r="B88" s="42"/>
      <c r="I88" s="43"/>
      <c r="L88" s="43"/>
      <c r="M88" s="43"/>
    </row>
    <row r="89" spans="1:26">
      <c r="A89"/>
      <c r="F89" s="6"/>
    </row>
    <row r="92" spans="1:26">
      <c r="A92"/>
      <c r="J92" s="43"/>
      <c r="K92" s="43"/>
    </row>
    <row r="93" spans="1:26">
      <c r="A93"/>
      <c r="J93" s="43"/>
      <c r="K93" s="43"/>
    </row>
  </sheetData>
  <mergeCells count="8">
    <mergeCell ref="A48:B48"/>
    <mergeCell ref="A58:B58"/>
    <mergeCell ref="A72:B72"/>
    <mergeCell ref="A52:B52"/>
    <mergeCell ref="A59:B59"/>
    <mergeCell ref="A63:B63"/>
    <mergeCell ref="A64:B64"/>
    <mergeCell ref="A54:C54"/>
  </mergeCells>
  <phoneticPr fontId="10" type="noConversion"/>
  <printOptions horizontalCentered="1"/>
  <pageMargins left="0.25" right="0.25" top="0.75" bottom="0.75" header="0.3" footer="0.3"/>
  <pageSetup scale="7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P41"/>
  <sheetViews>
    <sheetView view="pageBreakPreview" topLeftCell="A2" zoomScale="90" zoomScaleNormal="100" zoomScaleSheetLayoutView="90" workbookViewId="0">
      <selection activeCell="G41" sqref="G41"/>
    </sheetView>
  </sheetViews>
  <sheetFormatPr defaultColWidth="9.33203125" defaultRowHeight="12.75"/>
  <cols>
    <col min="1" max="1" width="2.83203125" style="3" customWidth="1"/>
    <col min="2" max="2" width="7" style="3" customWidth="1"/>
    <col min="3" max="15" width="10.1640625" style="3" customWidth="1"/>
    <col min="16" max="16" width="1.6640625" style="3" customWidth="1"/>
    <col min="17" max="16384" width="9.33203125" style="3"/>
  </cols>
  <sheetData>
    <row r="1" spans="2:16" s="104" customFormat="1" ht="15.75" hidden="1">
      <c r="B1" s="1" t="s">
        <v>34</v>
      </c>
      <c r="C1" s="1"/>
      <c r="D1" s="1"/>
      <c r="E1" s="1"/>
      <c r="F1" s="1"/>
      <c r="G1" s="102"/>
      <c r="H1" s="1"/>
      <c r="I1" s="1"/>
      <c r="J1" s="1"/>
      <c r="K1" s="1"/>
      <c r="L1" s="103"/>
      <c r="M1" s="1"/>
      <c r="N1" s="1"/>
      <c r="O1" s="1"/>
      <c r="P1" s="1"/>
    </row>
    <row r="2" spans="2:16" s="104" customFormat="1" ht="5.25" customHeight="1">
      <c r="B2" s="1"/>
      <c r="C2" s="1"/>
      <c r="D2" s="1"/>
      <c r="E2" s="1"/>
      <c r="F2" s="1"/>
      <c r="G2" s="102"/>
      <c r="H2" s="1"/>
      <c r="I2" s="1"/>
      <c r="J2" s="1"/>
      <c r="K2" s="1"/>
      <c r="L2" s="103"/>
      <c r="M2" s="1"/>
      <c r="N2" s="1"/>
      <c r="O2" s="1"/>
      <c r="P2" s="1"/>
    </row>
    <row r="3" spans="2:16" s="104" customFormat="1" ht="15.75">
      <c r="B3" s="1" t="s">
        <v>78</v>
      </c>
      <c r="C3" s="1"/>
      <c r="D3" s="1"/>
      <c r="E3" s="1"/>
      <c r="F3" s="1"/>
      <c r="G3" s="102"/>
      <c r="H3" s="1"/>
      <c r="I3" s="1"/>
      <c r="J3" s="1"/>
      <c r="K3" s="1"/>
      <c r="L3" s="103"/>
      <c r="M3" s="1"/>
      <c r="N3" s="1"/>
      <c r="O3" s="1"/>
      <c r="P3" s="1"/>
    </row>
    <row r="4" spans="2:16" s="105" customFormat="1" ht="15">
      <c r="B4" s="4" t="s">
        <v>79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2:16" s="105" customFormat="1" ht="15">
      <c r="B5" s="4" t="str">
        <f ca="1">'Table 1'!B5</f>
        <v>QF - Sch38 - UT - Solar T - 80.0 MW and 30.2% CF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2:16" s="105" customFormat="1" ht="15" hidden="1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2:16">
      <c r="D7" s="106"/>
      <c r="E7" s="106"/>
      <c r="F7" s="106"/>
      <c r="G7" s="107"/>
      <c r="H7" s="107"/>
      <c r="I7" s="107"/>
      <c r="J7" s="107"/>
      <c r="K7" s="107"/>
      <c r="L7" s="107"/>
      <c r="M7" s="108"/>
    </row>
    <row r="8" spans="2:16">
      <c r="B8" s="109"/>
      <c r="C8" s="109"/>
      <c r="D8" s="110" t="s">
        <v>80</v>
      </c>
      <c r="E8" s="111"/>
      <c r="F8" s="111"/>
      <c r="G8" s="110"/>
      <c r="H8" s="110"/>
      <c r="I8" s="112" t="s">
        <v>81</v>
      </c>
      <c r="J8" s="113"/>
      <c r="K8" s="113"/>
      <c r="L8" s="114"/>
      <c r="M8" s="115" t="s">
        <v>80</v>
      </c>
      <c r="N8" s="116"/>
      <c r="O8" s="117"/>
    </row>
    <row r="9" spans="2:16">
      <c r="B9" s="118" t="s">
        <v>0</v>
      </c>
      <c r="C9" s="118" t="s">
        <v>115</v>
      </c>
      <c r="D9" s="119" t="s">
        <v>118</v>
      </c>
      <c r="E9" s="120" t="s">
        <v>119</v>
      </c>
      <c r="F9" s="120" t="s">
        <v>120</v>
      </c>
      <c r="G9" s="120" t="s">
        <v>121</v>
      </c>
      <c r="H9" s="121" t="s">
        <v>122</v>
      </c>
      <c r="I9" s="85" t="s">
        <v>123</v>
      </c>
      <c r="J9" s="85" t="s">
        <v>124</v>
      </c>
      <c r="K9" s="85" t="s">
        <v>125</v>
      </c>
      <c r="L9" s="85" t="s">
        <v>126</v>
      </c>
      <c r="M9" s="119" t="s">
        <v>127</v>
      </c>
      <c r="N9" s="120" t="s">
        <v>128</v>
      </c>
      <c r="O9" s="121" t="s">
        <v>129</v>
      </c>
    </row>
    <row r="10" spans="2:16" ht="12.75" customHeight="1">
      <c r="B10" s="5"/>
      <c r="C10" s="5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2:16" ht="12.75" customHeight="1">
      <c r="B11" s="83" t="s">
        <v>82</v>
      </c>
      <c r="C11" s="83"/>
      <c r="E11" s="106"/>
      <c r="F11" s="106"/>
      <c r="G11" s="106"/>
      <c r="H11" s="106"/>
      <c r="I11" s="106"/>
      <c r="J11" s="106"/>
      <c r="K11" s="106"/>
      <c r="L11" s="106"/>
      <c r="M11" s="106"/>
      <c r="N11" s="106"/>
    </row>
    <row r="12" spans="2:16" ht="12.75" hidden="1" customHeight="1">
      <c r="B12" s="122"/>
      <c r="C12" s="123"/>
      <c r="D12" s="7"/>
      <c r="E12" s="7"/>
      <c r="F12" s="7"/>
      <c r="G12" s="7"/>
      <c r="H12" s="11"/>
      <c r="I12" s="124"/>
      <c r="J12" s="125"/>
      <c r="K12" s="125"/>
      <c r="L12" s="126"/>
      <c r="M12" s="124"/>
      <c r="N12" s="125"/>
      <c r="O12" s="126"/>
    </row>
    <row r="13" spans="2:16" ht="12.75" customHeight="1">
      <c r="B13" s="127">
        <v>2026</v>
      </c>
      <c r="C13" s="181">
        <v>17.642884680561917</v>
      </c>
      <c r="D13" s="182">
        <v>19.766760193758415</v>
      </c>
      <c r="E13" s="182">
        <v>11.164518001604941</v>
      </c>
      <c r="F13" s="182">
        <v>-0.5678639398822809</v>
      </c>
      <c r="G13" s="182">
        <v>1.8995187368028807</v>
      </c>
      <c r="H13" s="183">
        <v>9.4798411010795665</v>
      </c>
      <c r="I13" s="184">
        <v>19.743612858566824</v>
      </c>
      <c r="J13" s="182">
        <v>30.627434579696949</v>
      </c>
      <c r="K13" s="182">
        <v>33.304536475853197</v>
      </c>
      <c r="L13" s="183">
        <v>19.909819466408205</v>
      </c>
      <c r="M13" s="184">
        <v>10.967715650044653</v>
      </c>
      <c r="N13" s="182">
        <v>22.635169029529187</v>
      </c>
      <c r="O13" s="183">
        <v>26.254023247171549</v>
      </c>
    </row>
    <row r="14" spans="2:16" ht="12.75" customHeight="1">
      <c r="B14" s="140">
        <v>2027</v>
      </c>
      <c r="C14" s="185">
        <v>20.825239515907061</v>
      </c>
      <c r="D14" s="186">
        <v>25.474618995863811</v>
      </c>
      <c r="E14" s="186">
        <v>21.543887040732159</v>
      </c>
      <c r="F14" s="186">
        <v>4.5555833178063061</v>
      </c>
      <c r="G14" s="186">
        <v>8.2802718068603181</v>
      </c>
      <c r="H14" s="187">
        <v>12.068539487979397</v>
      </c>
      <c r="I14" s="188">
        <v>19.173808575791242</v>
      </c>
      <c r="J14" s="186">
        <v>33.892140403227963</v>
      </c>
      <c r="K14" s="186">
        <v>37.147107664173554</v>
      </c>
      <c r="L14" s="187">
        <v>21.298133126241218</v>
      </c>
      <c r="M14" s="188">
        <v>12.764290954537426</v>
      </c>
      <c r="N14" s="186">
        <v>21.816980639626024</v>
      </c>
      <c r="O14" s="187">
        <v>30.040328316455739</v>
      </c>
    </row>
    <row r="15" spans="2:16" ht="12.75" customHeight="1">
      <c r="B15" s="140">
        <v>2028</v>
      </c>
      <c r="C15" s="185">
        <v>21.9626190285361</v>
      </c>
      <c r="D15" s="186">
        <v>34.763899715193268</v>
      </c>
      <c r="E15" s="186">
        <v>17.544705187821769</v>
      </c>
      <c r="F15" s="186">
        <v>3.8754755208572877</v>
      </c>
      <c r="G15" s="186">
        <v>7.9644932859817592</v>
      </c>
      <c r="H15" s="187">
        <v>12.570061194259569</v>
      </c>
      <c r="I15" s="188">
        <v>17.368606126238632</v>
      </c>
      <c r="J15" s="186">
        <v>35.23441987780744</v>
      </c>
      <c r="K15" s="186">
        <v>38.05086199564105</v>
      </c>
      <c r="L15" s="187">
        <v>26.874018398188877</v>
      </c>
      <c r="M15" s="188">
        <v>16.480542346385469</v>
      </c>
      <c r="N15" s="186">
        <v>23.735462966473754</v>
      </c>
      <c r="O15" s="187">
        <v>38.024160758803035</v>
      </c>
    </row>
    <row r="16" spans="2:16" ht="12.75" customHeight="1">
      <c r="B16" s="140">
        <v>2029</v>
      </c>
      <c r="C16" s="185">
        <v>24.610049512053262</v>
      </c>
      <c r="D16" s="186">
        <v>33.440710479930054</v>
      </c>
      <c r="E16" s="186">
        <v>24.49333531452255</v>
      </c>
      <c r="F16" s="186">
        <v>8.623466646930158</v>
      </c>
      <c r="G16" s="186">
        <v>7.3822054475444636</v>
      </c>
      <c r="H16" s="187">
        <v>10.472707841082421</v>
      </c>
      <c r="I16" s="188">
        <v>25.88514578762145</v>
      </c>
      <c r="J16" s="186">
        <v>40.437019185086982</v>
      </c>
      <c r="K16" s="186">
        <v>38.107178323898388</v>
      </c>
      <c r="L16" s="187">
        <v>26.571622820977918</v>
      </c>
      <c r="M16" s="188">
        <v>21.672083810277254</v>
      </c>
      <c r="N16" s="186">
        <v>27.324319821466617</v>
      </c>
      <c r="O16" s="187">
        <v>36.269724411446909</v>
      </c>
    </row>
    <row r="17" spans="2:15" ht="12.75" customHeight="1">
      <c r="B17" s="140">
        <v>2030</v>
      </c>
      <c r="C17" s="185">
        <v>24.165581935082283</v>
      </c>
      <c r="D17" s="186">
        <v>39.727252252202874</v>
      </c>
      <c r="E17" s="186">
        <v>22.802004060065961</v>
      </c>
      <c r="F17" s="186">
        <v>4.6575335452119662</v>
      </c>
      <c r="G17" s="186">
        <v>1.2758013689655365</v>
      </c>
      <c r="H17" s="187">
        <v>6.0381071430808504</v>
      </c>
      <c r="I17" s="188">
        <v>24.971444191491134</v>
      </c>
      <c r="J17" s="186">
        <v>37.871534618679945</v>
      </c>
      <c r="K17" s="186">
        <v>39.049926782129432</v>
      </c>
      <c r="L17" s="187">
        <v>32.373074362386333</v>
      </c>
      <c r="M17" s="188">
        <v>21.765157737298246</v>
      </c>
      <c r="N17" s="186">
        <v>33.20503209721435</v>
      </c>
      <c r="O17" s="187">
        <v>46.276957091218016</v>
      </c>
    </row>
    <row r="18" spans="2:15" ht="12.75" customHeight="1">
      <c r="B18" s="140">
        <v>2031</v>
      </c>
      <c r="C18" s="185">
        <v>23.159408223818513</v>
      </c>
      <c r="D18" s="186">
        <v>31.876944686164453</v>
      </c>
      <c r="E18" s="186">
        <v>20.258252338661077</v>
      </c>
      <c r="F18" s="186">
        <v>3.5394313946046427</v>
      </c>
      <c r="G18" s="186">
        <v>7.9893154147371037</v>
      </c>
      <c r="H18" s="187">
        <v>8.993984678701274</v>
      </c>
      <c r="I18" s="188">
        <v>21.056841697190841</v>
      </c>
      <c r="J18" s="186">
        <v>35.900280629586526</v>
      </c>
      <c r="K18" s="186">
        <v>36.4481823859511</v>
      </c>
      <c r="L18" s="187">
        <v>32.200221228574399</v>
      </c>
      <c r="M18" s="188">
        <v>15.326254360271014</v>
      </c>
      <c r="N18" s="186">
        <v>32.694550738811515</v>
      </c>
      <c r="O18" s="187">
        <v>37.302114713700604</v>
      </c>
    </row>
    <row r="19" spans="2:15" ht="12.75" customHeight="1">
      <c r="B19" s="140">
        <v>2032</v>
      </c>
      <c r="C19" s="185">
        <v>21.198350246741139</v>
      </c>
      <c r="D19" s="186">
        <v>33.186169045835356</v>
      </c>
      <c r="E19" s="186">
        <v>19.323009708376844</v>
      </c>
      <c r="F19" s="186">
        <v>1.040484958147361</v>
      </c>
      <c r="G19" s="186">
        <v>2.7296033235888322</v>
      </c>
      <c r="H19" s="187">
        <v>7.1170801863667466</v>
      </c>
      <c r="I19" s="188">
        <v>15.61002701734049</v>
      </c>
      <c r="J19" s="186">
        <v>32.635686114067269</v>
      </c>
      <c r="K19" s="186">
        <v>38.559109072607797</v>
      </c>
      <c r="L19" s="187">
        <v>30.949858000934015</v>
      </c>
      <c r="M19" s="188">
        <v>14.265532200168369</v>
      </c>
      <c r="N19" s="186">
        <v>32.758280791578343</v>
      </c>
      <c r="O19" s="187">
        <v>42.178200366019382</v>
      </c>
    </row>
    <row r="20" spans="2:15" ht="12.75" customHeight="1">
      <c r="B20" s="140">
        <v>2033</v>
      </c>
      <c r="C20" s="185">
        <v>20.31242489050404</v>
      </c>
      <c r="D20" s="186">
        <v>34.955669438918832</v>
      </c>
      <c r="E20" s="186">
        <v>19.207767297886786</v>
      </c>
      <c r="F20" s="186">
        <v>-1.7056327199281407</v>
      </c>
      <c r="G20" s="186">
        <v>4.3261892388713683</v>
      </c>
      <c r="H20" s="187">
        <v>5.6656540445265247</v>
      </c>
      <c r="I20" s="188">
        <v>14.531707872772143</v>
      </c>
      <c r="J20" s="186">
        <v>31.476644336455266</v>
      </c>
      <c r="K20" s="186">
        <v>31.688532499516874</v>
      </c>
      <c r="L20" s="187">
        <v>33.283843001475844</v>
      </c>
      <c r="M20" s="188">
        <v>16.58723305416293</v>
      </c>
      <c r="N20" s="186">
        <v>35.676897016619776</v>
      </c>
      <c r="O20" s="187">
        <v>38.379836584254257</v>
      </c>
    </row>
    <row r="21" spans="2:15" ht="12.75" customHeight="1">
      <c r="B21" s="140">
        <v>2034</v>
      </c>
      <c r="C21" s="185">
        <v>20.572118093257355</v>
      </c>
      <c r="D21" s="186">
        <v>39.315963277800584</v>
      </c>
      <c r="E21" s="186">
        <v>17.955938505902967</v>
      </c>
      <c r="F21" s="186">
        <v>0.9417061784031574</v>
      </c>
      <c r="G21" s="186">
        <v>-1.6569323942390144</v>
      </c>
      <c r="H21" s="187">
        <v>9.0703673716294855</v>
      </c>
      <c r="I21" s="188">
        <v>15.987638218816373</v>
      </c>
      <c r="J21" s="186">
        <v>30.994459941417865</v>
      </c>
      <c r="K21" s="186">
        <v>33.534795499418578</v>
      </c>
      <c r="L21" s="187">
        <v>32.058612475862482</v>
      </c>
      <c r="M21" s="188">
        <v>18.708279418486416</v>
      </c>
      <c r="N21" s="186">
        <v>25.623395454967785</v>
      </c>
      <c r="O21" s="187">
        <v>48.285477885335808</v>
      </c>
    </row>
    <row r="22" spans="2:15" ht="12.75" customHeight="1">
      <c r="B22" s="140">
        <v>2035</v>
      </c>
      <c r="C22" s="185">
        <v>22.521961153670535</v>
      </c>
      <c r="D22" s="186">
        <v>38.089693673763136</v>
      </c>
      <c r="E22" s="186">
        <v>18.67940663262937</v>
      </c>
      <c r="F22" s="186">
        <v>9.1840456834668451</v>
      </c>
      <c r="G22" s="186">
        <v>5.1646106550744415</v>
      </c>
      <c r="H22" s="187">
        <v>10.297369864960984</v>
      </c>
      <c r="I22" s="188">
        <v>17.883649449652584</v>
      </c>
      <c r="J22" s="186">
        <v>35.258876258097267</v>
      </c>
      <c r="K22" s="186">
        <v>31.458785146456062</v>
      </c>
      <c r="L22" s="187">
        <v>30.013974928304471</v>
      </c>
      <c r="M22" s="188">
        <v>14.171042855348599</v>
      </c>
      <c r="N22" s="186">
        <v>36.468143581195491</v>
      </c>
      <c r="O22" s="187">
        <v>50.096964165668801</v>
      </c>
    </row>
    <row r="23" spans="2:15" ht="12.75" customHeight="1">
      <c r="B23" s="140">
        <v>2036</v>
      </c>
      <c r="C23" s="185">
        <v>23.156746838533245</v>
      </c>
      <c r="D23" s="186">
        <v>31.392881581448961</v>
      </c>
      <c r="E23" s="186">
        <v>19.73317199916205</v>
      </c>
      <c r="F23" s="186">
        <v>7.5144801176190779</v>
      </c>
      <c r="G23" s="186">
        <v>6.4457411206792772</v>
      </c>
      <c r="H23" s="187">
        <v>10.774150723769317</v>
      </c>
      <c r="I23" s="188">
        <v>18.793643706590377</v>
      </c>
      <c r="J23" s="186">
        <v>36.601967292236822</v>
      </c>
      <c r="K23" s="186">
        <v>36.567830221408713</v>
      </c>
      <c r="L23" s="187">
        <v>31.050963260405137</v>
      </c>
      <c r="M23" s="188">
        <v>18.862423345635207</v>
      </c>
      <c r="N23" s="186">
        <v>29.10096675227641</v>
      </c>
      <c r="O23" s="187">
        <v>49.824887666590492</v>
      </c>
    </row>
    <row r="24" spans="2:15" ht="12.75" customHeight="1">
      <c r="B24" s="140">
        <v>2037</v>
      </c>
      <c r="C24" s="185">
        <v>26.181419174445249</v>
      </c>
      <c r="D24" s="186">
        <v>39.26943848849416</v>
      </c>
      <c r="E24" s="186">
        <v>23.594847014565609</v>
      </c>
      <c r="F24" s="186">
        <v>8.2275291019288872</v>
      </c>
      <c r="G24" s="186">
        <v>9.3923686660567292</v>
      </c>
      <c r="H24" s="187">
        <v>16.885078202041164</v>
      </c>
      <c r="I24" s="188">
        <v>20.600762762236933</v>
      </c>
      <c r="J24" s="186">
        <v>38.503060090830786</v>
      </c>
      <c r="K24" s="186">
        <v>39.20083523858338</v>
      </c>
      <c r="L24" s="187">
        <v>36.121678412648983</v>
      </c>
      <c r="M24" s="188">
        <v>13.614684550236067</v>
      </c>
      <c r="N24" s="186">
        <v>32.108326113114899</v>
      </c>
      <c r="O24" s="187">
        <v>50.758193381498522</v>
      </c>
    </row>
    <row r="25" spans="2:15" ht="12.75" customHeight="1">
      <c r="B25" s="140">
        <v>2038</v>
      </c>
      <c r="C25" s="185">
        <v>26.261307018920185</v>
      </c>
      <c r="D25" s="186">
        <v>41.501352880002372</v>
      </c>
      <c r="E25" s="186">
        <v>23.198958221375879</v>
      </c>
      <c r="F25" s="186">
        <v>11.669033415281053</v>
      </c>
      <c r="G25" s="186">
        <v>8.9033325230200937</v>
      </c>
      <c r="H25" s="187">
        <v>8.2733777895812946</v>
      </c>
      <c r="I25" s="188">
        <v>20.975226473873459</v>
      </c>
      <c r="J25" s="186">
        <v>40.674961319659005</v>
      </c>
      <c r="K25" s="186">
        <v>38.945692703417777</v>
      </c>
      <c r="L25" s="187">
        <v>34.000907443607595</v>
      </c>
      <c r="M25" s="188">
        <v>13.767860438760273</v>
      </c>
      <c r="N25" s="186">
        <v>40.6312357551205</v>
      </c>
      <c r="O25" s="187">
        <v>59.313503860243685</v>
      </c>
    </row>
    <row r="26" spans="2:15" ht="12.75" customHeight="1">
      <c r="B26" s="140">
        <v>2039</v>
      </c>
      <c r="C26" s="185">
        <v>26.354852577989039</v>
      </c>
      <c r="D26" s="186">
        <v>43.011974813180785</v>
      </c>
      <c r="E26" s="186">
        <v>24.409167137085298</v>
      </c>
      <c r="F26" s="186">
        <v>11.5992641633679</v>
      </c>
      <c r="G26" s="186">
        <v>7.9817392004220213</v>
      </c>
      <c r="H26" s="187">
        <v>10.838066968474408</v>
      </c>
      <c r="I26" s="188">
        <v>22.615843807213835</v>
      </c>
      <c r="J26" s="186">
        <v>37.829833158159467</v>
      </c>
      <c r="K26" s="186">
        <v>40.338559518629417</v>
      </c>
      <c r="L26" s="187">
        <v>34.220731991402147</v>
      </c>
      <c r="M26" s="188">
        <v>16.999815061932186</v>
      </c>
      <c r="N26" s="186">
        <v>39.263380919952269</v>
      </c>
      <c r="O26" s="187">
        <v>48.948285877404103</v>
      </c>
    </row>
    <row r="27" spans="2:15" ht="12.75" customHeight="1">
      <c r="B27" s="140">
        <v>2040</v>
      </c>
      <c r="C27" s="185">
        <v>28.404333710266602</v>
      </c>
      <c r="D27" s="186">
        <v>38.394955408323199</v>
      </c>
      <c r="E27" s="186">
        <v>27.485208202652252</v>
      </c>
      <c r="F27" s="186">
        <v>16.610153755545113</v>
      </c>
      <c r="G27" s="186">
        <v>9.3762710015916735</v>
      </c>
      <c r="H27" s="187">
        <v>15.552850722945395</v>
      </c>
      <c r="I27" s="188">
        <v>28.130113485829117</v>
      </c>
      <c r="J27" s="186">
        <v>23.223311263548911</v>
      </c>
      <c r="K27" s="186">
        <v>51.958558391408189</v>
      </c>
      <c r="L27" s="187">
        <v>38.652791656003672</v>
      </c>
      <c r="M27" s="188">
        <v>25.148904950837881</v>
      </c>
      <c r="N27" s="186">
        <v>38.949953326359328</v>
      </c>
      <c r="O27" s="187">
        <v>46.874324059572828</v>
      </c>
    </row>
    <row r="28" spans="2:15" ht="12.75" customHeight="1">
      <c r="B28" s="140">
        <v>2041</v>
      </c>
      <c r="C28" s="185">
        <v>30.597285503102803</v>
      </c>
      <c r="D28" s="186">
        <v>46.776352243363995</v>
      </c>
      <c r="E28" s="186">
        <v>27.133612056496556</v>
      </c>
      <c r="F28" s="186">
        <v>19.738797450684856</v>
      </c>
      <c r="G28" s="186">
        <v>13.9757067707356</v>
      </c>
      <c r="H28" s="187">
        <v>11.775962855272853</v>
      </c>
      <c r="I28" s="188">
        <v>28.376060796741626</v>
      </c>
      <c r="J28" s="186">
        <v>47.549818211255783</v>
      </c>
      <c r="K28" s="186">
        <v>43.112876696690542</v>
      </c>
      <c r="L28" s="187">
        <v>32.217483657214395</v>
      </c>
      <c r="M28" s="188">
        <v>19.16868037747043</v>
      </c>
      <c r="N28" s="186">
        <v>38.176074794840872</v>
      </c>
      <c r="O28" s="187">
        <v>66.204484728325426</v>
      </c>
    </row>
    <row r="29" spans="2:15" ht="12.75" customHeight="1">
      <c r="B29" s="140">
        <v>2042</v>
      </c>
      <c r="C29" s="185">
        <v>37.805155849708122</v>
      </c>
      <c r="D29" s="186">
        <v>59.396002905272915</v>
      </c>
      <c r="E29" s="186">
        <v>39.157476650821472</v>
      </c>
      <c r="F29" s="186">
        <v>23.53982087392199</v>
      </c>
      <c r="G29" s="186">
        <v>19.713104347304814</v>
      </c>
      <c r="H29" s="187">
        <v>16.473788099018275</v>
      </c>
      <c r="I29" s="188">
        <v>29.977368923487898</v>
      </c>
      <c r="J29" s="186">
        <v>51.825727912779428</v>
      </c>
      <c r="K29" s="186">
        <v>52.877463653949576</v>
      </c>
      <c r="L29" s="187">
        <v>46.951440236050331</v>
      </c>
      <c r="M29" s="188">
        <v>31.641111049797196</v>
      </c>
      <c r="N29" s="186">
        <v>48.542915649521625</v>
      </c>
      <c r="O29" s="187">
        <v>55.316460524610108</v>
      </c>
    </row>
    <row r="30" spans="2:15" ht="12.75" customHeight="1">
      <c r="B30" s="141">
        <v>2043</v>
      </c>
      <c r="C30" s="189">
        <v>42.192086803062544</v>
      </c>
      <c r="D30" s="190">
        <v>75.679051973465263</v>
      </c>
      <c r="E30" s="190">
        <v>42.975620308506535</v>
      </c>
      <c r="F30" s="190">
        <v>23.509283440351858</v>
      </c>
      <c r="G30" s="190">
        <v>18.41635999147924</v>
      </c>
      <c r="H30" s="191">
        <v>19.852800967572758</v>
      </c>
      <c r="I30" s="192">
        <v>35.125215059438574</v>
      </c>
      <c r="J30" s="190">
        <v>51.488626337505494</v>
      </c>
      <c r="K30" s="190">
        <v>62.078352761539364</v>
      </c>
      <c r="L30" s="191">
        <v>44.959287626644894</v>
      </c>
      <c r="M30" s="192">
        <v>13.247511211574221</v>
      </c>
      <c r="N30" s="190">
        <v>77.688966885335802</v>
      </c>
      <c r="O30" s="191">
        <v>101.21849416549186</v>
      </c>
    </row>
    <row r="31" spans="2:15" ht="12.75" hidden="1" customHeight="1">
      <c r="B31" s="12"/>
      <c r="C31" s="128"/>
      <c r="D31" s="129"/>
      <c r="E31" s="129"/>
      <c r="F31" s="129"/>
      <c r="G31" s="129"/>
      <c r="H31" s="130"/>
      <c r="I31" s="131"/>
      <c r="J31" s="129"/>
      <c r="K31" s="129"/>
      <c r="L31" s="130"/>
      <c r="M31" s="131"/>
      <c r="N31" s="129"/>
      <c r="O31" s="130"/>
    </row>
    <row r="32" spans="2:15" ht="12.75" hidden="1" customHeight="1">
      <c r="B32" s="132"/>
      <c r="C32" s="133"/>
      <c r="D32" s="134"/>
      <c r="E32" s="134"/>
      <c r="F32" s="134"/>
      <c r="G32" s="134"/>
      <c r="H32" s="135"/>
      <c r="I32" s="136"/>
      <c r="J32" s="134"/>
      <c r="K32" s="134"/>
      <c r="L32" s="135"/>
      <c r="M32" s="136"/>
      <c r="N32" s="134"/>
      <c r="O32" s="135"/>
    </row>
    <row r="33" spans="2:16" ht="12.75" customHeight="1">
      <c r="D33" s="9"/>
      <c r="E33" s="9"/>
      <c r="F33" s="9"/>
      <c r="M33" s="137"/>
    </row>
    <row r="34" spans="2:16">
      <c r="B34" s="138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</row>
    <row r="38" spans="2:16" hidden="1">
      <c r="C38" s="139"/>
      <c r="D38" s="3">
        <v>31</v>
      </c>
      <c r="E38" s="3">
        <v>28</v>
      </c>
      <c r="F38" s="3">
        <v>31</v>
      </c>
      <c r="G38" s="3">
        <v>30</v>
      </c>
      <c r="H38" s="3">
        <v>31</v>
      </c>
      <c r="I38" s="3">
        <v>30</v>
      </c>
      <c r="J38" s="3">
        <v>31</v>
      </c>
      <c r="K38" s="3">
        <v>31</v>
      </c>
      <c r="L38" s="3">
        <v>30</v>
      </c>
      <c r="M38" s="3">
        <v>31</v>
      </c>
      <c r="N38" s="3">
        <v>30</v>
      </c>
      <c r="O38" s="3">
        <v>31</v>
      </c>
    </row>
    <row r="39" spans="2:16">
      <c r="C39" s="139"/>
    </row>
    <row r="40" spans="2:16">
      <c r="C40" s="139"/>
    </row>
    <row r="41" spans="2:16">
      <c r="C41" s="139"/>
    </row>
  </sheetData>
  <conditionalFormatting sqref="C29:O31">
    <cfRule type="cellIs" dxfId="2" priority="1" stopIfTrue="1" operator="equal">
      <formula>#REF!</formula>
    </cfRule>
  </conditionalFormatting>
  <printOptions horizontalCentered="1"/>
  <pageMargins left="0.25" right="0.25" top="0.75" bottom="0.75" header="0.3" footer="0.3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B1:S627"/>
  <sheetViews>
    <sheetView view="pageBreakPreview" topLeftCell="A3" zoomScale="80" zoomScaleNormal="100" zoomScaleSheetLayoutView="80" workbookViewId="0">
      <selection activeCell="C36" sqref="C36"/>
    </sheetView>
  </sheetViews>
  <sheetFormatPr defaultColWidth="9.33203125" defaultRowHeight="12.75"/>
  <cols>
    <col min="1" max="1" width="9.33203125" style="3"/>
    <col min="2" max="2" width="15" style="3" customWidth="1"/>
    <col min="3" max="4" width="27" style="3" customWidth="1"/>
    <col min="5" max="5" width="19.5" style="3" customWidth="1"/>
    <col min="6" max="6" width="17" style="3" customWidth="1"/>
    <col min="7" max="7" width="9.33203125" style="3" customWidth="1"/>
    <col min="8" max="8" width="15" style="39" hidden="1" customWidth="1"/>
    <col min="9" max="10" width="16.6640625" style="29" hidden="1" customWidth="1"/>
    <col min="11" max="11" width="11.1640625" style="3" hidden="1" customWidth="1"/>
    <col min="12" max="12" width="9.33203125" style="3" hidden="1" customWidth="1"/>
    <col min="13" max="13" width="9.33203125" style="46" hidden="1" customWidth="1"/>
    <col min="14" max="14" width="10.33203125" style="46" hidden="1" customWidth="1"/>
    <col min="15" max="15" width="13.83203125" style="46" hidden="1" customWidth="1"/>
    <col min="16" max="16" width="12.83203125" style="3" hidden="1" customWidth="1"/>
    <col min="17" max="17" width="13.33203125" style="3" hidden="1" customWidth="1"/>
    <col min="18" max="19" width="9.33203125" style="3" hidden="1" customWidth="1"/>
    <col min="20" max="16384" width="9.33203125" style="3"/>
  </cols>
  <sheetData>
    <row r="1" spans="2:18" ht="15.75" hidden="1">
      <c r="B1" s="1" t="s">
        <v>34</v>
      </c>
      <c r="C1" s="1"/>
      <c r="D1" s="1"/>
      <c r="H1" s="26"/>
    </row>
    <row r="2" spans="2:18" ht="5.25" customHeight="1">
      <c r="B2" s="1"/>
      <c r="C2" s="1"/>
      <c r="D2" s="1"/>
      <c r="H2" s="26"/>
    </row>
    <row r="3" spans="2:18" ht="15.75">
      <c r="B3" s="1" t="s">
        <v>52</v>
      </c>
      <c r="C3" s="1"/>
      <c r="D3" s="1"/>
      <c r="H3" s="26"/>
    </row>
    <row r="4" spans="2:18" ht="15.75">
      <c r="B4" s="1" t="s">
        <v>30</v>
      </c>
      <c r="C4" s="1"/>
      <c r="D4" s="1"/>
      <c r="H4" s="47" t="s">
        <v>29</v>
      </c>
    </row>
    <row r="5" spans="2:18" ht="15.75">
      <c r="B5" s="1" t="str">
        <f ca="1">'Table 1'!$B$5</f>
        <v>QF - Sch38 - UT - Solar T - 80.0 MW and 30.2% CF</v>
      </c>
      <c r="C5" s="1"/>
      <c r="D5" s="1"/>
      <c r="H5" s="48">
        <v>45930</v>
      </c>
    </row>
    <row r="6" spans="2:18">
      <c r="B6" s="10"/>
      <c r="C6" s="10"/>
      <c r="D6" s="10"/>
      <c r="H6" s="26"/>
    </row>
    <row r="7" spans="2:18" ht="14.25">
      <c r="B7" s="18"/>
      <c r="C7" s="25" t="s">
        <v>26</v>
      </c>
      <c r="D7" s="4"/>
      <c r="H7" s="26"/>
    </row>
    <row r="8" spans="2:18">
      <c r="B8" s="19"/>
      <c r="C8" s="13" t="s">
        <v>27</v>
      </c>
      <c r="D8" s="13" t="s">
        <v>27</v>
      </c>
      <c r="E8" s="13" t="s">
        <v>27</v>
      </c>
      <c r="F8" s="13" t="s">
        <v>27</v>
      </c>
      <c r="H8" s="26"/>
    </row>
    <row r="9" spans="2:18">
      <c r="B9" s="19" t="s">
        <v>0</v>
      </c>
      <c r="C9" s="19" t="str">
        <f>O16</f>
        <v>IRP - Utah Greenfield</v>
      </c>
      <c r="D9" s="19" t="str">
        <f>R16</f>
        <v>Naughton</v>
      </c>
      <c r="E9" s="19" t="str">
        <f>P15</f>
        <v>IRP West Side</v>
      </c>
      <c r="F9" s="19" t="str">
        <f>Q16</f>
        <v>IRP - Wyo NE</v>
      </c>
      <c r="H9" s="26"/>
    </row>
    <row r="10" spans="2:18">
      <c r="B10" s="20"/>
      <c r="C10" s="21" t="s">
        <v>21</v>
      </c>
      <c r="D10" s="21" t="s">
        <v>21</v>
      </c>
      <c r="E10" s="21" t="s">
        <v>21</v>
      </c>
      <c r="F10" s="21" t="s">
        <v>21</v>
      </c>
      <c r="H10" s="27"/>
      <c r="I10" s="46"/>
      <c r="J10" s="46"/>
    </row>
    <row r="11" spans="2:18" hidden="1">
      <c r="C11" s="5"/>
      <c r="D11" s="5"/>
      <c r="H11" s="27"/>
      <c r="I11" s="46"/>
      <c r="J11" s="46"/>
    </row>
    <row r="12" spans="2:18" hidden="1">
      <c r="C12" s="22"/>
      <c r="D12" s="22"/>
      <c r="H12" s="27"/>
      <c r="I12" s="46"/>
      <c r="J12" s="46"/>
    </row>
    <row r="13" spans="2:18" ht="6" customHeight="1">
      <c r="H13" s="49"/>
      <c r="I13" s="50"/>
      <c r="J13" s="50"/>
    </row>
    <row r="14" spans="2:18">
      <c r="B14" s="23"/>
      <c r="C14" s="24"/>
      <c r="D14" s="24"/>
      <c r="E14" s="24"/>
      <c r="F14" s="24"/>
      <c r="H14" s="51"/>
      <c r="I14" s="30"/>
      <c r="J14" s="30"/>
    </row>
    <row r="15" spans="2:18" ht="13.5" thickBot="1">
      <c r="B15" s="23"/>
      <c r="C15" s="24"/>
      <c r="D15" s="24"/>
      <c r="E15" s="24"/>
      <c r="F15" s="24"/>
      <c r="H15" s="27"/>
      <c r="I15" s="31" t="s">
        <v>56</v>
      </c>
      <c r="J15" s="31"/>
      <c r="K15" s="3" t="s">
        <v>57</v>
      </c>
      <c r="L15" s="3" t="s">
        <v>58</v>
      </c>
      <c r="P15" s="3" t="s">
        <v>57</v>
      </c>
      <c r="R15" s="3" t="s">
        <v>85</v>
      </c>
    </row>
    <row r="16" spans="2:18" ht="13.5" thickBot="1">
      <c r="B16" s="23"/>
      <c r="C16" s="24"/>
      <c r="D16" s="24"/>
      <c r="E16" s="24"/>
      <c r="F16" s="24"/>
      <c r="H16" s="27" t="s">
        <v>28</v>
      </c>
      <c r="I16" s="31" t="s">
        <v>27</v>
      </c>
      <c r="J16" s="3" t="s">
        <v>84</v>
      </c>
      <c r="K16" s="31" t="s">
        <v>27</v>
      </c>
      <c r="L16" s="31" t="s">
        <v>27</v>
      </c>
      <c r="M16" s="50" t="s">
        <v>0</v>
      </c>
      <c r="O16" s="52" t="s">
        <v>56</v>
      </c>
      <c r="P16" s="52" t="s">
        <v>75</v>
      </c>
      <c r="Q16" s="52" t="s">
        <v>58</v>
      </c>
      <c r="R16" s="3" t="s">
        <v>84</v>
      </c>
    </row>
    <row r="17" spans="2:18" ht="13.5" thickBot="1">
      <c r="B17" s="23">
        <v>2025</v>
      </c>
      <c r="C17" s="24">
        <f>ROUND(SUMIF($M$17:$M$379,$B17,$I$17:$I$379)/COUNTIF($M$17:$M$379,$B17),2)</f>
        <v>2.92</v>
      </c>
      <c r="D17" s="24">
        <f>ROUND(SUMIF($M$17:$M$379,$B17,$J$17:$J$379)/COUNTIF($M$17:$M$379,$B17),2)</f>
        <v>2.9</v>
      </c>
      <c r="E17" s="24">
        <f>ROUND(SUMIF($M$17:$M$379,$B17,$K$17:$K$379)/COUNTIF($M$17:$M$379,$B17),2)</f>
        <v>2.2599999999999998</v>
      </c>
      <c r="F17" s="24">
        <f>ROUND(SUMIF($M$17:$M$379,$B17,$L$17:$L$379)/COUNTIF($M$17:$M$379,$B17),2)</f>
        <v>2.83</v>
      </c>
      <c r="H17" s="28">
        <v>45658</v>
      </c>
      <c r="I17" s="32">
        <v>4.1297460368663588</v>
      </c>
      <c r="J17" s="32">
        <v>4.10123008624997</v>
      </c>
      <c r="K17" s="32">
        <v>3.6555262667644213</v>
      </c>
      <c r="L17" s="32">
        <v>4.1513385689718074</v>
      </c>
      <c r="M17" s="53">
        <f t="shared" ref="M17:M64" si="0">YEAR(H17)</f>
        <v>2025</v>
      </c>
      <c r="O17" s="54">
        <v>47</v>
      </c>
      <c r="P17" s="54">
        <v>43</v>
      </c>
      <c r="Q17" s="54">
        <v>46</v>
      </c>
      <c r="R17" s="54">
        <v>42</v>
      </c>
    </row>
    <row r="18" spans="2:18">
      <c r="B18" s="23">
        <f t="shared" ref="B18:B37" si="1">B17+1</f>
        <v>2026</v>
      </c>
      <c r="C18" s="24">
        <f t="shared" ref="C18:C37" si="2">ROUND(SUMIF($M$17:$M$379,$B18,$I$17:$I$379)/COUNTIF($M$17:$M$379,$B18),2)</f>
        <v>3.78</v>
      </c>
      <c r="D18" s="24">
        <f t="shared" ref="D18:D37" si="3">ROUND(SUMIF($M$17:$M$379,$B18,$J$17:$J$379)/COUNTIF($M$17:$M$379,$B18),2)</f>
        <v>3.76</v>
      </c>
      <c r="E18" s="24">
        <f t="shared" ref="E18:E37" si="4">ROUND(SUMIF($M$17:$M$379,$B18,$K$17:$K$379)/COUNTIF($M$17:$M$379,$B18),2)</f>
        <v>3.39</v>
      </c>
      <c r="F18" s="24">
        <f t="shared" ref="F18:F37" si="5">ROUND(SUMIF($M$17:$M$379,$B18,$L$17:$L$379)/COUNTIF($M$17:$M$379,$B18),2)</f>
        <v>3.46</v>
      </c>
      <c r="H18" s="28">
        <v>45689</v>
      </c>
      <c r="I18" s="32">
        <v>3.443492157434402</v>
      </c>
      <c r="J18" s="32">
        <v>3.4192469869653501</v>
      </c>
      <c r="K18" s="32">
        <v>3.2233611708638574</v>
      </c>
      <c r="L18" s="32">
        <v>3.4533184514193396</v>
      </c>
      <c r="M18" s="53">
        <f t="shared" si="0"/>
        <v>2025</v>
      </c>
    </row>
    <row r="19" spans="2:18">
      <c r="B19" s="23">
        <f t="shared" si="1"/>
        <v>2027</v>
      </c>
      <c r="C19" s="24">
        <f t="shared" si="2"/>
        <v>3.95</v>
      </c>
      <c r="D19" s="24">
        <f t="shared" si="3"/>
        <v>3.93</v>
      </c>
      <c r="E19" s="24">
        <f t="shared" si="4"/>
        <v>3.88</v>
      </c>
      <c r="F19" s="24">
        <f t="shared" si="5"/>
        <v>3.6</v>
      </c>
      <c r="H19" s="28">
        <v>45717</v>
      </c>
      <c r="I19" s="32">
        <v>2.6847822448979595</v>
      </c>
      <c r="J19" s="32">
        <v>2.6654832161574844</v>
      </c>
      <c r="K19" s="32">
        <v>2.0474585311048807</v>
      </c>
      <c r="L19" s="32">
        <v>2.7393968315180586</v>
      </c>
      <c r="M19" s="53">
        <f t="shared" si="0"/>
        <v>2025</v>
      </c>
    </row>
    <row r="20" spans="2:18">
      <c r="B20" s="23">
        <f t="shared" si="1"/>
        <v>2028</v>
      </c>
      <c r="C20" s="24">
        <f t="shared" si="2"/>
        <v>3.87</v>
      </c>
      <c r="D20" s="24">
        <f t="shared" si="3"/>
        <v>3.84</v>
      </c>
      <c r="E20" s="24">
        <f t="shared" si="4"/>
        <v>3.96</v>
      </c>
      <c r="F20" s="24">
        <f t="shared" si="5"/>
        <v>3.52</v>
      </c>
      <c r="H20" s="28">
        <v>45748</v>
      </c>
      <c r="I20" s="32">
        <v>1.9317602668759815</v>
      </c>
      <c r="J20" s="32">
        <v>1.9170211999819962</v>
      </c>
      <c r="K20" s="32">
        <v>1.5118890383309136</v>
      </c>
      <c r="L20" s="32">
        <v>1.9525419493807223</v>
      </c>
      <c r="M20" s="53">
        <f t="shared" si="0"/>
        <v>2025</v>
      </c>
    </row>
    <row r="21" spans="2:18">
      <c r="B21" s="23">
        <f t="shared" si="1"/>
        <v>2029</v>
      </c>
      <c r="C21" s="24">
        <f t="shared" si="2"/>
        <v>4.38</v>
      </c>
      <c r="D21" s="24">
        <f t="shared" si="3"/>
        <v>4.34</v>
      </c>
      <c r="E21" s="24">
        <f t="shared" si="4"/>
        <v>4.72</v>
      </c>
      <c r="F21" s="24">
        <f t="shared" si="5"/>
        <v>4.03</v>
      </c>
      <c r="H21" s="28">
        <v>45778</v>
      </c>
      <c r="I21" s="32">
        <v>2.1744269916855625</v>
      </c>
      <c r="J21" s="32">
        <v>2.1585423036028977</v>
      </c>
      <c r="K21" s="32">
        <v>1.6552630602698668</v>
      </c>
      <c r="L21" s="32">
        <v>2.1321153160664972</v>
      </c>
      <c r="M21" s="53">
        <f t="shared" si="0"/>
        <v>2025</v>
      </c>
    </row>
    <row r="22" spans="2:18">
      <c r="B22" s="23">
        <f t="shared" si="1"/>
        <v>2030</v>
      </c>
      <c r="C22" s="24">
        <f t="shared" si="2"/>
        <v>4.92</v>
      </c>
      <c r="D22" s="24">
        <f t="shared" si="3"/>
        <v>4.87</v>
      </c>
      <c r="E22" s="24">
        <f t="shared" si="4"/>
        <v>5.5</v>
      </c>
      <c r="F22" s="24">
        <f t="shared" si="5"/>
        <v>4.5599999999999996</v>
      </c>
      <c r="H22" s="28">
        <v>45809</v>
      </c>
      <c r="I22" s="32">
        <v>2.5624036382828996</v>
      </c>
      <c r="J22" s="32">
        <v>2.5442136000511963</v>
      </c>
      <c r="K22" s="32">
        <v>1.5088914891208824</v>
      </c>
      <c r="L22" s="32">
        <v>2.5501119547657516</v>
      </c>
      <c r="M22" s="53">
        <f t="shared" si="0"/>
        <v>2025</v>
      </c>
    </row>
    <row r="23" spans="2:18">
      <c r="B23" s="23">
        <f t="shared" si="1"/>
        <v>2031</v>
      </c>
      <c r="C23" s="24">
        <f t="shared" si="2"/>
        <v>5.13</v>
      </c>
      <c r="D23" s="24">
        <f t="shared" si="3"/>
        <v>5.08</v>
      </c>
      <c r="E23" s="24">
        <f t="shared" si="4"/>
        <v>5.74</v>
      </c>
      <c r="F23" s="24">
        <f t="shared" si="5"/>
        <v>4.7699999999999996</v>
      </c>
      <c r="H23" s="28">
        <v>45839</v>
      </c>
      <c r="I23" s="32">
        <v>2.829607317784256</v>
      </c>
      <c r="J23" s="32">
        <v>2.8097874915247272</v>
      </c>
      <c r="K23" s="32">
        <v>1.2684548898584111</v>
      </c>
      <c r="L23" s="32">
        <v>2.7788074313408742</v>
      </c>
      <c r="M23" s="53">
        <f t="shared" si="0"/>
        <v>2025</v>
      </c>
    </row>
    <row r="24" spans="2:18">
      <c r="B24" s="23">
        <f t="shared" si="1"/>
        <v>2032</v>
      </c>
      <c r="C24" s="24">
        <f t="shared" si="2"/>
        <v>5.2</v>
      </c>
      <c r="D24" s="24">
        <f t="shared" si="3"/>
        <v>5.15</v>
      </c>
      <c r="E24" s="24">
        <f t="shared" si="4"/>
        <v>5.83</v>
      </c>
      <c r="F24" s="24">
        <f t="shared" si="5"/>
        <v>4.84</v>
      </c>
      <c r="H24" s="28">
        <v>45870</v>
      </c>
      <c r="I24" s="32">
        <v>2.5406131486880477</v>
      </c>
      <c r="J24" s="32">
        <v>2.5223024728408858</v>
      </c>
      <c r="K24" s="32">
        <v>1.8307232909878983</v>
      </c>
      <c r="L24" s="32">
        <v>2.4723167335452616</v>
      </c>
      <c r="M24" s="53">
        <f t="shared" si="0"/>
        <v>2025</v>
      </c>
    </row>
    <row r="25" spans="2:18">
      <c r="B25" s="23">
        <f t="shared" si="1"/>
        <v>2033</v>
      </c>
      <c r="C25" s="24">
        <f t="shared" si="2"/>
        <v>5.28</v>
      </c>
      <c r="D25" s="24">
        <f t="shared" si="3"/>
        <v>5.22</v>
      </c>
      <c r="E25" s="24">
        <f t="shared" si="4"/>
        <v>5.89</v>
      </c>
      <c r="F25" s="24">
        <f t="shared" si="5"/>
        <v>4.91</v>
      </c>
      <c r="H25" s="28">
        <v>45901</v>
      </c>
      <c r="I25" s="32">
        <v>2.6151393877551019</v>
      </c>
      <c r="J25" s="32">
        <v>2.5965194443638895</v>
      </c>
      <c r="K25" s="32">
        <v>1.532272372959123</v>
      </c>
      <c r="L25" s="32">
        <v>2.572661766289714</v>
      </c>
      <c r="M25" s="53">
        <f t="shared" si="0"/>
        <v>2025</v>
      </c>
    </row>
    <row r="26" spans="2:18">
      <c r="B26" s="23">
        <f t="shared" si="1"/>
        <v>2034</v>
      </c>
      <c r="C26" s="24">
        <f t="shared" si="2"/>
        <v>5.4</v>
      </c>
      <c r="D26" s="24">
        <f t="shared" si="3"/>
        <v>5.35</v>
      </c>
      <c r="E26" s="24">
        <f t="shared" si="4"/>
        <v>6.05</v>
      </c>
      <c r="F26" s="24">
        <f t="shared" si="5"/>
        <v>5.04</v>
      </c>
      <c r="H26" s="28">
        <v>45931</v>
      </c>
      <c r="I26" s="32">
        <v>2.5347822448979591</v>
      </c>
      <c r="J26" s="32">
        <v>2.5072999999999999</v>
      </c>
      <c r="K26" s="32">
        <v>1.4961304939124647</v>
      </c>
      <c r="L26" s="32">
        <v>2.3294940226171246</v>
      </c>
      <c r="M26" s="53">
        <f t="shared" si="0"/>
        <v>2025</v>
      </c>
    </row>
    <row r="27" spans="2:18">
      <c r="B27" s="23">
        <f t="shared" si="1"/>
        <v>2035</v>
      </c>
      <c r="C27" s="24">
        <f t="shared" si="2"/>
        <v>5.56</v>
      </c>
      <c r="D27" s="24">
        <f t="shared" si="3"/>
        <v>5.5</v>
      </c>
      <c r="E27" s="24">
        <f t="shared" si="4"/>
        <v>6.2</v>
      </c>
      <c r="F27" s="24">
        <f t="shared" si="5"/>
        <v>5.19</v>
      </c>
      <c r="H27" s="28">
        <v>45962</v>
      </c>
      <c r="I27" s="32">
        <v>3.048965918367347</v>
      </c>
      <c r="J27" s="32">
        <v>3.0284</v>
      </c>
      <c r="K27" s="32">
        <v>2.8577715047821703</v>
      </c>
      <c r="L27" s="32">
        <v>2.7766870759289182</v>
      </c>
      <c r="M27" s="53">
        <f t="shared" si="0"/>
        <v>2025</v>
      </c>
    </row>
    <row r="28" spans="2:18">
      <c r="B28" s="23">
        <f t="shared" si="1"/>
        <v>2036</v>
      </c>
      <c r="C28" s="24">
        <f t="shared" si="2"/>
        <v>5.69</v>
      </c>
      <c r="D28" s="24">
        <f t="shared" si="3"/>
        <v>5.62</v>
      </c>
      <c r="E28" s="24">
        <f t="shared" si="4"/>
        <v>6.37</v>
      </c>
      <c r="F28" s="24">
        <f t="shared" si="5"/>
        <v>5.32</v>
      </c>
      <c r="H28" s="28">
        <v>45992</v>
      </c>
      <c r="I28" s="32">
        <v>4.587639387755102</v>
      </c>
      <c r="J28" s="32">
        <v>4.5571999999999999</v>
      </c>
      <c r="K28" s="32">
        <v>4.5159129546555068</v>
      </c>
      <c r="L28" s="32">
        <v>4.0027573505654281</v>
      </c>
      <c r="M28" s="53">
        <f t="shared" si="0"/>
        <v>2025</v>
      </c>
    </row>
    <row r="29" spans="2:18">
      <c r="B29" s="23">
        <f t="shared" si="1"/>
        <v>2037</v>
      </c>
      <c r="C29" s="24">
        <f t="shared" si="2"/>
        <v>5.85</v>
      </c>
      <c r="D29" s="24">
        <f t="shared" si="3"/>
        <v>5.78</v>
      </c>
      <c r="E29" s="24">
        <f t="shared" si="4"/>
        <v>6.54</v>
      </c>
      <c r="F29" s="24">
        <f t="shared" si="5"/>
        <v>5.47</v>
      </c>
      <c r="H29" s="28">
        <v>46023</v>
      </c>
      <c r="I29" s="32">
        <v>5.1323332653061229</v>
      </c>
      <c r="J29" s="32">
        <v>5.0983999999999998</v>
      </c>
      <c r="K29" s="32">
        <v>4.8093815867438483</v>
      </c>
      <c r="L29" s="32">
        <v>4.6624907915993541</v>
      </c>
      <c r="M29" s="53">
        <f t="shared" si="0"/>
        <v>2026</v>
      </c>
    </row>
    <row r="30" spans="2:18">
      <c r="B30" s="23">
        <f t="shared" si="1"/>
        <v>2038</v>
      </c>
      <c r="C30" s="24">
        <f t="shared" si="2"/>
        <v>6.03</v>
      </c>
      <c r="D30" s="24">
        <f t="shared" si="3"/>
        <v>5.96</v>
      </c>
      <c r="E30" s="24">
        <f t="shared" si="4"/>
        <v>6.75</v>
      </c>
      <c r="F30" s="24">
        <f t="shared" si="5"/>
        <v>5.65</v>
      </c>
      <c r="H30" s="28">
        <v>46054</v>
      </c>
      <c r="I30" s="32">
        <v>4.7614148979591837</v>
      </c>
      <c r="J30" s="32">
        <v>4.7298999999999998</v>
      </c>
      <c r="K30" s="32">
        <v>4.5048648447099637</v>
      </c>
      <c r="L30" s="32">
        <v>4.3513033925686591</v>
      </c>
      <c r="M30" s="53">
        <f t="shared" si="0"/>
        <v>2026</v>
      </c>
    </row>
    <row r="31" spans="2:18">
      <c r="B31" s="23">
        <f t="shared" si="1"/>
        <v>2039</v>
      </c>
      <c r="C31" s="24">
        <f t="shared" si="2"/>
        <v>6.24</v>
      </c>
      <c r="D31" s="24">
        <f t="shared" si="3"/>
        <v>6.17</v>
      </c>
      <c r="E31" s="24">
        <f t="shared" si="4"/>
        <v>6.99</v>
      </c>
      <c r="F31" s="24">
        <f t="shared" si="5"/>
        <v>5.87</v>
      </c>
      <c r="H31" s="28">
        <v>46082</v>
      </c>
      <c r="I31" s="32">
        <v>3.1625373469387754</v>
      </c>
      <c r="J31" s="32">
        <v>3.1412</v>
      </c>
      <c r="K31" s="32">
        <v>2.7379380517914482</v>
      </c>
      <c r="L31" s="32">
        <v>3.005382552504039</v>
      </c>
      <c r="M31" s="53">
        <f t="shared" si="0"/>
        <v>2026</v>
      </c>
    </row>
    <row r="32" spans="2:18">
      <c r="B32" s="23">
        <f t="shared" si="1"/>
        <v>2040</v>
      </c>
      <c r="C32" s="24">
        <f t="shared" si="2"/>
        <v>6.49</v>
      </c>
      <c r="D32" s="24">
        <f t="shared" si="3"/>
        <v>6.41</v>
      </c>
      <c r="E32" s="24">
        <f t="shared" si="4"/>
        <v>7.28</v>
      </c>
      <c r="F32" s="24">
        <f t="shared" si="5"/>
        <v>6.12</v>
      </c>
      <c r="H32" s="28">
        <v>46113</v>
      </c>
      <c r="I32" s="32">
        <v>2.8584557142857143</v>
      </c>
      <c r="J32" s="32">
        <v>2.8391000000000002</v>
      </c>
      <c r="K32" s="32">
        <v>2.3493015144977818</v>
      </c>
      <c r="L32" s="32">
        <v>2.7025756058158326</v>
      </c>
      <c r="M32" s="53">
        <f t="shared" si="0"/>
        <v>2026</v>
      </c>
    </row>
    <row r="33" spans="2:13">
      <c r="B33" s="23">
        <f t="shared" si="1"/>
        <v>2041</v>
      </c>
      <c r="C33" s="24">
        <f t="shared" si="2"/>
        <v>6.71</v>
      </c>
      <c r="D33" s="24">
        <f t="shared" si="3"/>
        <v>6.62</v>
      </c>
      <c r="E33" s="24">
        <f t="shared" si="4"/>
        <v>7.53</v>
      </c>
      <c r="F33" s="24">
        <f t="shared" si="5"/>
        <v>6.33</v>
      </c>
      <c r="H33" s="28">
        <v>46143</v>
      </c>
      <c r="I33" s="32">
        <v>2.6971291836734692</v>
      </c>
      <c r="J33" s="32">
        <v>2.6787999999999998</v>
      </c>
      <c r="K33" s="32">
        <v>2.1169314997361841</v>
      </c>
      <c r="L33" s="32">
        <v>2.6168526655896613</v>
      </c>
      <c r="M33" s="53">
        <f t="shared" si="0"/>
        <v>2026</v>
      </c>
    </row>
    <row r="34" spans="2:13">
      <c r="B34" s="23">
        <f t="shared" si="1"/>
        <v>2042</v>
      </c>
      <c r="C34" s="24">
        <f t="shared" si="2"/>
        <v>7.06</v>
      </c>
      <c r="D34" s="24">
        <f t="shared" si="3"/>
        <v>6.97</v>
      </c>
      <c r="E34" s="24">
        <f t="shared" si="4"/>
        <v>7.91</v>
      </c>
      <c r="F34" s="24">
        <f t="shared" si="5"/>
        <v>6.68</v>
      </c>
      <c r="H34" s="28">
        <v>46174</v>
      </c>
      <c r="I34" s="32">
        <v>2.9131495918367345</v>
      </c>
      <c r="J34" s="32">
        <v>2.8934000000000002</v>
      </c>
      <c r="K34" s="32">
        <v>2.2981205028430818</v>
      </c>
      <c r="L34" s="32">
        <v>2.7621474959612282</v>
      </c>
      <c r="M34" s="53">
        <f t="shared" si="0"/>
        <v>2026</v>
      </c>
    </row>
    <row r="35" spans="2:13">
      <c r="B35" s="23">
        <f t="shared" si="1"/>
        <v>2043</v>
      </c>
      <c r="C35" s="24">
        <f t="shared" si="2"/>
        <v>7.4</v>
      </c>
      <c r="D35" s="24">
        <f t="shared" si="3"/>
        <v>7.3</v>
      </c>
      <c r="E35" s="24">
        <f t="shared" si="4"/>
        <v>8.2799999999999994</v>
      </c>
      <c r="F35" s="24">
        <f t="shared" si="5"/>
        <v>7.01</v>
      </c>
      <c r="H35" s="28">
        <v>46204</v>
      </c>
      <c r="I35" s="32">
        <v>3.5516189795918369</v>
      </c>
      <c r="J35" s="32">
        <v>3.5278</v>
      </c>
      <c r="K35" s="32">
        <v>2.9092094492263008</v>
      </c>
      <c r="L35" s="32">
        <v>3.3129350565428117</v>
      </c>
      <c r="M35" s="53">
        <f t="shared" si="0"/>
        <v>2026</v>
      </c>
    </row>
    <row r="36" spans="2:13">
      <c r="B36" s="23">
        <f t="shared" si="1"/>
        <v>2044</v>
      </c>
      <c r="C36" s="24">
        <f t="shared" si="2"/>
        <v>7.73</v>
      </c>
      <c r="D36" s="24">
        <f t="shared" si="3"/>
        <v>7.62</v>
      </c>
      <c r="E36" s="24">
        <f t="shared" si="4"/>
        <v>8.64</v>
      </c>
      <c r="F36" s="24">
        <f t="shared" si="5"/>
        <v>7.34</v>
      </c>
      <c r="H36" s="28">
        <v>46235</v>
      </c>
      <c r="I36" s="32">
        <v>3.6714148979591839</v>
      </c>
      <c r="J36" s="32">
        <v>3.6467999999999998</v>
      </c>
      <c r="K36" s="32">
        <v>3.0596179041593383</v>
      </c>
      <c r="L36" s="32">
        <v>3.3791709208400653</v>
      </c>
      <c r="M36" s="53">
        <f t="shared" si="0"/>
        <v>2026</v>
      </c>
    </row>
    <row r="37" spans="2:13">
      <c r="B37" s="23">
        <f t="shared" si="1"/>
        <v>2045</v>
      </c>
      <c r="C37" s="24">
        <f t="shared" si="2"/>
        <v>8.0500000000000007</v>
      </c>
      <c r="D37" s="24">
        <f t="shared" si="3"/>
        <v>7.94</v>
      </c>
      <c r="E37" s="24">
        <f t="shared" si="4"/>
        <v>9.01</v>
      </c>
      <c r="F37" s="24">
        <f t="shared" si="5"/>
        <v>7.66</v>
      </c>
      <c r="H37" s="28">
        <v>46266</v>
      </c>
      <c r="I37" s="32">
        <v>3.5228434693877553</v>
      </c>
      <c r="J37" s="32">
        <v>3.4992000000000001</v>
      </c>
      <c r="K37" s="32">
        <v>2.9525797040822916</v>
      </c>
      <c r="L37" s="32">
        <v>3.2165093699515355</v>
      </c>
      <c r="M37" s="53">
        <f t="shared" si="0"/>
        <v>2026</v>
      </c>
    </row>
    <row r="38" spans="2:13">
      <c r="B38" s="23"/>
      <c r="C38" s="24"/>
      <c r="D38" s="24"/>
      <c r="E38" s="24"/>
      <c r="F38" s="24"/>
      <c r="H38" s="28">
        <v>46296</v>
      </c>
      <c r="I38" s="32">
        <v>3.3964148979591835</v>
      </c>
      <c r="J38" s="32">
        <v>3.3736000000000002</v>
      </c>
      <c r="K38" s="32">
        <v>2.8875757083561924</v>
      </c>
      <c r="L38" s="32">
        <v>3.2353906300484661</v>
      </c>
      <c r="M38" s="53">
        <f t="shared" si="0"/>
        <v>2026</v>
      </c>
    </row>
    <row r="39" spans="2:13" hidden="1">
      <c r="B39" s="23"/>
      <c r="C39" s="24"/>
      <c r="D39" s="24"/>
      <c r="E39" s="24"/>
      <c r="F39" s="24"/>
      <c r="H39" s="28">
        <v>46327</v>
      </c>
      <c r="I39" s="32">
        <v>4.1817210204081636</v>
      </c>
      <c r="J39" s="32">
        <v>4.1539000000000001</v>
      </c>
      <c r="K39" s="32">
        <v>4.2757835696530853</v>
      </c>
      <c r="L39" s="32">
        <v>3.618367205169629</v>
      </c>
      <c r="M39" s="53">
        <f t="shared" si="0"/>
        <v>2026</v>
      </c>
    </row>
    <row r="40" spans="2:13" hidden="1">
      <c r="B40" s="23"/>
      <c r="C40" s="24"/>
      <c r="D40" s="24"/>
      <c r="E40" s="24"/>
      <c r="F40" s="24"/>
      <c r="H40" s="28">
        <v>46357</v>
      </c>
      <c r="I40" s="32">
        <v>5.5694761224489797</v>
      </c>
      <c r="J40" s="32">
        <v>5.5327999999999999</v>
      </c>
      <c r="K40" s="32">
        <v>5.7190778210040341</v>
      </c>
      <c r="L40" s="32">
        <v>4.6835933764135707</v>
      </c>
      <c r="M40" s="53">
        <f t="shared" si="0"/>
        <v>2026</v>
      </c>
    </row>
    <row r="41" spans="2:13" hidden="1">
      <c r="B41" s="23"/>
      <c r="C41" s="24"/>
      <c r="D41" s="24"/>
      <c r="E41" s="24"/>
      <c r="F41" s="24"/>
      <c r="H41" s="28">
        <v>46388</v>
      </c>
      <c r="I41" s="32">
        <v>5.9490679591836733</v>
      </c>
      <c r="J41" s="32">
        <v>5.9099000000000004</v>
      </c>
      <c r="K41" s="32">
        <v>6.1514957056167807</v>
      </c>
      <c r="L41" s="32">
        <v>5.2308470113085628</v>
      </c>
      <c r="M41" s="53">
        <f t="shared" si="0"/>
        <v>2027</v>
      </c>
    </row>
    <row r="42" spans="2:13" hidden="1">
      <c r="B42" s="23"/>
      <c r="C42" s="24"/>
      <c r="D42" s="24"/>
      <c r="E42" s="24"/>
      <c r="F42" s="24"/>
      <c r="H42" s="28">
        <v>46419</v>
      </c>
      <c r="I42" s="32">
        <v>5.3403944897959184</v>
      </c>
      <c r="J42" s="32">
        <v>5.3052000000000001</v>
      </c>
      <c r="K42" s="32">
        <v>5.3811084297862033</v>
      </c>
      <c r="L42" s="32">
        <v>4.8809883683360269</v>
      </c>
      <c r="M42" s="53">
        <f t="shared" si="0"/>
        <v>2027</v>
      </c>
    </row>
    <row r="43" spans="2:13" hidden="1">
      <c r="B43" s="23"/>
      <c r="C43" s="24"/>
      <c r="D43" s="24"/>
      <c r="E43" s="24"/>
      <c r="F43" s="24"/>
      <c r="H43" s="28">
        <v>46447</v>
      </c>
      <c r="I43" s="32">
        <v>3.5194761224489794</v>
      </c>
      <c r="J43" s="32">
        <v>3.4958999999999998</v>
      </c>
      <c r="K43" s="32">
        <v>3.6697818925006054</v>
      </c>
      <c r="L43" s="32">
        <v>3.3669536348949927</v>
      </c>
      <c r="M43" s="53">
        <f t="shared" si="0"/>
        <v>2027</v>
      </c>
    </row>
    <row r="44" spans="2:13" hidden="1">
      <c r="B44" s="23"/>
      <c r="C44" s="24"/>
      <c r="D44" s="24"/>
      <c r="E44" s="24"/>
      <c r="F44" s="24"/>
      <c r="H44" s="28">
        <v>46478</v>
      </c>
      <c r="I44" s="32">
        <v>2.8893740816326532</v>
      </c>
      <c r="J44" s="32">
        <v>2.8698000000000001</v>
      </c>
      <c r="K44" s="32">
        <v>2.6471893905643404</v>
      </c>
      <c r="L44" s="32">
        <v>2.7510408723747983</v>
      </c>
      <c r="M44" s="53">
        <f t="shared" si="0"/>
        <v>2027</v>
      </c>
    </row>
    <row r="45" spans="2:13" hidden="1">
      <c r="B45" s="23"/>
      <c r="C45" s="24"/>
      <c r="D45" s="24"/>
      <c r="E45" s="24"/>
      <c r="F45" s="24"/>
      <c r="H45" s="28">
        <v>46508</v>
      </c>
      <c r="I45" s="32">
        <v>2.8230475510204083</v>
      </c>
      <c r="J45" s="32">
        <v>2.8039000000000001</v>
      </c>
      <c r="K45" s="32">
        <v>2.5418469468975391</v>
      </c>
      <c r="L45" s="32">
        <v>2.6828865912762523</v>
      </c>
      <c r="M45" s="53">
        <f t="shared" si="0"/>
        <v>2027</v>
      </c>
    </row>
    <row r="46" spans="2:13" hidden="1">
      <c r="B46" s="23"/>
      <c r="C46" s="24"/>
      <c r="D46" s="24"/>
      <c r="E46" s="24"/>
      <c r="F46" s="24"/>
      <c r="H46" s="28">
        <v>46539</v>
      </c>
      <c r="I46" s="32">
        <v>2.9618230612244894</v>
      </c>
      <c r="J46" s="32">
        <v>2.9418000000000002</v>
      </c>
      <c r="K46" s="32">
        <v>2.6758630898648654</v>
      </c>
      <c r="L46" s="32">
        <v>2.8555441033925693</v>
      </c>
      <c r="M46" s="53">
        <f t="shared" si="0"/>
        <v>2027</v>
      </c>
    </row>
    <row r="47" spans="2:13" hidden="1">
      <c r="B47" s="23"/>
      <c r="C47" s="24"/>
      <c r="D47" s="24"/>
      <c r="E47" s="24"/>
      <c r="F47" s="24"/>
      <c r="H47" s="28">
        <v>46569</v>
      </c>
      <c r="I47" s="32">
        <v>3.6097822448979593</v>
      </c>
      <c r="J47" s="32">
        <v>3.5855999999999999</v>
      </c>
      <c r="K47" s="32">
        <v>3.1473347584711577</v>
      </c>
      <c r="L47" s="32">
        <v>3.277090953150243</v>
      </c>
      <c r="M47" s="53">
        <f t="shared" si="0"/>
        <v>2027</v>
      </c>
    </row>
    <row r="48" spans="2:13" hidden="1">
      <c r="B48" s="23"/>
      <c r="C48" s="24"/>
      <c r="D48" s="24"/>
      <c r="E48" s="24"/>
      <c r="F48" s="24"/>
      <c r="H48" s="28">
        <v>46600</v>
      </c>
      <c r="I48" s="32">
        <v>3.6602924489795918</v>
      </c>
      <c r="J48" s="32">
        <v>3.6358000000000001</v>
      </c>
      <c r="K48" s="32">
        <v>3.2290393855102866</v>
      </c>
      <c r="L48" s="32">
        <v>3.3548373182552513</v>
      </c>
      <c r="M48" s="53">
        <f t="shared" si="0"/>
        <v>2027</v>
      </c>
    </row>
    <row r="49" spans="2:15" hidden="1">
      <c r="H49" s="28">
        <v>46631</v>
      </c>
      <c r="I49" s="32">
        <v>3.602129183673469</v>
      </c>
      <c r="J49" s="32">
        <v>3.5779999999999998</v>
      </c>
      <c r="K49" s="32">
        <v>3.1833053489915288</v>
      </c>
      <c r="L49" s="32">
        <v>3.254372859450728</v>
      </c>
      <c r="M49" s="53">
        <f t="shared" si="0"/>
        <v>2027</v>
      </c>
      <c r="N49" s="3"/>
      <c r="O49" s="3"/>
    </row>
    <row r="50" spans="2:15" hidden="1">
      <c r="H50" s="28">
        <v>46661</v>
      </c>
      <c r="I50" s="32">
        <v>3.3000883673469388</v>
      </c>
      <c r="J50" s="32">
        <v>3.2778999999999998</v>
      </c>
      <c r="K50" s="32">
        <v>3.0775518128616377</v>
      </c>
      <c r="L50" s="32">
        <v>3.2861781906300491</v>
      </c>
      <c r="M50" s="53">
        <f t="shared" si="0"/>
        <v>2027</v>
      </c>
      <c r="N50" s="3"/>
      <c r="O50" s="3"/>
    </row>
    <row r="51" spans="2:15">
      <c r="H51" s="28">
        <v>46692</v>
      </c>
      <c r="I51" s="32">
        <v>4.1623332653061231</v>
      </c>
      <c r="J51" s="32">
        <v>4.1345999999999998</v>
      </c>
      <c r="K51" s="32">
        <v>4.5574846799854782</v>
      </c>
      <c r="L51" s="32">
        <v>3.6092799676898228</v>
      </c>
      <c r="M51" s="53">
        <f t="shared" si="0"/>
        <v>2027</v>
      </c>
      <c r="N51" s="3"/>
      <c r="O51" s="3"/>
    </row>
    <row r="52" spans="2:15">
      <c r="H52" s="28">
        <v>46722</v>
      </c>
      <c r="I52" s="32">
        <v>5.6312108163265311</v>
      </c>
      <c r="J52" s="32">
        <v>5.5941000000000001</v>
      </c>
      <c r="K52" s="32">
        <v>6.2816578567426387</v>
      </c>
      <c r="L52" s="32">
        <v>4.5957500807754457</v>
      </c>
      <c r="M52" s="53">
        <f t="shared" si="0"/>
        <v>2027</v>
      </c>
      <c r="N52" s="3"/>
      <c r="O52" s="3"/>
    </row>
    <row r="53" spans="2:15">
      <c r="B53" s="55" t="str">
        <f>"Official Forward Price Curve Forecast dated   "&amp;TEXT(H5,"MMM dd, YYYY")</f>
        <v>Official Forward Price Curve Forecast dated   Sep 30, 2025</v>
      </c>
      <c r="H53" s="28">
        <v>46753</v>
      </c>
      <c r="I53" s="32">
        <v>6.0123332653061228</v>
      </c>
      <c r="J53" s="32">
        <v>5.9728000000000003</v>
      </c>
      <c r="K53" s="32">
        <v>6.5537496807503022</v>
      </c>
      <c r="L53" s="32">
        <v>5.2126725363489506</v>
      </c>
      <c r="M53" s="53">
        <f t="shared" si="0"/>
        <v>2028</v>
      </c>
      <c r="N53" s="3"/>
      <c r="O53" s="3"/>
    </row>
    <row r="54" spans="2:15">
      <c r="H54" s="28">
        <v>46784</v>
      </c>
      <c r="I54" s="32">
        <v>5.2403944897959187</v>
      </c>
      <c r="J54" s="32">
        <v>5.2058</v>
      </c>
      <c r="K54" s="32">
        <v>5.6812059278418712</v>
      </c>
      <c r="L54" s="32">
        <v>4.8022323101777067</v>
      </c>
      <c r="M54" s="53">
        <f t="shared" si="0"/>
        <v>2028</v>
      </c>
      <c r="N54" s="3"/>
      <c r="O54" s="3"/>
    </row>
    <row r="55" spans="2:15">
      <c r="H55" s="28">
        <v>46813</v>
      </c>
      <c r="I55" s="32">
        <v>3.3812108163265302</v>
      </c>
      <c r="J55" s="32">
        <v>3.3584999999999998</v>
      </c>
      <c r="K55" s="32">
        <v>3.6943446671702298</v>
      </c>
      <c r="L55" s="32">
        <v>3.3285852988691444</v>
      </c>
      <c r="M55" s="53">
        <f t="shared" si="0"/>
        <v>2028</v>
      </c>
      <c r="N55" s="3"/>
      <c r="O55" s="3"/>
    </row>
    <row r="56" spans="2:15">
      <c r="H56" s="28">
        <v>46844</v>
      </c>
      <c r="I56" s="32">
        <v>2.7210067346938773</v>
      </c>
      <c r="J56" s="32">
        <v>2.7025000000000001</v>
      </c>
      <c r="K56" s="32">
        <v>2.6594193913412671</v>
      </c>
      <c r="L56" s="32">
        <v>2.6475473344103402</v>
      </c>
      <c r="M56" s="53">
        <f t="shared" si="0"/>
        <v>2028</v>
      </c>
      <c r="N56" s="3"/>
      <c r="O56" s="3"/>
    </row>
    <row r="57" spans="2:15">
      <c r="H57" s="28">
        <v>46874</v>
      </c>
      <c r="I57" s="32">
        <v>2.7138638775510202</v>
      </c>
      <c r="J57" s="32">
        <v>2.6953999999999998</v>
      </c>
      <c r="K57" s="32">
        <v>2.5353208540459864</v>
      </c>
      <c r="L57" s="32">
        <v>2.5445586429725369</v>
      </c>
      <c r="M57" s="53">
        <f t="shared" si="0"/>
        <v>2028</v>
      </c>
      <c r="N57" s="3"/>
      <c r="O57" s="3"/>
    </row>
    <row r="58" spans="2:15">
      <c r="H58" s="28">
        <v>46905</v>
      </c>
      <c r="I58" s="32">
        <v>2.8526393877551022</v>
      </c>
      <c r="J58" s="32">
        <v>2.8332999999999999</v>
      </c>
      <c r="K58" s="32">
        <v>2.6834169138741428</v>
      </c>
      <c r="L58" s="32">
        <v>2.7121676898222944</v>
      </c>
      <c r="M58" s="53">
        <f t="shared" si="0"/>
        <v>2028</v>
      </c>
      <c r="N58" s="3"/>
      <c r="O58" s="3"/>
    </row>
    <row r="59" spans="2:15">
      <c r="H59" s="28">
        <v>46935</v>
      </c>
      <c r="I59" s="32">
        <v>3.4159046938775508</v>
      </c>
      <c r="J59" s="32">
        <v>3.3929999999999998</v>
      </c>
      <c r="K59" s="32">
        <v>3.1139334958450986</v>
      </c>
      <c r="L59" s="32">
        <v>3.1104915993537974</v>
      </c>
      <c r="M59" s="53">
        <f t="shared" si="0"/>
        <v>2028</v>
      </c>
      <c r="N59" s="3"/>
      <c r="O59" s="3"/>
    </row>
    <row r="60" spans="2:15">
      <c r="H60" s="28">
        <v>46966</v>
      </c>
      <c r="I60" s="32">
        <v>3.47151693877551</v>
      </c>
      <c r="J60" s="32">
        <v>3.4481999999999999</v>
      </c>
      <c r="K60" s="32">
        <v>3.1789374915711983</v>
      </c>
      <c r="L60" s="32">
        <v>3.1781410339256873</v>
      </c>
      <c r="M60" s="53">
        <f t="shared" si="0"/>
        <v>2028</v>
      </c>
      <c r="N60" s="3"/>
      <c r="O60" s="3"/>
    </row>
    <row r="61" spans="2:15">
      <c r="H61" s="28">
        <v>46997</v>
      </c>
      <c r="I61" s="32">
        <v>3.4148842857142854</v>
      </c>
      <c r="J61" s="32">
        <v>3.3919000000000001</v>
      </c>
      <c r="K61" s="32">
        <v>3.1507776578495359</v>
      </c>
      <c r="L61" s="32">
        <v>3.1498696284329566</v>
      </c>
      <c r="M61" s="53">
        <f t="shared" si="0"/>
        <v>2028</v>
      </c>
      <c r="N61" s="3"/>
      <c r="O61" s="3"/>
    </row>
    <row r="62" spans="2:15">
      <c r="H62" s="28">
        <v>47027</v>
      </c>
      <c r="I62" s="32">
        <v>3.2108026530612244</v>
      </c>
      <c r="J62" s="32">
        <v>3.1892</v>
      </c>
      <c r="K62" s="32">
        <v>3.1218984123174667</v>
      </c>
      <c r="L62" s="32">
        <v>3.1473453957996775</v>
      </c>
      <c r="M62" s="53">
        <f t="shared" si="0"/>
        <v>2028</v>
      </c>
      <c r="N62" s="3"/>
      <c r="O62" s="3"/>
    </row>
    <row r="63" spans="2:15">
      <c r="H63" s="28">
        <v>47058</v>
      </c>
      <c r="I63" s="32">
        <v>4.5983536734693882</v>
      </c>
      <c r="J63" s="32">
        <v>4.5618999999999996</v>
      </c>
      <c r="K63" s="32">
        <v>5.0706822335954014</v>
      </c>
      <c r="L63" s="32">
        <v>4.0407218093699528</v>
      </c>
      <c r="M63" s="53">
        <f t="shared" si="0"/>
        <v>2028</v>
      </c>
      <c r="N63" s="3"/>
      <c r="O63" s="3"/>
    </row>
    <row r="64" spans="2:15">
      <c r="H64" s="28">
        <v>47088</v>
      </c>
      <c r="I64" s="32">
        <v>5.3962108163265308</v>
      </c>
      <c r="J64" s="32">
        <v>5.3638000000000003</v>
      </c>
      <c r="K64" s="32">
        <v>6.0936858279947552</v>
      </c>
      <c r="L64" s="32">
        <v>4.3632177705977391</v>
      </c>
      <c r="M64" s="53">
        <f t="shared" si="0"/>
        <v>2028</v>
      </c>
      <c r="N64" s="3"/>
      <c r="O64" s="3"/>
    </row>
    <row r="65" spans="8:15">
      <c r="H65" s="28">
        <v>47119</v>
      </c>
      <c r="I65" s="32">
        <v>5.7301904081632662</v>
      </c>
      <c r="J65" s="32">
        <v>5.6962999999999999</v>
      </c>
      <c r="K65" s="32">
        <v>6.3613070214663177</v>
      </c>
      <c r="L65" s="32">
        <v>4.9334924071082398</v>
      </c>
      <c r="M65" s="53">
        <f t="shared" ref="M65:M112" si="6">YEAR(H65)</f>
        <v>2029</v>
      </c>
      <c r="N65" s="3"/>
      <c r="O65" s="3"/>
    </row>
    <row r="66" spans="8:15">
      <c r="H66" s="28">
        <v>47150</v>
      </c>
      <c r="I66" s="32">
        <v>5.285190408163265</v>
      </c>
      <c r="J66" s="32">
        <v>5.2496999999999998</v>
      </c>
      <c r="K66" s="32">
        <v>5.8356739208479222</v>
      </c>
      <c r="L66" s="32">
        <v>4.8465578352180954</v>
      </c>
      <c r="M66" s="53">
        <f t="shared" si="6"/>
        <v>2029</v>
      </c>
      <c r="N66" s="3"/>
      <c r="O66" s="3"/>
    </row>
    <row r="67" spans="8:15">
      <c r="H67" s="28">
        <v>47178</v>
      </c>
      <c r="I67" s="32">
        <v>4.0534557142857146</v>
      </c>
      <c r="J67" s="32">
        <v>4.0172999999999996</v>
      </c>
      <c r="K67" s="32">
        <v>4.4564073206232342</v>
      </c>
      <c r="L67" s="32">
        <v>3.9937710823909542</v>
      </c>
      <c r="M67" s="53">
        <f t="shared" si="6"/>
        <v>2029</v>
      </c>
      <c r="N67" s="3"/>
      <c r="O67" s="3"/>
    </row>
    <row r="68" spans="8:15">
      <c r="H68" s="28">
        <v>47209</v>
      </c>
      <c r="I68" s="32">
        <v>3.5890679591836734</v>
      </c>
      <c r="J68" s="32">
        <v>3.5531999999999999</v>
      </c>
      <c r="K68" s="32">
        <v>3.7921332868277533</v>
      </c>
      <c r="L68" s="32">
        <v>3.5064932148626826</v>
      </c>
      <c r="M68" s="53">
        <f t="shared" si="6"/>
        <v>2029</v>
      </c>
      <c r="N68" s="3"/>
      <c r="O68" s="3"/>
    </row>
    <row r="69" spans="8:15">
      <c r="H69" s="28">
        <v>47239</v>
      </c>
      <c r="I69" s="32">
        <v>3.5720271428571428</v>
      </c>
      <c r="J69" s="32">
        <v>3.5364</v>
      </c>
      <c r="K69" s="32">
        <v>3.7168519795244048</v>
      </c>
      <c r="L69" s="32">
        <v>3.3937105008077553</v>
      </c>
      <c r="M69" s="53">
        <f t="shared" si="6"/>
        <v>2029</v>
      </c>
      <c r="N69" s="3"/>
      <c r="O69" s="3"/>
    </row>
    <row r="70" spans="8:15">
      <c r="H70" s="28">
        <v>47270</v>
      </c>
      <c r="I70" s="32">
        <v>3.6619251020408163</v>
      </c>
      <c r="J70" s="32">
        <v>3.6263999999999998</v>
      </c>
      <c r="K70" s="32">
        <v>3.8141267336030662</v>
      </c>
      <c r="L70" s="32">
        <v>3.5129552504038779</v>
      </c>
      <c r="M70" s="53">
        <f t="shared" si="6"/>
        <v>2029</v>
      </c>
      <c r="N70" s="3"/>
      <c r="O70" s="3"/>
    </row>
    <row r="71" spans="8:15">
      <c r="H71" s="28">
        <v>47300</v>
      </c>
      <c r="I71" s="32">
        <v>4.0500883673469392</v>
      </c>
      <c r="J71" s="32">
        <v>4.0145</v>
      </c>
      <c r="K71" s="32">
        <v>4.1752200758697047</v>
      </c>
      <c r="L71" s="32">
        <v>3.7380158319870764</v>
      </c>
      <c r="M71" s="53">
        <f t="shared" si="6"/>
        <v>2029</v>
      </c>
      <c r="N71" s="3"/>
      <c r="O71" s="3"/>
    </row>
    <row r="72" spans="8:15">
      <c r="H72" s="28">
        <v>47331</v>
      </c>
      <c r="I72" s="32">
        <v>4.1515169387755106</v>
      </c>
      <c r="J72" s="32">
        <v>4.1147</v>
      </c>
      <c r="K72" s="32">
        <v>4.2864205871355381</v>
      </c>
      <c r="L72" s="32">
        <v>3.8510004846526664</v>
      </c>
      <c r="M72" s="53">
        <f t="shared" si="6"/>
        <v>2029</v>
      </c>
      <c r="N72" s="3"/>
      <c r="O72" s="3"/>
    </row>
    <row r="73" spans="8:15">
      <c r="H73" s="28">
        <v>47362</v>
      </c>
      <c r="I73" s="32">
        <v>4.1630475510204086</v>
      </c>
      <c r="J73" s="32">
        <v>4.1252000000000004</v>
      </c>
      <c r="K73" s="32">
        <v>4.3414555906317052</v>
      </c>
      <c r="L73" s="32">
        <v>3.8901765751211639</v>
      </c>
      <c r="M73" s="53">
        <f t="shared" si="6"/>
        <v>2029</v>
      </c>
      <c r="N73" s="3"/>
      <c r="O73" s="3"/>
    </row>
    <row r="74" spans="8:15">
      <c r="H74" s="28">
        <v>47392</v>
      </c>
      <c r="I74" s="32">
        <v>4.1084557142857143</v>
      </c>
      <c r="J74" s="32">
        <v>4.0689000000000002</v>
      </c>
      <c r="K74" s="32">
        <v>4.3466970195361032</v>
      </c>
      <c r="L74" s="32">
        <v>4.0355723747980621</v>
      </c>
      <c r="M74" s="53">
        <f t="shared" si="6"/>
        <v>2029</v>
      </c>
      <c r="N74" s="3"/>
      <c r="O74" s="3"/>
    </row>
    <row r="75" spans="8:15">
      <c r="H75" s="28">
        <v>47423</v>
      </c>
      <c r="I75" s="32">
        <v>5.0343740816326532</v>
      </c>
      <c r="J75" s="32">
        <v>4.9892000000000003</v>
      </c>
      <c r="K75" s="32">
        <v>5.5839311737632116</v>
      </c>
      <c r="L75" s="32">
        <v>4.4721636510500815</v>
      </c>
      <c r="M75" s="53">
        <f t="shared" si="6"/>
        <v>2029</v>
      </c>
      <c r="N75" s="3"/>
      <c r="O75" s="3"/>
    </row>
    <row r="76" spans="8:15">
      <c r="H76" s="28">
        <v>47453</v>
      </c>
      <c r="I76" s="32">
        <v>5.1612108163265304</v>
      </c>
      <c r="J76" s="32">
        <v>5.1334999999999997</v>
      </c>
      <c r="K76" s="32">
        <v>5.9057651858047606</v>
      </c>
      <c r="L76" s="32">
        <v>4.1306854604200325</v>
      </c>
      <c r="M76" s="53">
        <f t="shared" si="6"/>
        <v>2029</v>
      </c>
      <c r="N76" s="3"/>
      <c r="O76" s="3"/>
    </row>
    <row r="77" spans="8:15">
      <c r="H77" s="28">
        <v>47484</v>
      </c>
      <c r="I77" s="32">
        <v>5.4481495918367351</v>
      </c>
      <c r="J77" s="32">
        <v>5.4199000000000002</v>
      </c>
      <c r="K77" s="32">
        <v>6.1689157487402166</v>
      </c>
      <c r="L77" s="32">
        <v>4.6544132471728599</v>
      </c>
      <c r="M77" s="53">
        <f t="shared" si="6"/>
        <v>2030</v>
      </c>
      <c r="N77" s="3"/>
      <c r="O77" s="3"/>
    </row>
    <row r="78" spans="8:15">
      <c r="H78" s="28">
        <v>47515</v>
      </c>
      <c r="I78" s="32">
        <v>5.3299863265306122</v>
      </c>
      <c r="J78" s="32">
        <v>5.2935999999999996</v>
      </c>
      <c r="K78" s="32">
        <v>5.9901933004118595</v>
      </c>
      <c r="L78" s="32">
        <v>4.8908833602584822</v>
      </c>
      <c r="M78" s="53">
        <f t="shared" si="6"/>
        <v>2030</v>
      </c>
      <c r="N78" s="3"/>
      <c r="O78" s="3"/>
    </row>
    <row r="79" spans="8:15">
      <c r="H79" s="28">
        <v>47543</v>
      </c>
      <c r="I79" s="32">
        <v>4.725700612244899</v>
      </c>
      <c r="J79" s="32">
        <v>4.6760999999999999</v>
      </c>
      <c r="K79" s="32">
        <v>5.2185727471920131</v>
      </c>
      <c r="L79" s="32">
        <v>4.6589568659127636</v>
      </c>
      <c r="M79" s="53">
        <f t="shared" si="6"/>
        <v>2030</v>
      </c>
      <c r="N79" s="3"/>
      <c r="O79" s="3"/>
    </row>
    <row r="80" spans="8:15">
      <c r="H80" s="28">
        <v>47574</v>
      </c>
      <c r="I80" s="32">
        <v>4.4572312244897958</v>
      </c>
      <c r="J80" s="32">
        <v>4.4039999999999999</v>
      </c>
      <c r="K80" s="32">
        <v>4.924847182314239</v>
      </c>
      <c r="L80" s="32">
        <v>4.3655400646203555</v>
      </c>
      <c r="M80" s="53">
        <f t="shared" si="6"/>
        <v>2030</v>
      </c>
      <c r="N80" s="3"/>
      <c r="O80" s="3"/>
    </row>
    <row r="81" spans="8:15">
      <c r="H81" s="28">
        <v>47604</v>
      </c>
      <c r="I81" s="32">
        <v>4.4302924489795918</v>
      </c>
      <c r="J81" s="32">
        <v>4.3775000000000004</v>
      </c>
      <c r="K81" s="32">
        <v>4.8984344915607103</v>
      </c>
      <c r="L81" s="32">
        <v>4.2429633279483046</v>
      </c>
      <c r="M81" s="53">
        <f t="shared" si="6"/>
        <v>2030</v>
      </c>
      <c r="N81" s="3"/>
      <c r="O81" s="3"/>
    </row>
    <row r="82" spans="8:15">
      <c r="H82" s="28">
        <v>47635</v>
      </c>
      <c r="I82" s="32">
        <v>4.4712108163265309</v>
      </c>
      <c r="J82" s="32">
        <v>4.4195000000000002</v>
      </c>
      <c r="K82" s="32">
        <v>4.944887939889874</v>
      </c>
      <c r="L82" s="32">
        <v>4.3137428109854614</v>
      </c>
      <c r="M82" s="53">
        <f t="shared" si="6"/>
        <v>2030</v>
      </c>
      <c r="N82" s="3"/>
      <c r="O82" s="3"/>
    </row>
    <row r="83" spans="8:15">
      <c r="H83" s="28">
        <v>47665</v>
      </c>
      <c r="I83" s="32">
        <v>4.6842720408163272</v>
      </c>
      <c r="J83" s="32">
        <v>4.6360000000000001</v>
      </c>
      <c r="K83" s="32">
        <v>5.2365066558943116</v>
      </c>
      <c r="L83" s="32">
        <v>4.3655400646203555</v>
      </c>
      <c r="M83" s="53">
        <f t="shared" si="6"/>
        <v>2030</v>
      </c>
      <c r="N83" s="3"/>
      <c r="O83" s="3"/>
    </row>
    <row r="84" spans="8:15">
      <c r="H84" s="28">
        <v>47696</v>
      </c>
      <c r="I84" s="32">
        <v>4.8316189795918376</v>
      </c>
      <c r="J84" s="32">
        <v>4.7811000000000003</v>
      </c>
      <c r="K84" s="32">
        <v>5.3939036826998787</v>
      </c>
      <c r="L84" s="32">
        <v>4.5239609046849765</v>
      </c>
      <c r="M84" s="53">
        <f t="shared" si="6"/>
        <v>2030</v>
      </c>
      <c r="N84" s="3"/>
      <c r="O84" s="3"/>
    </row>
    <row r="85" spans="8:15">
      <c r="H85" s="28">
        <v>47727</v>
      </c>
      <c r="I85" s="32">
        <v>4.9113128571428577</v>
      </c>
      <c r="J85" s="32">
        <v>4.8583999999999996</v>
      </c>
      <c r="K85" s="32">
        <v>5.5321849099717628</v>
      </c>
      <c r="L85" s="32">
        <v>4.6305844911147016</v>
      </c>
      <c r="M85" s="53">
        <f t="shared" si="6"/>
        <v>2030</v>
      </c>
      <c r="N85" s="3"/>
      <c r="O85" s="3"/>
    </row>
    <row r="86" spans="8:15">
      <c r="H86" s="28">
        <v>47757</v>
      </c>
      <c r="I86" s="32">
        <v>5.0062108163265311</v>
      </c>
      <c r="J86" s="32">
        <v>4.9486999999999997</v>
      </c>
      <c r="K86" s="32">
        <v>5.5714956267547393</v>
      </c>
      <c r="L86" s="32">
        <v>4.9239003231017779</v>
      </c>
      <c r="M86" s="53">
        <f t="shared" si="6"/>
        <v>2030</v>
      </c>
      <c r="N86" s="3"/>
      <c r="O86" s="3"/>
    </row>
    <row r="87" spans="8:15">
      <c r="H87" s="28">
        <v>47788</v>
      </c>
      <c r="I87" s="32">
        <v>5.2712108163265308</v>
      </c>
      <c r="J87" s="32">
        <v>5.2214</v>
      </c>
      <c r="K87" s="32">
        <v>5.8503704764033877</v>
      </c>
      <c r="L87" s="32">
        <v>4.7065134087237492</v>
      </c>
      <c r="M87" s="53">
        <f t="shared" si="6"/>
        <v>2030</v>
      </c>
      <c r="N87" s="3"/>
      <c r="O87" s="3"/>
    </row>
    <row r="88" spans="8:15">
      <c r="H88" s="28">
        <v>47818</v>
      </c>
      <c r="I88" s="32">
        <v>5.4731495918367354</v>
      </c>
      <c r="J88" s="32">
        <v>5.4393000000000002</v>
      </c>
      <c r="K88" s="32">
        <v>6.247126089843082</v>
      </c>
      <c r="L88" s="32">
        <v>4.4393486268174485</v>
      </c>
      <c r="M88" s="53">
        <f t="shared" si="6"/>
        <v>2030</v>
      </c>
      <c r="N88" s="3"/>
      <c r="O88" s="3"/>
    </row>
    <row r="89" spans="8:15">
      <c r="H89" s="28">
        <v>47849</v>
      </c>
      <c r="I89" s="32">
        <v>5.5841700000000003</v>
      </c>
      <c r="J89" s="32">
        <v>5.5532000000000004</v>
      </c>
      <c r="K89" s="32">
        <v>6.4498460607043153</v>
      </c>
      <c r="L89" s="32">
        <v>4.7890053311793226</v>
      </c>
      <c r="M89" s="53">
        <f t="shared" si="6"/>
        <v>2031</v>
      </c>
      <c r="N89" s="3"/>
      <c r="O89" s="3"/>
    </row>
    <row r="90" spans="8:15">
      <c r="H90" s="28">
        <v>47880</v>
      </c>
      <c r="I90" s="32">
        <v>5.5673332653061234</v>
      </c>
      <c r="J90" s="32">
        <v>5.5262000000000002</v>
      </c>
      <c r="K90" s="32">
        <v>6.2726138225546588</v>
      </c>
      <c r="L90" s="32">
        <v>5.1257379644588053</v>
      </c>
      <c r="M90" s="53">
        <f t="shared" si="6"/>
        <v>2031</v>
      </c>
      <c r="N90" s="3"/>
      <c r="O90" s="3"/>
    </row>
    <row r="91" spans="8:15">
      <c r="H91" s="28">
        <v>47908</v>
      </c>
      <c r="I91" s="32">
        <v>4.9936597959183677</v>
      </c>
      <c r="J91" s="32">
        <v>4.9386999999999999</v>
      </c>
      <c r="K91" s="32">
        <v>5.4732445280762398</v>
      </c>
      <c r="L91" s="32">
        <v>4.9241022617124406</v>
      </c>
      <c r="M91" s="53">
        <f t="shared" si="6"/>
        <v>2031</v>
      </c>
      <c r="N91" s="3"/>
      <c r="O91" s="3"/>
    </row>
    <row r="92" spans="8:15">
      <c r="H92" s="28">
        <v>47939</v>
      </c>
      <c r="I92" s="32">
        <v>4.7357006122448979</v>
      </c>
      <c r="J92" s="32">
        <v>4.6768999999999998</v>
      </c>
      <c r="K92" s="32">
        <v>5.2072163178991531</v>
      </c>
      <c r="L92" s="32">
        <v>4.6410852988691449</v>
      </c>
      <c r="M92" s="53">
        <f t="shared" si="6"/>
        <v>2031</v>
      </c>
      <c r="N92" s="3"/>
      <c r="O92" s="3"/>
    </row>
    <row r="93" spans="8:15">
      <c r="H93" s="28">
        <v>47969</v>
      </c>
      <c r="I93" s="32">
        <v>4.7023332653061223</v>
      </c>
      <c r="J93" s="32">
        <v>4.6440999999999999</v>
      </c>
      <c r="K93" s="32">
        <v>5.201358250300121</v>
      </c>
      <c r="L93" s="32">
        <v>4.5121474959612291</v>
      </c>
      <c r="M93" s="53">
        <f t="shared" si="6"/>
        <v>2031</v>
      </c>
      <c r="N93" s="3"/>
      <c r="O93" s="3"/>
    </row>
    <row r="94" spans="8:15">
      <c r="H94" s="28">
        <v>48000</v>
      </c>
      <c r="I94" s="32">
        <v>4.7504965306122449</v>
      </c>
      <c r="J94" s="32">
        <v>4.6932</v>
      </c>
      <c r="K94" s="32">
        <v>5.2571126656066971</v>
      </c>
      <c r="L94" s="32">
        <v>4.5900957996768987</v>
      </c>
      <c r="M94" s="53">
        <f t="shared" si="6"/>
        <v>2031</v>
      </c>
      <c r="N94" s="3"/>
      <c r="O94" s="3"/>
    </row>
    <row r="95" spans="8:15">
      <c r="H95" s="28">
        <v>48030</v>
      </c>
      <c r="I95" s="32">
        <v>4.9092720408163268</v>
      </c>
      <c r="J95" s="32">
        <v>4.8563999999999998</v>
      </c>
      <c r="K95" s="32">
        <v>5.4916409157995156</v>
      </c>
      <c r="L95" s="32">
        <v>4.5881773828756067</v>
      </c>
      <c r="M95" s="53">
        <f t="shared" si="6"/>
        <v>2031</v>
      </c>
      <c r="N95" s="3"/>
      <c r="O95" s="3"/>
    </row>
    <row r="96" spans="8:15">
      <c r="H96" s="28">
        <v>48061</v>
      </c>
      <c r="I96" s="32">
        <v>5.0469251020408175</v>
      </c>
      <c r="J96" s="32">
        <v>4.9920999999999998</v>
      </c>
      <c r="K96" s="32">
        <v>5.6313609666922142</v>
      </c>
      <c r="L96" s="32">
        <v>4.737006138933765</v>
      </c>
      <c r="M96" s="53">
        <f t="shared" si="6"/>
        <v>2031</v>
      </c>
      <c r="N96" s="3"/>
      <c r="O96" s="3"/>
    </row>
    <row r="97" spans="8:15">
      <c r="H97" s="28">
        <v>48092</v>
      </c>
      <c r="I97" s="32">
        <v>5.0776393877551032</v>
      </c>
      <c r="J97" s="32">
        <v>5.0214999999999996</v>
      </c>
      <c r="K97" s="32">
        <v>5.687629247577652</v>
      </c>
      <c r="L97" s="32">
        <v>4.7951644588045239</v>
      </c>
      <c r="M97" s="53">
        <f t="shared" si="6"/>
        <v>2031</v>
      </c>
      <c r="N97" s="3"/>
      <c r="O97" s="3"/>
    </row>
    <row r="98" spans="8:15">
      <c r="H98" s="28">
        <v>48122</v>
      </c>
      <c r="I98" s="32">
        <v>5.1786597959183673</v>
      </c>
      <c r="J98" s="32">
        <v>5.1176000000000004</v>
      </c>
      <c r="K98" s="32">
        <v>5.7581316049975797</v>
      </c>
      <c r="L98" s="32">
        <v>5.0945384491114707</v>
      </c>
      <c r="M98" s="53">
        <f t="shared" si="6"/>
        <v>2031</v>
      </c>
      <c r="N98" s="3"/>
      <c r="O98" s="3"/>
    </row>
    <row r="99" spans="8:15">
      <c r="H99" s="28">
        <v>48153</v>
      </c>
      <c r="I99" s="32">
        <v>5.4684557142857146</v>
      </c>
      <c r="J99" s="32">
        <v>5.4146000000000001</v>
      </c>
      <c r="K99" s="32">
        <v>6.0583832627269061</v>
      </c>
      <c r="L99" s="32">
        <v>4.9016870759289191</v>
      </c>
      <c r="M99" s="53">
        <f t="shared" si="6"/>
        <v>2031</v>
      </c>
      <c r="N99" s="3"/>
      <c r="O99" s="3"/>
    </row>
    <row r="100" spans="8:15">
      <c r="H100" s="28">
        <v>48183</v>
      </c>
      <c r="I100" s="32">
        <v>5.5391700000000004</v>
      </c>
      <c r="J100" s="32">
        <v>5.5039999999999996</v>
      </c>
      <c r="K100" s="32">
        <v>6.4447587914735784</v>
      </c>
      <c r="L100" s="32">
        <v>4.504675767366721</v>
      </c>
      <c r="M100" s="53">
        <f t="shared" si="6"/>
        <v>2031</v>
      </c>
      <c r="N100" s="3"/>
      <c r="O100" s="3"/>
    </row>
    <row r="101" spans="8:15">
      <c r="H101" s="28">
        <v>48214</v>
      </c>
      <c r="I101" s="32">
        <v>5.7195781632653064</v>
      </c>
      <c r="J101" s="32">
        <v>5.6859000000000002</v>
      </c>
      <c r="K101" s="32">
        <v>6.6385888878204913</v>
      </c>
      <c r="L101" s="32">
        <v>4.9229915993537974</v>
      </c>
      <c r="M101" s="53">
        <f t="shared" si="6"/>
        <v>2032</v>
      </c>
      <c r="N101" s="3"/>
      <c r="O101" s="3"/>
    </row>
    <row r="102" spans="8:15">
      <c r="H102" s="28">
        <v>48245</v>
      </c>
      <c r="I102" s="32">
        <v>5.5102924489795919</v>
      </c>
      <c r="J102" s="32">
        <v>5.4702999999999999</v>
      </c>
      <c r="K102" s="32">
        <v>6.2126457095014125</v>
      </c>
      <c r="L102" s="32">
        <v>5.0692961227786757</v>
      </c>
      <c r="M102" s="53">
        <f t="shared" si="6"/>
        <v>2032</v>
      </c>
      <c r="N102" s="3"/>
      <c r="O102" s="3"/>
    </row>
    <row r="103" spans="8:15">
      <c r="H103" s="28">
        <v>48274</v>
      </c>
      <c r="I103" s="32">
        <v>5.071312857142857</v>
      </c>
      <c r="J103" s="32">
        <v>5.0148000000000001</v>
      </c>
      <c r="K103" s="32">
        <v>5.5680013408184754</v>
      </c>
      <c r="L103" s="32">
        <v>5.0009399030694679</v>
      </c>
      <c r="M103" s="53">
        <f t="shared" si="6"/>
        <v>2032</v>
      </c>
      <c r="N103" s="3"/>
      <c r="O103" s="3"/>
    </row>
    <row r="104" spans="8:15">
      <c r="H104" s="28">
        <v>48305</v>
      </c>
      <c r="I104" s="32">
        <v>4.8041700000000001</v>
      </c>
      <c r="J104" s="32">
        <v>4.7439999999999998</v>
      </c>
      <c r="K104" s="32">
        <v>5.2989413237260985</v>
      </c>
      <c r="L104" s="32">
        <v>4.7088357027463665</v>
      </c>
      <c r="M104" s="53">
        <f t="shared" si="6"/>
        <v>2032</v>
      </c>
      <c r="N104" s="3"/>
      <c r="O104" s="3"/>
    </row>
    <row r="105" spans="8:15">
      <c r="H105" s="28">
        <v>48335</v>
      </c>
      <c r="I105" s="32">
        <v>4.7714148979591844</v>
      </c>
      <c r="J105" s="32">
        <v>4.7118000000000002</v>
      </c>
      <c r="K105" s="32">
        <v>5.2876876675490116</v>
      </c>
      <c r="L105" s="32">
        <v>4.5805037156704369</v>
      </c>
      <c r="M105" s="53">
        <f t="shared" si="6"/>
        <v>2032</v>
      </c>
      <c r="N105" s="3"/>
      <c r="O105" s="3"/>
    </row>
    <row r="106" spans="8:15">
      <c r="H106" s="28">
        <v>48366</v>
      </c>
      <c r="I106" s="32">
        <v>4.8010067346938774</v>
      </c>
      <c r="J106" s="32">
        <v>4.7427000000000001</v>
      </c>
      <c r="K106" s="32">
        <v>5.3244290564376762</v>
      </c>
      <c r="L106" s="32">
        <v>4.6400756058158326</v>
      </c>
      <c r="M106" s="53">
        <f t="shared" si="6"/>
        <v>2032</v>
      </c>
      <c r="N106" s="3"/>
      <c r="O106" s="3"/>
    </row>
    <row r="107" spans="8:15">
      <c r="H107" s="28">
        <v>48396</v>
      </c>
      <c r="I107" s="32">
        <v>4.9926393877551023</v>
      </c>
      <c r="J107" s="32">
        <v>4.9382000000000001</v>
      </c>
      <c r="K107" s="32">
        <v>5.5747329799015723</v>
      </c>
      <c r="L107" s="32">
        <v>4.6706693053311801</v>
      </c>
      <c r="M107" s="53">
        <f t="shared" si="6"/>
        <v>2032</v>
      </c>
      <c r="N107" s="3"/>
      <c r="O107" s="3"/>
    </row>
    <row r="108" spans="8:15">
      <c r="H108" s="28">
        <v>48427</v>
      </c>
      <c r="I108" s="32">
        <v>5.1096802040816334</v>
      </c>
      <c r="J108" s="32">
        <v>5.0536000000000003</v>
      </c>
      <c r="K108" s="32">
        <v>5.7084921900794665</v>
      </c>
      <c r="L108" s="32">
        <v>4.7991022617124397</v>
      </c>
      <c r="M108" s="53">
        <f t="shared" si="6"/>
        <v>2032</v>
      </c>
      <c r="N108" s="3"/>
      <c r="O108" s="3"/>
    </row>
    <row r="109" spans="8:15">
      <c r="H109" s="28">
        <v>48458</v>
      </c>
      <c r="I109" s="32">
        <v>5.1474353061224489</v>
      </c>
      <c r="J109" s="32">
        <v>5.0899000000000001</v>
      </c>
      <c r="K109" s="32">
        <v>5.8006796749273892</v>
      </c>
      <c r="L109" s="32">
        <v>4.8642274636510505</v>
      </c>
      <c r="M109" s="53">
        <f t="shared" si="6"/>
        <v>2032</v>
      </c>
      <c r="N109" s="3"/>
      <c r="O109" s="3"/>
    </row>
    <row r="110" spans="8:15">
      <c r="H110" s="28">
        <v>48488</v>
      </c>
      <c r="I110" s="32">
        <v>5.2648842857142863</v>
      </c>
      <c r="J110" s="32">
        <v>5.2020999999999997</v>
      </c>
      <c r="K110" s="32">
        <v>5.8499079973824113</v>
      </c>
      <c r="L110" s="32">
        <v>5.1798575121163175</v>
      </c>
      <c r="M110" s="53">
        <f t="shared" si="6"/>
        <v>2032</v>
      </c>
      <c r="N110" s="3"/>
      <c r="O110" s="3"/>
    </row>
    <row r="111" spans="8:15">
      <c r="H111" s="28">
        <v>48519</v>
      </c>
      <c r="I111" s="32">
        <v>5.5775373469387759</v>
      </c>
      <c r="J111" s="32">
        <v>5.5214999999999996</v>
      </c>
      <c r="K111" s="32">
        <v>6.1796041527805565</v>
      </c>
      <c r="L111" s="32">
        <v>5.0096232633279492</v>
      </c>
      <c r="M111" s="53">
        <f t="shared" si="6"/>
        <v>2032</v>
      </c>
      <c r="N111" s="3"/>
      <c r="O111" s="3"/>
    </row>
    <row r="112" spans="8:15">
      <c r="H112" s="28">
        <v>48549</v>
      </c>
      <c r="I112" s="32">
        <v>5.6230475510204085</v>
      </c>
      <c r="J112" s="32">
        <v>5.5861000000000001</v>
      </c>
      <c r="K112" s="32">
        <v>6.4989202234856798</v>
      </c>
      <c r="L112" s="32">
        <v>4.5876725363489506</v>
      </c>
      <c r="M112" s="53">
        <f t="shared" si="6"/>
        <v>2032</v>
      </c>
      <c r="N112" s="3"/>
      <c r="O112" s="3"/>
    </row>
    <row r="113" spans="8:15">
      <c r="H113" s="28">
        <v>48580</v>
      </c>
      <c r="I113" s="32">
        <v>5.8513128571428572</v>
      </c>
      <c r="J113" s="32">
        <v>5.8150000000000004</v>
      </c>
      <c r="K113" s="32">
        <v>6.5281591749229531</v>
      </c>
      <c r="L113" s="32">
        <v>5.0533429725363499</v>
      </c>
      <c r="M113" s="53">
        <f t="shared" ref="M113:M159" si="7">YEAR(H113)</f>
        <v>2033</v>
      </c>
      <c r="N113" s="3"/>
      <c r="O113" s="3"/>
    </row>
    <row r="114" spans="8:15">
      <c r="H114" s="28">
        <v>48611</v>
      </c>
      <c r="I114" s="32">
        <v>5.7319251020408171</v>
      </c>
      <c r="J114" s="32">
        <v>5.6875</v>
      </c>
      <c r="K114" s="32">
        <v>6.463977364123032</v>
      </c>
      <c r="L114" s="32">
        <v>5.2886014539579973</v>
      </c>
      <c r="M114" s="53">
        <f t="shared" si="7"/>
        <v>2033</v>
      </c>
      <c r="N114" s="3"/>
      <c r="O114" s="3"/>
    </row>
    <row r="115" spans="8:15">
      <c r="H115" s="28">
        <v>48639</v>
      </c>
      <c r="I115" s="32">
        <v>5.081414897959184</v>
      </c>
      <c r="J115" s="32">
        <v>5.0247000000000002</v>
      </c>
      <c r="K115" s="32">
        <v>5.6614221030556671</v>
      </c>
      <c r="L115" s="32">
        <v>5.010935864297255</v>
      </c>
      <c r="M115" s="53">
        <f t="shared" si="7"/>
        <v>2033</v>
      </c>
      <c r="N115" s="3"/>
      <c r="O115" s="3"/>
    </row>
    <row r="116" spans="8:15">
      <c r="H116" s="28">
        <v>48670</v>
      </c>
      <c r="I116" s="32">
        <v>4.8747822448979594</v>
      </c>
      <c r="J116" s="32">
        <v>4.8132000000000001</v>
      </c>
      <c r="K116" s="32">
        <v>5.3637911597785397</v>
      </c>
      <c r="L116" s="32">
        <v>4.7787064620355419</v>
      </c>
      <c r="M116" s="53">
        <f t="shared" si="7"/>
        <v>2033</v>
      </c>
      <c r="N116" s="3"/>
      <c r="O116" s="3"/>
    </row>
    <row r="117" spans="8:15">
      <c r="H117" s="28">
        <v>48700</v>
      </c>
      <c r="I117" s="32">
        <v>4.8350883673469394</v>
      </c>
      <c r="J117" s="32">
        <v>4.7742000000000004</v>
      </c>
      <c r="K117" s="32">
        <v>5.353154142296086</v>
      </c>
      <c r="L117" s="32">
        <v>4.6435085621970931</v>
      </c>
      <c r="M117" s="53">
        <f t="shared" si="7"/>
        <v>2033</v>
      </c>
      <c r="N117" s="3"/>
      <c r="O117" s="3"/>
    </row>
    <row r="118" spans="8:15">
      <c r="H118" s="28">
        <v>48731</v>
      </c>
      <c r="I118" s="32">
        <v>4.8777414285714285</v>
      </c>
      <c r="J118" s="32">
        <v>4.8178999999999998</v>
      </c>
      <c r="K118" s="32">
        <v>5.3964730105941907</v>
      </c>
      <c r="L118" s="32">
        <v>4.7160045234248793</v>
      </c>
      <c r="M118" s="53">
        <f t="shared" si="7"/>
        <v>2033</v>
      </c>
      <c r="N118" s="3"/>
      <c r="O118" s="3"/>
    </row>
    <row r="119" spans="8:15">
      <c r="H119" s="28">
        <v>48761</v>
      </c>
      <c r="I119" s="32">
        <v>5.05743530612245</v>
      </c>
      <c r="J119" s="32">
        <v>5.0015999999999998</v>
      </c>
      <c r="K119" s="32">
        <v>5.6375273536385633</v>
      </c>
      <c r="L119" s="32">
        <v>4.7347848142164786</v>
      </c>
      <c r="M119" s="53">
        <f t="shared" si="7"/>
        <v>2033</v>
      </c>
      <c r="N119" s="3"/>
      <c r="O119" s="3"/>
    </row>
    <row r="120" spans="8:15">
      <c r="H120" s="28">
        <v>48792</v>
      </c>
      <c r="I120" s="32">
        <v>5.1736597959183674</v>
      </c>
      <c r="J120" s="32">
        <v>5.1162999999999998</v>
      </c>
      <c r="K120" s="32">
        <v>5.757926058766035</v>
      </c>
      <c r="L120" s="32">
        <v>4.8624100161550903</v>
      </c>
      <c r="M120" s="53">
        <f t="shared" si="7"/>
        <v>2033</v>
      </c>
      <c r="N120" s="3"/>
      <c r="O120" s="3"/>
    </row>
    <row r="121" spans="8:15">
      <c r="H121" s="28">
        <v>48823</v>
      </c>
      <c r="I121" s="32">
        <v>5.2049863265306122</v>
      </c>
      <c r="J121" s="32">
        <v>5.1463000000000001</v>
      </c>
      <c r="K121" s="32">
        <v>5.8295075339015732</v>
      </c>
      <c r="L121" s="32">
        <v>4.9211741518578354</v>
      </c>
      <c r="M121" s="53">
        <f t="shared" si="7"/>
        <v>2033</v>
      </c>
      <c r="N121" s="3"/>
      <c r="O121" s="3"/>
    </row>
    <row r="122" spans="8:15">
      <c r="H122" s="28">
        <v>48853</v>
      </c>
      <c r="I122" s="32">
        <v>5.3162108163265307</v>
      </c>
      <c r="J122" s="32">
        <v>5.2525000000000004</v>
      </c>
      <c r="K122" s="32">
        <v>5.9018084208475194</v>
      </c>
      <c r="L122" s="32">
        <v>5.230645072697901</v>
      </c>
      <c r="M122" s="53">
        <f t="shared" si="7"/>
        <v>2033</v>
      </c>
      <c r="N122" s="3"/>
      <c r="O122" s="3"/>
    </row>
    <row r="123" spans="8:15">
      <c r="H123" s="28">
        <v>48884</v>
      </c>
      <c r="I123" s="32">
        <v>5.6478434693877553</v>
      </c>
      <c r="J123" s="32">
        <v>5.5903999999999998</v>
      </c>
      <c r="K123" s="32">
        <v>6.2659335700294463</v>
      </c>
      <c r="L123" s="32">
        <v>5.0791911147011319</v>
      </c>
      <c r="M123" s="53">
        <f t="shared" si="7"/>
        <v>2033</v>
      </c>
      <c r="N123" s="3"/>
      <c r="O123" s="3"/>
    </row>
    <row r="124" spans="8:15">
      <c r="H124" s="28">
        <v>48914</v>
      </c>
      <c r="I124" s="32">
        <v>5.6746802040816329</v>
      </c>
      <c r="J124" s="32">
        <v>5.6368</v>
      </c>
      <c r="K124" s="32">
        <v>6.51711106497741</v>
      </c>
      <c r="L124" s="32">
        <v>4.6387630048465276</v>
      </c>
      <c r="M124" s="53">
        <f t="shared" si="7"/>
        <v>2033</v>
      </c>
      <c r="N124" s="3"/>
      <c r="O124" s="3"/>
    </row>
    <row r="125" spans="8:15">
      <c r="H125" s="28">
        <v>48945</v>
      </c>
      <c r="I125" s="32">
        <v>5.8744761224489803</v>
      </c>
      <c r="J125" s="32">
        <v>5.8376999999999999</v>
      </c>
      <c r="K125" s="32">
        <v>6.7210129266700278</v>
      </c>
      <c r="L125" s="32">
        <v>5.0762630048465276</v>
      </c>
      <c r="M125" s="53">
        <f t="shared" si="7"/>
        <v>2034</v>
      </c>
      <c r="N125" s="3"/>
      <c r="O125" s="3"/>
    </row>
    <row r="126" spans="8:15">
      <c r="H126" s="28">
        <v>48976</v>
      </c>
      <c r="I126" s="32">
        <v>5.8666189795918369</v>
      </c>
      <c r="J126" s="32">
        <v>5.8194999999999997</v>
      </c>
      <c r="K126" s="32">
        <v>6.6182911974554255</v>
      </c>
      <c r="L126" s="32">
        <v>5.4218809369951551</v>
      </c>
      <c r="M126" s="53">
        <f t="shared" si="7"/>
        <v>2034</v>
      </c>
      <c r="N126" s="3"/>
      <c r="O126" s="3"/>
    </row>
    <row r="127" spans="8:15">
      <c r="H127" s="28">
        <v>49004</v>
      </c>
      <c r="I127" s="32">
        <v>5.3255985714285714</v>
      </c>
      <c r="J127" s="32">
        <v>5.2640000000000002</v>
      </c>
      <c r="K127" s="32">
        <v>5.8416347615627267</v>
      </c>
      <c r="L127" s="32">
        <v>5.2525554119547673</v>
      </c>
      <c r="M127" s="53">
        <f t="shared" si="7"/>
        <v>2034</v>
      </c>
      <c r="N127" s="3"/>
      <c r="O127" s="3"/>
    </row>
    <row r="128" spans="8:15">
      <c r="H128" s="28">
        <v>49035</v>
      </c>
      <c r="I128" s="32">
        <v>5.0319251020408169</v>
      </c>
      <c r="J128" s="32">
        <v>4.9672000000000001</v>
      </c>
      <c r="K128" s="32">
        <v>5.5360389018132308</v>
      </c>
      <c r="L128" s="32">
        <v>4.9341991922455577</v>
      </c>
      <c r="M128" s="53">
        <f t="shared" si="7"/>
        <v>2034</v>
      </c>
      <c r="N128" s="3"/>
      <c r="O128" s="3"/>
    </row>
    <row r="129" spans="8:15">
      <c r="H129" s="28">
        <v>49065</v>
      </c>
      <c r="I129" s="32">
        <v>4.9924353061224487</v>
      </c>
      <c r="J129" s="32">
        <v>4.9283999999999999</v>
      </c>
      <c r="K129" s="32">
        <v>5.524168606941509</v>
      </c>
      <c r="L129" s="32">
        <v>4.7992032310177715</v>
      </c>
      <c r="M129" s="53">
        <f t="shared" si="7"/>
        <v>2034</v>
      </c>
      <c r="N129" s="3"/>
      <c r="O129" s="3"/>
    </row>
    <row r="130" spans="8:15">
      <c r="H130" s="28">
        <v>49096</v>
      </c>
      <c r="I130" s="32">
        <v>5.0278434693877552</v>
      </c>
      <c r="J130" s="32">
        <v>4.9649999999999999</v>
      </c>
      <c r="K130" s="32">
        <v>5.5518659616421928</v>
      </c>
      <c r="L130" s="32">
        <v>4.864530371567044</v>
      </c>
      <c r="M130" s="53">
        <f t="shared" si="7"/>
        <v>2034</v>
      </c>
      <c r="N130" s="3"/>
      <c r="O130" s="3"/>
    </row>
    <row r="131" spans="8:15">
      <c r="H131" s="28">
        <v>49126</v>
      </c>
      <c r="I131" s="32">
        <v>5.1871291836734699</v>
      </c>
      <c r="J131" s="32">
        <v>5.1288</v>
      </c>
      <c r="K131" s="32">
        <v>5.7801764383307779</v>
      </c>
      <c r="L131" s="32">
        <v>4.8631168012924082</v>
      </c>
      <c r="M131" s="53">
        <f t="shared" si="7"/>
        <v>2034</v>
      </c>
      <c r="N131" s="3"/>
      <c r="O131" s="3"/>
    </row>
    <row r="132" spans="8:15">
      <c r="H132" s="28">
        <v>49157</v>
      </c>
      <c r="I132" s="32">
        <v>5.3001904081632656</v>
      </c>
      <c r="J132" s="32">
        <v>5.2403000000000004</v>
      </c>
      <c r="K132" s="32">
        <v>5.9031958579104478</v>
      </c>
      <c r="L132" s="32">
        <v>4.987611954765752</v>
      </c>
      <c r="M132" s="53">
        <f t="shared" si="7"/>
        <v>2034</v>
      </c>
      <c r="N132" s="3"/>
      <c r="O132" s="3"/>
    </row>
    <row r="133" spans="8:15">
      <c r="H133" s="28">
        <v>49188</v>
      </c>
      <c r="I133" s="32">
        <v>5.333761836734694</v>
      </c>
      <c r="J133" s="32">
        <v>5.2724000000000002</v>
      </c>
      <c r="K133" s="32">
        <v>6.0063286795881403</v>
      </c>
      <c r="L133" s="32">
        <v>5.0485974151857844</v>
      </c>
      <c r="M133" s="53">
        <f t="shared" si="7"/>
        <v>2034</v>
      </c>
      <c r="N133" s="3"/>
      <c r="O133" s="3"/>
    </row>
    <row r="134" spans="8:15">
      <c r="H134" s="28">
        <v>49218</v>
      </c>
      <c r="I134" s="32">
        <v>5.4441700000000006</v>
      </c>
      <c r="J134" s="32">
        <v>5.3777999999999997</v>
      </c>
      <c r="K134" s="32">
        <v>6.0573041450112939</v>
      </c>
      <c r="L134" s="32">
        <v>5.3572605815831995</v>
      </c>
      <c r="M134" s="53">
        <f t="shared" si="7"/>
        <v>2034</v>
      </c>
      <c r="N134" s="3"/>
      <c r="O134" s="3"/>
    </row>
    <row r="135" spans="8:15">
      <c r="H135" s="28">
        <v>49249</v>
      </c>
      <c r="I135" s="32">
        <v>5.6659046938775512</v>
      </c>
      <c r="J135" s="32">
        <v>5.6081000000000003</v>
      </c>
      <c r="K135" s="32">
        <v>6.4044203435328759</v>
      </c>
      <c r="L135" s="32">
        <v>5.0970626817447506</v>
      </c>
      <c r="M135" s="53">
        <f t="shared" si="7"/>
        <v>2034</v>
      </c>
      <c r="N135" s="3"/>
      <c r="O135" s="3"/>
    </row>
    <row r="136" spans="8:15">
      <c r="H136" s="28">
        <v>49279</v>
      </c>
      <c r="I136" s="32">
        <v>5.7967210204081638</v>
      </c>
      <c r="J136" s="32">
        <v>5.7563000000000004</v>
      </c>
      <c r="K136" s="32">
        <v>6.6676736795841069</v>
      </c>
      <c r="L136" s="32">
        <v>4.7595222940226174</v>
      </c>
      <c r="M136" s="53">
        <f t="shared" si="7"/>
        <v>2034</v>
      </c>
      <c r="N136" s="3"/>
      <c r="O136" s="3"/>
    </row>
    <row r="137" spans="8:15">
      <c r="H137" s="28">
        <v>49310</v>
      </c>
      <c r="I137" s="32">
        <v>6.0987618367346936</v>
      </c>
      <c r="J137" s="32">
        <v>6.0575000000000001</v>
      </c>
      <c r="K137" s="32">
        <v>6.8740420960552635</v>
      </c>
      <c r="L137" s="32">
        <v>5.2981935379644591</v>
      </c>
      <c r="M137" s="53">
        <f t="shared" ref="M137:M148" si="8">YEAR(H137)</f>
        <v>2035</v>
      </c>
      <c r="N137" s="3"/>
      <c r="O137" s="3"/>
    </row>
    <row r="138" spans="8:15">
      <c r="H138" s="28">
        <v>49341</v>
      </c>
      <c r="I138" s="32">
        <v>6.0674353061224497</v>
      </c>
      <c r="J138" s="32">
        <v>6.0163000000000002</v>
      </c>
      <c r="K138" s="32">
        <v>6.7227600696381611</v>
      </c>
      <c r="L138" s="32">
        <v>5.6205885298869154</v>
      </c>
      <c r="M138" s="53">
        <f t="shared" si="8"/>
        <v>2035</v>
      </c>
      <c r="N138" s="3"/>
      <c r="O138" s="3"/>
    </row>
    <row r="139" spans="8:15">
      <c r="H139" s="28">
        <v>49369</v>
      </c>
      <c r="I139" s="32">
        <v>5.3657006122448978</v>
      </c>
      <c r="J139" s="32">
        <v>5.3033000000000001</v>
      </c>
      <c r="K139" s="32">
        <v>6.002680233978217</v>
      </c>
      <c r="L139" s="32">
        <v>5.2922363489499205</v>
      </c>
      <c r="M139" s="53">
        <f t="shared" si="8"/>
        <v>2035</v>
      </c>
      <c r="N139" s="3"/>
      <c r="O139" s="3"/>
    </row>
    <row r="140" spans="8:15">
      <c r="H140" s="28">
        <v>49400</v>
      </c>
      <c r="I140" s="32">
        <v>5.1774353061224492</v>
      </c>
      <c r="J140" s="32">
        <v>5.1097999999999999</v>
      </c>
      <c r="K140" s="32">
        <v>5.6991912231020567</v>
      </c>
      <c r="L140" s="32">
        <v>5.0781814216478205</v>
      </c>
      <c r="M140" s="53">
        <f t="shared" si="8"/>
        <v>2035</v>
      </c>
      <c r="N140" s="3"/>
      <c r="O140" s="3"/>
    </row>
    <row r="141" spans="8:15">
      <c r="H141" s="28">
        <v>49430</v>
      </c>
      <c r="I141" s="32">
        <v>5.1478434693877553</v>
      </c>
      <c r="J141" s="32">
        <v>5.0807000000000002</v>
      </c>
      <c r="K141" s="32">
        <v>5.6808976084945542</v>
      </c>
      <c r="L141" s="32">
        <v>4.9529794830371578</v>
      </c>
      <c r="M141" s="53">
        <f t="shared" si="8"/>
        <v>2035</v>
      </c>
      <c r="N141" s="3"/>
      <c r="O141" s="3"/>
    </row>
    <row r="142" spans="8:15">
      <c r="H142" s="28">
        <v>49461</v>
      </c>
      <c r="I142" s="32">
        <v>5.1554965306122451</v>
      </c>
      <c r="J142" s="32">
        <v>5.0900999999999996</v>
      </c>
      <c r="K142" s="32">
        <v>5.6704147506857598</v>
      </c>
      <c r="L142" s="32">
        <v>4.9908429725363499</v>
      </c>
      <c r="M142" s="53">
        <f t="shared" si="8"/>
        <v>2035</v>
      </c>
      <c r="N142" s="3"/>
      <c r="O142" s="3"/>
    </row>
    <row r="143" spans="8:15">
      <c r="H143" s="28">
        <v>49491</v>
      </c>
      <c r="I143" s="32">
        <v>5.3070271428571427</v>
      </c>
      <c r="J143" s="32">
        <v>5.2462</v>
      </c>
      <c r="K143" s="32">
        <v>5.9559184663017346</v>
      </c>
      <c r="L143" s="32">
        <v>4.9817557350565433</v>
      </c>
      <c r="M143" s="53">
        <f t="shared" si="8"/>
        <v>2035</v>
      </c>
      <c r="N143" s="3"/>
      <c r="O143" s="3"/>
    </row>
    <row r="144" spans="8:15">
      <c r="H144" s="28">
        <v>49522</v>
      </c>
      <c r="I144" s="32">
        <v>5.4345781632653063</v>
      </c>
      <c r="J144" s="32">
        <v>5.3719999999999999</v>
      </c>
      <c r="K144" s="32">
        <v>6.0884957856482451</v>
      </c>
      <c r="L144" s="32">
        <v>5.1205885298869154</v>
      </c>
      <c r="M144" s="53">
        <f t="shared" si="8"/>
        <v>2035</v>
      </c>
      <c r="N144" s="3"/>
      <c r="O144" s="3"/>
    </row>
    <row r="145" spans="8:15">
      <c r="H145" s="28">
        <v>49553</v>
      </c>
      <c r="I145" s="32">
        <v>5.4633536734693875</v>
      </c>
      <c r="J145" s="32">
        <v>5.3994</v>
      </c>
      <c r="K145" s="32">
        <v>6.1488236046066955</v>
      </c>
      <c r="L145" s="32">
        <v>5.1768284329563823</v>
      </c>
      <c r="M145" s="53">
        <f t="shared" si="8"/>
        <v>2035</v>
      </c>
      <c r="N145" s="3"/>
      <c r="O145" s="3"/>
    </row>
    <row r="146" spans="8:15">
      <c r="H146" s="28">
        <v>49583</v>
      </c>
      <c r="I146" s="32">
        <v>5.5649863265306125</v>
      </c>
      <c r="J146" s="32">
        <v>5.4962999999999997</v>
      </c>
      <c r="K146" s="32">
        <v>6.1921424729047994</v>
      </c>
      <c r="L146" s="32">
        <v>5.4768082390953152</v>
      </c>
      <c r="M146" s="53">
        <f t="shared" si="8"/>
        <v>2035</v>
      </c>
      <c r="N146" s="3"/>
      <c r="O146" s="3"/>
    </row>
    <row r="147" spans="8:15">
      <c r="H147" s="28">
        <v>49614</v>
      </c>
      <c r="I147" s="32">
        <v>5.9031495918367352</v>
      </c>
      <c r="J147" s="32">
        <v>5.8406000000000002</v>
      </c>
      <c r="K147" s="32">
        <v>6.5605840929491723</v>
      </c>
      <c r="L147" s="32">
        <v>5.3318163166397428</v>
      </c>
      <c r="M147" s="53">
        <f t="shared" si="8"/>
        <v>2035</v>
      </c>
      <c r="N147" s="3"/>
      <c r="O147" s="3"/>
    </row>
    <row r="148" spans="8:15">
      <c r="H148" s="28">
        <v>49644</v>
      </c>
      <c r="I148" s="32">
        <v>6.0329455102040823</v>
      </c>
      <c r="J148" s="32">
        <v>5.9878</v>
      </c>
      <c r="K148" s="32">
        <v>6.8388936904610729</v>
      </c>
      <c r="L148" s="32">
        <v>4.9932662358642981</v>
      </c>
      <c r="M148" s="53">
        <f t="shared" si="8"/>
        <v>2035</v>
      </c>
      <c r="N148" s="3"/>
      <c r="O148" s="3"/>
    </row>
    <row r="149" spans="8:15">
      <c r="H149" s="28">
        <v>49675</v>
      </c>
      <c r="I149" s="32">
        <v>6.1321291836734693</v>
      </c>
      <c r="J149" s="32">
        <v>6.0902000000000003</v>
      </c>
      <c r="K149" s="32">
        <v>7.0596503431403788</v>
      </c>
      <c r="L149" s="32">
        <v>5.3312105008077557</v>
      </c>
      <c r="M149" s="53">
        <f t="shared" si="7"/>
        <v>2036</v>
      </c>
      <c r="N149" s="3"/>
      <c r="O149" s="3"/>
    </row>
    <row r="150" spans="8:15">
      <c r="H150" s="28">
        <v>49706</v>
      </c>
      <c r="I150" s="32">
        <v>5.9683536734693883</v>
      </c>
      <c r="J150" s="32">
        <v>5.9192</v>
      </c>
      <c r="K150" s="32">
        <v>6.7450104492029039</v>
      </c>
      <c r="L150" s="32">
        <v>5.5225473344103397</v>
      </c>
      <c r="M150" s="53">
        <f t="shared" si="7"/>
        <v>2036</v>
      </c>
      <c r="N150" s="3"/>
      <c r="O150" s="3"/>
    </row>
    <row r="151" spans="8:15">
      <c r="H151" s="28">
        <v>49735</v>
      </c>
      <c r="I151" s="32">
        <v>5.5477414285714284</v>
      </c>
      <c r="J151" s="32">
        <v>5.4817</v>
      </c>
      <c r="K151" s="32">
        <v>6.2037558349870912</v>
      </c>
      <c r="L151" s="32">
        <v>5.4723655896607442</v>
      </c>
      <c r="M151" s="53">
        <f t="shared" si="7"/>
        <v>2036</v>
      </c>
      <c r="N151" s="3"/>
      <c r="O151" s="3"/>
    </row>
    <row r="152" spans="8:15">
      <c r="H152" s="28">
        <v>49766</v>
      </c>
      <c r="I152" s="32">
        <v>5.3420271428571429</v>
      </c>
      <c r="J152" s="32">
        <v>5.2710999999999997</v>
      </c>
      <c r="K152" s="32">
        <v>5.8799177471879789</v>
      </c>
      <c r="L152" s="32">
        <v>5.2410449111470125</v>
      </c>
      <c r="M152" s="53">
        <f t="shared" si="7"/>
        <v>2036</v>
      </c>
      <c r="N152" s="3"/>
      <c r="O152" s="3"/>
    </row>
    <row r="153" spans="8:15">
      <c r="H153" s="28">
        <v>49796</v>
      </c>
      <c r="I153" s="32">
        <v>5.3069251020408164</v>
      </c>
      <c r="J153" s="32">
        <v>5.2366000000000001</v>
      </c>
      <c r="K153" s="32">
        <v>5.8159928691774905</v>
      </c>
      <c r="L153" s="32">
        <v>5.1103906300484656</v>
      </c>
      <c r="M153" s="53">
        <f t="shared" si="7"/>
        <v>2036</v>
      </c>
      <c r="N153" s="3"/>
      <c r="O153" s="3"/>
    </row>
    <row r="154" spans="8:15">
      <c r="H154" s="28">
        <v>49827</v>
      </c>
      <c r="I154" s="32">
        <v>5.3329455102040821</v>
      </c>
      <c r="J154" s="32">
        <v>5.2640000000000002</v>
      </c>
      <c r="K154" s="32">
        <v>5.8346975762480824</v>
      </c>
      <c r="L154" s="32">
        <v>5.1664285945072708</v>
      </c>
      <c r="M154" s="53">
        <f t="shared" si="7"/>
        <v>2036</v>
      </c>
      <c r="N154" s="3"/>
      <c r="O154" s="3"/>
    </row>
    <row r="155" spans="8:15">
      <c r="H155" s="28">
        <v>49857</v>
      </c>
      <c r="I155" s="32">
        <v>5.4912108163265305</v>
      </c>
      <c r="J155" s="32">
        <v>5.4267000000000003</v>
      </c>
      <c r="K155" s="32">
        <v>6.1397795704187166</v>
      </c>
      <c r="L155" s="32">
        <v>5.1640053311793226</v>
      </c>
      <c r="M155" s="53">
        <f t="shared" si="7"/>
        <v>2036</v>
      </c>
      <c r="N155" s="3"/>
      <c r="O155" s="3"/>
    </row>
    <row r="156" spans="8:15">
      <c r="H156" s="28">
        <v>49888</v>
      </c>
      <c r="I156" s="32">
        <v>5.6069251020408171</v>
      </c>
      <c r="J156" s="32">
        <v>5.5408999999999997</v>
      </c>
      <c r="K156" s="32">
        <v>6.2844841174263824</v>
      </c>
      <c r="L156" s="32">
        <v>5.2911256865912772</v>
      </c>
      <c r="M156" s="53">
        <f t="shared" si="7"/>
        <v>2036</v>
      </c>
      <c r="N156" s="3"/>
      <c r="O156" s="3"/>
    </row>
    <row r="157" spans="8:15">
      <c r="H157" s="28">
        <v>49919</v>
      </c>
      <c r="I157" s="32">
        <v>5.636210816326531</v>
      </c>
      <c r="J157" s="32">
        <v>5.5688000000000004</v>
      </c>
      <c r="K157" s="32">
        <v>6.3375664317228724</v>
      </c>
      <c r="L157" s="32">
        <v>5.3478704361873994</v>
      </c>
      <c r="M157" s="53">
        <f t="shared" si="7"/>
        <v>2036</v>
      </c>
      <c r="N157" s="3"/>
      <c r="O157" s="3"/>
    </row>
    <row r="158" spans="8:15">
      <c r="H158" s="28">
        <v>49949</v>
      </c>
      <c r="I158" s="32">
        <v>5.7299863265306126</v>
      </c>
      <c r="J158" s="32">
        <v>5.6580000000000004</v>
      </c>
      <c r="K158" s="32">
        <v>6.3747189130746262</v>
      </c>
      <c r="L158" s="32">
        <v>5.6400756058158334</v>
      </c>
      <c r="M158" s="53">
        <f t="shared" si="7"/>
        <v>2036</v>
      </c>
      <c r="N158" s="3"/>
      <c r="O158" s="3"/>
    </row>
    <row r="159" spans="8:15">
      <c r="H159" s="28">
        <v>49980</v>
      </c>
      <c r="I159" s="32">
        <v>6.051210816326531</v>
      </c>
      <c r="J159" s="32">
        <v>5.9858000000000002</v>
      </c>
      <c r="K159" s="32">
        <v>6.7250210781851543</v>
      </c>
      <c r="L159" s="32">
        <v>5.4783227786752837</v>
      </c>
      <c r="M159" s="53">
        <f t="shared" si="7"/>
        <v>2036</v>
      </c>
      <c r="N159" s="3"/>
      <c r="O159" s="3"/>
    </row>
    <row r="160" spans="8:15">
      <c r="H160" s="28">
        <v>50010</v>
      </c>
      <c r="I160" s="32">
        <v>6.0789659183673468</v>
      </c>
      <c r="J160" s="32">
        <v>6.0330000000000004</v>
      </c>
      <c r="K160" s="32">
        <v>7.0471634095740221</v>
      </c>
      <c r="L160" s="32">
        <v>5.0388033925686599</v>
      </c>
      <c r="M160" s="53">
        <f t="shared" ref="M160:M223" si="9">YEAR(H160)</f>
        <v>2036</v>
      </c>
      <c r="N160" s="3"/>
      <c r="O160" s="3"/>
    </row>
    <row r="161" spans="8:15">
      <c r="H161" s="28">
        <v>50041</v>
      </c>
      <c r="I161" s="32">
        <v>6.3790679591836739</v>
      </c>
      <c r="J161" s="32">
        <v>6.3322000000000003</v>
      </c>
      <c r="K161" s="32">
        <v>7.1714161065429591</v>
      </c>
      <c r="L161" s="32">
        <v>5.5755562197092097</v>
      </c>
      <c r="M161" s="53">
        <f t="shared" si="9"/>
        <v>2037</v>
      </c>
      <c r="N161" s="3"/>
      <c r="O161" s="3"/>
    </row>
    <row r="162" spans="8:15">
      <c r="H162" s="28">
        <v>50072</v>
      </c>
      <c r="I162" s="32">
        <v>6.2594761224489801</v>
      </c>
      <c r="J162" s="32">
        <v>6.2045000000000003</v>
      </c>
      <c r="K162" s="32">
        <v>7.0665361418971369</v>
      </c>
      <c r="L162" s="32">
        <v>5.8106127625201953</v>
      </c>
      <c r="M162" s="53">
        <f t="shared" si="9"/>
        <v>2037</v>
      </c>
      <c r="N162" s="3"/>
      <c r="O162" s="3"/>
    </row>
    <row r="163" spans="8:15">
      <c r="H163" s="28">
        <v>50100</v>
      </c>
      <c r="I163" s="32">
        <v>5.6901904081632662</v>
      </c>
      <c r="J163" s="32">
        <v>5.6212</v>
      </c>
      <c r="K163" s="32">
        <v>6.3640818955921734</v>
      </c>
      <c r="L163" s="32">
        <v>5.61331873990307</v>
      </c>
      <c r="M163" s="53">
        <f t="shared" si="9"/>
        <v>2037</v>
      </c>
      <c r="N163" s="3"/>
      <c r="O163" s="3"/>
    </row>
    <row r="164" spans="8:15">
      <c r="H164" s="28">
        <v>50131</v>
      </c>
      <c r="I164" s="32">
        <v>5.4752924489795918</v>
      </c>
      <c r="J164" s="32">
        <v>5.4016999999999999</v>
      </c>
      <c r="K164" s="32">
        <v>6.0270374624162972</v>
      </c>
      <c r="L164" s="32">
        <v>5.3729108239095318</v>
      </c>
      <c r="M164" s="53">
        <f t="shared" si="9"/>
        <v>2037</v>
      </c>
      <c r="N164" s="3"/>
      <c r="O164" s="3"/>
    </row>
    <row r="165" spans="8:15">
      <c r="H165" s="28">
        <v>50161</v>
      </c>
      <c r="I165" s="32">
        <v>5.4526393877551023</v>
      </c>
      <c r="J165" s="32">
        <v>5.3794000000000004</v>
      </c>
      <c r="K165" s="32">
        <v>5.9575114495962076</v>
      </c>
      <c r="L165" s="32">
        <v>5.2545747980613902</v>
      </c>
      <c r="M165" s="53">
        <f t="shared" si="9"/>
        <v>2037</v>
      </c>
      <c r="N165" s="3"/>
      <c r="O165" s="3"/>
    </row>
    <row r="166" spans="8:15">
      <c r="H166" s="28">
        <v>50192</v>
      </c>
      <c r="I166" s="32">
        <v>5.4950883673469395</v>
      </c>
      <c r="J166" s="32">
        <v>5.4229000000000003</v>
      </c>
      <c r="K166" s="32">
        <v>6.0030399398834202</v>
      </c>
      <c r="L166" s="32">
        <v>5.3268688206785146</v>
      </c>
      <c r="M166" s="53">
        <f t="shared" si="9"/>
        <v>2037</v>
      </c>
      <c r="N166" s="3"/>
      <c r="O166" s="3"/>
    </row>
    <row r="167" spans="8:15">
      <c r="H167" s="28">
        <v>50222</v>
      </c>
      <c r="I167" s="32">
        <v>5.6779455102040819</v>
      </c>
      <c r="J167" s="32">
        <v>5.6097000000000001</v>
      </c>
      <c r="K167" s="32">
        <v>6.3357679021968529</v>
      </c>
      <c r="L167" s="32">
        <v>5.3487791599353809</v>
      </c>
      <c r="M167" s="53">
        <f t="shared" si="9"/>
        <v>2037</v>
      </c>
      <c r="N167" s="3"/>
      <c r="O167" s="3"/>
    </row>
    <row r="168" spans="8:15">
      <c r="H168" s="28">
        <v>50253</v>
      </c>
      <c r="I168" s="32">
        <v>5.7551904081632657</v>
      </c>
      <c r="J168" s="32">
        <v>5.6862000000000004</v>
      </c>
      <c r="K168" s="32">
        <v>6.4583248427555464</v>
      </c>
      <c r="L168" s="32">
        <v>5.4378340872374809</v>
      </c>
      <c r="M168" s="53">
        <f t="shared" si="9"/>
        <v>2037</v>
      </c>
      <c r="N168" s="3"/>
      <c r="O168" s="3"/>
    </row>
    <row r="169" spans="8:15">
      <c r="H169" s="28">
        <v>50284</v>
      </c>
      <c r="I169" s="32">
        <v>5.7901904081632658</v>
      </c>
      <c r="J169" s="32">
        <v>5.7198000000000002</v>
      </c>
      <c r="K169" s="32">
        <v>6.5153125354513914</v>
      </c>
      <c r="L169" s="32">
        <v>5.5002331179321491</v>
      </c>
      <c r="M169" s="53">
        <f t="shared" si="9"/>
        <v>2037</v>
      </c>
      <c r="N169" s="3"/>
      <c r="O169" s="3"/>
    </row>
    <row r="170" spans="8:15">
      <c r="H170" s="28">
        <v>50314</v>
      </c>
      <c r="I170" s="32">
        <v>5.8965169387755099</v>
      </c>
      <c r="J170" s="32">
        <v>5.8211000000000004</v>
      </c>
      <c r="K170" s="32">
        <v>6.5535441345187575</v>
      </c>
      <c r="L170" s="32">
        <v>5.8048575121163175</v>
      </c>
      <c r="M170" s="53">
        <f t="shared" si="9"/>
        <v>2037</v>
      </c>
      <c r="N170" s="3"/>
      <c r="O170" s="3"/>
    </row>
    <row r="171" spans="8:15">
      <c r="H171" s="28">
        <v>50345</v>
      </c>
      <c r="I171" s="32">
        <v>6.0675373469387761</v>
      </c>
      <c r="J171" s="32">
        <v>6.0018000000000002</v>
      </c>
      <c r="K171" s="32">
        <v>6.8757378524655106</v>
      </c>
      <c r="L171" s="32">
        <v>5.4944778675282722</v>
      </c>
      <c r="M171" s="53">
        <f t="shared" si="9"/>
        <v>2037</v>
      </c>
      <c r="N171" s="3"/>
      <c r="O171" s="3"/>
    </row>
    <row r="172" spans="8:15">
      <c r="H172" s="28">
        <v>50375</v>
      </c>
      <c r="I172" s="32">
        <v>6.2014148979591841</v>
      </c>
      <c r="J172" s="32">
        <v>6.1529999999999996</v>
      </c>
      <c r="K172" s="32">
        <v>7.1829780820673657</v>
      </c>
      <c r="L172" s="32">
        <v>5.159966558966075</v>
      </c>
      <c r="M172" s="53">
        <f t="shared" si="9"/>
        <v>2037</v>
      </c>
      <c r="N172" s="3"/>
      <c r="O172" s="3"/>
    </row>
    <row r="173" spans="8:15">
      <c r="H173" s="28">
        <v>50406</v>
      </c>
      <c r="I173" s="32">
        <v>6.4426393877551025</v>
      </c>
      <c r="J173" s="32">
        <v>6.3944999999999999</v>
      </c>
      <c r="K173" s="32">
        <v>7.4266017530060502</v>
      </c>
      <c r="L173" s="32">
        <v>5.6384600969305341</v>
      </c>
      <c r="M173" s="53">
        <f t="shared" si="9"/>
        <v>2038</v>
      </c>
      <c r="N173" s="3"/>
      <c r="O173" s="3"/>
    </row>
    <row r="174" spans="8:15">
      <c r="H174" s="28">
        <v>50437</v>
      </c>
      <c r="I174" s="32">
        <v>6.4116189795918368</v>
      </c>
      <c r="J174" s="32">
        <v>6.3536000000000001</v>
      </c>
      <c r="K174" s="32">
        <v>7.2417643042892283</v>
      </c>
      <c r="L174" s="32">
        <v>5.9611579967689829</v>
      </c>
      <c r="M174" s="53">
        <f t="shared" si="9"/>
        <v>2038</v>
      </c>
      <c r="N174" s="3"/>
      <c r="O174" s="3"/>
    </row>
    <row r="175" spans="8:15">
      <c r="H175" s="28">
        <v>50465</v>
      </c>
      <c r="I175" s="32">
        <v>5.853047551020409</v>
      </c>
      <c r="J175" s="32">
        <v>5.7808999999999999</v>
      </c>
      <c r="K175" s="32">
        <v>6.5583744709600635</v>
      </c>
      <c r="L175" s="32">
        <v>5.7744657512116326</v>
      </c>
      <c r="M175" s="53">
        <f t="shared" si="9"/>
        <v>2038</v>
      </c>
      <c r="N175" s="3"/>
      <c r="O175" s="3"/>
    </row>
    <row r="176" spans="8:15">
      <c r="H176" s="28">
        <v>50496</v>
      </c>
      <c r="I176" s="32">
        <v>5.655190408163266</v>
      </c>
      <c r="J176" s="32">
        <v>5.5780000000000003</v>
      </c>
      <c r="K176" s="32">
        <v>6.1965103303251308</v>
      </c>
      <c r="L176" s="32">
        <v>5.5509197092084017</v>
      </c>
      <c r="M176" s="53">
        <f t="shared" si="9"/>
        <v>2038</v>
      </c>
      <c r="N176" s="3"/>
      <c r="O176" s="3"/>
    </row>
    <row r="177" spans="8:15">
      <c r="H177" s="28">
        <v>50526</v>
      </c>
      <c r="I177" s="32">
        <v>5.6518230612244897</v>
      </c>
      <c r="J177" s="32">
        <v>5.5746000000000002</v>
      </c>
      <c r="K177" s="32">
        <v>6.1709198244977816</v>
      </c>
      <c r="L177" s="32">
        <v>5.451666882067852</v>
      </c>
      <c r="M177" s="53">
        <f t="shared" si="9"/>
        <v>2038</v>
      </c>
      <c r="N177" s="3"/>
      <c r="O177" s="3"/>
    </row>
    <row r="178" spans="8:15">
      <c r="H178" s="28">
        <v>50557</v>
      </c>
      <c r="I178" s="32">
        <v>5.6932516326530616</v>
      </c>
      <c r="J178" s="32">
        <v>5.6170999999999998</v>
      </c>
      <c r="K178" s="32">
        <v>6.2154205836272691</v>
      </c>
      <c r="L178" s="32">
        <v>5.522951211631665</v>
      </c>
      <c r="M178" s="53">
        <f t="shared" si="9"/>
        <v>2038</v>
      </c>
      <c r="N178" s="3"/>
      <c r="O178" s="3"/>
    </row>
    <row r="179" spans="8:15">
      <c r="H179" s="28">
        <v>50587</v>
      </c>
      <c r="I179" s="32">
        <v>5.8719251020408167</v>
      </c>
      <c r="J179" s="32">
        <v>5.7999000000000001</v>
      </c>
      <c r="K179" s="32">
        <v>6.5426501842468738</v>
      </c>
      <c r="L179" s="32">
        <v>5.5407218093699528</v>
      </c>
      <c r="M179" s="53">
        <f t="shared" si="9"/>
        <v>2038</v>
      </c>
      <c r="N179" s="3"/>
      <c r="O179" s="3"/>
    </row>
    <row r="180" spans="8:15">
      <c r="H180" s="28">
        <v>50618</v>
      </c>
      <c r="I180" s="32">
        <v>5.962639387755102</v>
      </c>
      <c r="J180" s="32">
        <v>5.8895</v>
      </c>
      <c r="K180" s="32">
        <v>6.6926475467168212</v>
      </c>
      <c r="L180" s="32">
        <v>5.6431046849757687</v>
      </c>
      <c r="M180" s="53">
        <f t="shared" si="9"/>
        <v>2038</v>
      </c>
      <c r="N180" s="3"/>
      <c r="O180" s="3"/>
    </row>
    <row r="181" spans="8:15">
      <c r="H181" s="28">
        <v>50649</v>
      </c>
      <c r="I181" s="32">
        <v>5.9936597959183677</v>
      </c>
      <c r="J181" s="32">
        <v>5.9192</v>
      </c>
      <c r="K181" s="32">
        <v>6.7292861624897142</v>
      </c>
      <c r="L181" s="32">
        <v>5.701565912762522</v>
      </c>
      <c r="M181" s="53">
        <f t="shared" si="9"/>
        <v>2038</v>
      </c>
      <c r="N181" s="3"/>
      <c r="O181" s="3"/>
    </row>
    <row r="182" spans="8:15">
      <c r="H182" s="28">
        <v>50679</v>
      </c>
      <c r="I182" s="32">
        <v>6.0950883673469392</v>
      </c>
      <c r="J182" s="32">
        <v>6.0156999999999998</v>
      </c>
      <c r="K182" s="32">
        <v>6.7685968792726907</v>
      </c>
      <c r="L182" s="32">
        <v>6.0013437802907932</v>
      </c>
      <c r="M182" s="53">
        <f t="shared" si="9"/>
        <v>2038</v>
      </c>
      <c r="N182" s="3"/>
      <c r="O182" s="3"/>
    </row>
    <row r="183" spans="8:15">
      <c r="H183" s="28">
        <v>50710</v>
      </c>
      <c r="I183" s="32">
        <v>6.2716189795918371</v>
      </c>
      <c r="J183" s="32">
        <v>6.2016999999999998</v>
      </c>
      <c r="K183" s="32">
        <v>7.0969569841657929</v>
      </c>
      <c r="L183" s="32">
        <v>5.6964164781906312</v>
      </c>
      <c r="M183" s="53">
        <f t="shared" si="9"/>
        <v>2038</v>
      </c>
      <c r="N183" s="3"/>
      <c r="O183" s="3"/>
    </row>
    <row r="184" spans="8:15">
      <c r="H184" s="28">
        <v>50740</v>
      </c>
      <c r="I184" s="32">
        <v>6.4132516326530613</v>
      </c>
      <c r="J184" s="32">
        <v>6.3605</v>
      </c>
      <c r="K184" s="32">
        <v>7.4019875917785392</v>
      </c>
      <c r="L184" s="32">
        <v>5.3695788368336039</v>
      </c>
      <c r="M184" s="53">
        <f t="shared" si="9"/>
        <v>2038</v>
      </c>
      <c r="N184" s="3"/>
      <c r="O184" s="3"/>
    </row>
    <row r="185" spans="8:15">
      <c r="H185" s="28">
        <v>50771</v>
      </c>
      <c r="I185" s="32">
        <v>6.5959046938775518</v>
      </c>
      <c r="J185" s="32">
        <v>6.5446999999999997</v>
      </c>
      <c r="K185" s="32">
        <v>7.614008529617184</v>
      </c>
      <c r="L185" s="32">
        <v>5.7901159935379658</v>
      </c>
      <c r="M185" s="53">
        <f t="shared" si="9"/>
        <v>2039</v>
      </c>
      <c r="N185" s="3"/>
      <c r="O185" s="3"/>
    </row>
    <row r="186" spans="8:15">
      <c r="H186" s="28">
        <v>50802</v>
      </c>
      <c r="I186" s="32">
        <v>6.5738638775510205</v>
      </c>
      <c r="J186" s="32">
        <v>6.5125999999999999</v>
      </c>
      <c r="K186" s="32">
        <v>7.4234671729749904</v>
      </c>
      <c r="L186" s="32">
        <v>6.1216991922455577</v>
      </c>
      <c r="M186" s="53">
        <f t="shared" si="9"/>
        <v>2039</v>
      </c>
      <c r="N186" s="3"/>
      <c r="O186" s="3"/>
    </row>
    <row r="187" spans="8:15">
      <c r="H187" s="28">
        <v>50830</v>
      </c>
      <c r="I187" s="32">
        <v>6.0241700000000007</v>
      </c>
      <c r="J187" s="32">
        <v>5.9485999999999999</v>
      </c>
      <c r="K187" s="32">
        <v>6.7503032646651873</v>
      </c>
      <c r="L187" s="32">
        <v>5.9437912762520204</v>
      </c>
      <c r="M187" s="53">
        <f t="shared" si="9"/>
        <v>2039</v>
      </c>
      <c r="N187" s="3"/>
      <c r="O187" s="3"/>
    </row>
    <row r="188" spans="8:15">
      <c r="H188" s="28">
        <v>50861</v>
      </c>
      <c r="I188" s="32">
        <v>5.8279455102040822</v>
      </c>
      <c r="J188" s="32">
        <v>5.7473000000000001</v>
      </c>
      <c r="K188" s="32">
        <v>6.3825296698733371</v>
      </c>
      <c r="L188" s="32">
        <v>5.721860743134088</v>
      </c>
      <c r="M188" s="53">
        <f t="shared" si="9"/>
        <v>2039</v>
      </c>
      <c r="N188" s="3"/>
      <c r="O188" s="3"/>
    </row>
    <row r="189" spans="8:15">
      <c r="H189" s="28">
        <v>50891</v>
      </c>
      <c r="I189" s="32">
        <v>5.8234557142857142</v>
      </c>
      <c r="J189" s="32">
        <v>5.7427999999999999</v>
      </c>
      <c r="K189" s="32">
        <v>6.3585321473404601</v>
      </c>
      <c r="L189" s="32">
        <v>5.6214972536348959</v>
      </c>
      <c r="M189" s="53">
        <f t="shared" si="9"/>
        <v>2039</v>
      </c>
      <c r="N189" s="3"/>
      <c r="O189" s="3"/>
    </row>
    <row r="190" spans="8:15">
      <c r="H190" s="28">
        <v>50922</v>
      </c>
      <c r="I190" s="32">
        <v>5.8608026530612243</v>
      </c>
      <c r="J190" s="32">
        <v>5.7812999999999999</v>
      </c>
      <c r="K190" s="32">
        <v>6.4071438311008464</v>
      </c>
      <c r="L190" s="32">
        <v>5.6887428109854614</v>
      </c>
      <c r="M190" s="53">
        <f t="shared" si="9"/>
        <v>2039</v>
      </c>
      <c r="N190" s="3"/>
      <c r="O190" s="3"/>
    </row>
    <row r="191" spans="8:15">
      <c r="H191" s="28">
        <v>50952</v>
      </c>
      <c r="I191" s="32">
        <v>6.0740679591836741</v>
      </c>
      <c r="J191" s="32">
        <v>5.9980000000000002</v>
      </c>
      <c r="K191" s="32">
        <v>6.8063659993190795</v>
      </c>
      <c r="L191" s="32">
        <v>5.7407420032310181</v>
      </c>
      <c r="M191" s="53">
        <f t="shared" si="9"/>
        <v>2039</v>
      </c>
      <c r="N191" s="3"/>
      <c r="O191" s="3"/>
    </row>
    <row r="192" spans="8:15">
      <c r="H192" s="28">
        <v>50983</v>
      </c>
      <c r="I192" s="32">
        <v>6.1955985714285715</v>
      </c>
      <c r="J192" s="32">
        <v>6.1177999999999999</v>
      </c>
      <c r="K192" s="32">
        <v>6.9772263042908431</v>
      </c>
      <c r="L192" s="32">
        <v>5.8736176090468515</v>
      </c>
      <c r="M192" s="53">
        <f t="shared" si="9"/>
        <v>2039</v>
      </c>
      <c r="N192" s="3"/>
      <c r="O192" s="3"/>
    </row>
    <row r="193" spans="8:15">
      <c r="H193" s="28">
        <v>51014</v>
      </c>
      <c r="I193" s="32">
        <v>6.2332516326530616</v>
      </c>
      <c r="J193" s="32">
        <v>6.1539999999999999</v>
      </c>
      <c r="K193" s="32">
        <v>7.0188494161787007</v>
      </c>
      <c r="L193" s="32">
        <v>5.9386418416801305</v>
      </c>
      <c r="M193" s="53">
        <f t="shared" si="9"/>
        <v>2039</v>
      </c>
      <c r="N193" s="3"/>
      <c r="O193" s="3"/>
    </row>
    <row r="194" spans="8:15">
      <c r="H194" s="28">
        <v>51044</v>
      </c>
      <c r="I194" s="32">
        <v>6.3291700000000004</v>
      </c>
      <c r="J194" s="32">
        <v>6.2450999999999999</v>
      </c>
      <c r="K194" s="32">
        <v>7.0597531162561511</v>
      </c>
      <c r="L194" s="32">
        <v>6.2329673667205183</v>
      </c>
      <c r="M194" s="53">
        <f t="shared" si="9"/>
        <v>2039</v>
      </c>
      <c r="N194" s="3"/>
      <c r="O194" s="3"/>
    </row>
    <row r="195" spans="8:15">
      <c r="H195" s="28">
        <v>51075</v>
      </c>
      <c r="I195" s="32">
        <v>6.666108775510204</v>
      </c>
      <c r="J195" s="32">
        <v>6.5883000000000003</v>
      </c>
      <c r="K195" s="32">
        <v>7.3998807429052036</v>
      </c>
      <c r="L195" s="32">
        <v>6.0867638126009709</v>
      </c>
      <c r="M195" s="53">
        <f t="shared" si="9"/>
        <v>2039</v>
      </c>
      <c r="N195" s="3"/>
      <c r="O195" s="3"/>
    </row>
    <row r="196" spans="8:15">
      <c r="H196" s="28">
        <v>51105</v>
      </c>
      <c r="I196" s="32">
        <v>6.6777414285714292</v>
      </c>
      <c r="J196" s="32">
        <v>6.6196999999999999</v>
      </c>
      <c r="K196" s="32">
        <v>7.7038322328023385</v>
      </c>
      <c r="L196" s="32">
        <v>5.6312912762520204</v>
      </c>
      <c r="M196" s="53">
        <f t="shared" si="9"/>
        <v>2039</v>
      </c>
      <c r="N196" s="3"/>
      <c r="O196" s="3"/>
    </row>
    <row r="197" spans="8:15">
      <c r="H197" s="28">
        <v>51136</v>
      </c>
      <c r="I197" s="32">
        <v>6.894782244897959</v>
      </c>
      <c r="J197" s="32">
        <v>6.8376000000000001</v>
      </c>
      <c r="K197" s="32">
        <v>7.9490488870354978</v>
      </c>
      <c r="L197" s="32">
        <v>6.0858550888529894</v>
      </c>
      <c r="M197" s="53">
        <f t="shared" si="9"/>
        <v>2040</v>
      </c>
      <c r="N197" s="3"/>
      <c r="O197" s="3"/>
    </row>
    <row r="198" spans="8:15">
      <c r="H198" s="28">
        <v>51167</v>
      </c>
      <c r="I198" s="32">
        <v>6.6385577551020409</v>
      </c>
      <c r="J198" s="32">
        <v>6.5759999999999996</v>
      </c>
      <c r="K198" s="32">
        <v>7.4902696982271078</v>
      </c>
      <c r="L198" s="32">
        <v>6.1857137318255262</v>
      </c>
      <c r="M198" s="53">
        <f t="shared" si="9"/>
        <v>2040</v>
      </c>
      <c r="N198" s="3"/>
      <c r="O198" s="3"/>
    </row>
    <row r="199" spans="8:15">
      <c r="H199" s="28">
        <v>51196</v>
      </c>
      <c r="I199" s="32">
        <v>6.2763128571428579</v>
      </c>
      <c r="J199" s="32">
        <v>6.1957000000000004</v>
      </c>
      <c r="K199" s="32">
        <v>7.0343681566603466</v>
      </c>
      <c r="L199" s="32">
        <v>6.1932864297253643</v>
      </c>
      <c r="M199" s="53">
        <f t="shared" si="9"/>
        <v>2040</v>
      </c>
      <c r="N199" s="3"/>
      <c r="O199" s="3"/>
    </row>
    <row r="200" spans="8:15">
      <c r="H200" s="28">
        <v>51227</v>
      </c>
      <c r="I200" s="32">
        <v>6.0760067346938778</v>
      </c>
      <c r="J200" s="32">
        <v>5.9904000000000002</v>
      </c>
      <c r="K200" s="32">
        <v>6.6596573765538523</v>
      </c>
      <c r="L200" s="32">
        <v>5.9673171243941852</v>
      </c>
      <c r="M200" s="53">
        <f t="shared" si="9"/>
        <v>2040</v>
      </c>
      <c r="N200" s="3"/>
      <c r="O200" s="3"/>
    </row>
    <row r="201" spans="8:15">
      <c r="H201" s="28">
        <v>51257</v>
      </c>
      <c r="I201" s="32">
        <v>6.0950883673469392</v>
      </c>
      <c r="J201" s="32">
        <v>6.0090000000000003</v>
      </c>
      <c r="K201" s="32">
        <v>6.6523090987761186</v>
      </c>
      <c r="L201" s="32">
        <v>5.8902775444264952</v>
      </c>
      <c r="M201" s="53">
        <f t="shared" si="9"/>
        <v>2040</v>
      </c>
      <c r="N201" s="3"/>
      <c r="O201" s="3"/>
    </row>
    <row r="202" spans="8:15">
      <c r="H202" s="28">
        <v>51288</v>
      </c>
      <c r="I202" s="32">
        <v>6.1439659183673481</v>
      </c>
      <c r="J202" s="32">
        <v>6.0587999999999997</v>
      </c>
      <c r="K202" s="32">
        <v>6.7105300688612344</v>
      </c>
      <c r="L202" s="32">
        <v>5.9689326332794836</v>
      </c>
      <c r="M202" s="53">
        <f t="shared" si="9"/>
        <v>2040</v>
      </c>
      <c r="N202" s="3"/>
      <c r="O202" s="3"/>
    </row>
    <row r="203" spans="8:15">
      <c r="H203" s="28">
        <v>51318</v>
      </c>
      <c r="I203" s="32">
        <v>6.368149591836735</v>
      </c>
      <c r="J203" s="32">
        <v>6.2862</v>
      </c>
      <c r="K203" s="32">
        <v>7.1224447168773697</v>
      </c>
      <c r="L203" s="32">
        <v>6.0317355411954781</v>
      </c>
      <c r="M203" s="53">
        <f t="shared" si="9"/>
        <v>2040</v>
      </c>
      <c r="N203" s="3"/>
      <c r="O203" s="3"/>
    </row>
    <row r="204" spans="8:15">
      <c r="H204" s="28">
        <v>51349</v>
      </c>
      <c r="I204" s="32">
        <v>6.4654965306122447</v>
      </c>
      <c r="J204" s="32">
        <v>6.3822999999999999</v>
      </c>
      <c r="K204" s="32">
        <v>7.2781973738305767</v>
      </c>
      <c r="L204" s="32">
        <v>6.1406814216478205</v>
      </c>
      <c r="M204" s="53">
        <f t="shared" si="9"/>
        <v>2040</v>
      </c>
      <c r="N204" s="3"/>
      <c r="O204" s="3"/>
    </row>
    <row r="205" spans="8:15">
      <c r="H205" s="28">
        <v>51380</v>
      </c>
      <c r="I205" s="32">
        <v>6.5063128571428575</v>
      </c>
      <c r="J205" s="32">
        <v>6.4215999999999998</v>
      </c>
      <c r="K205" s="32">
        <v>7.3231606119810415</v>
      </c>
      <c r="L205" s="32">
        <v>6.2088357027463665</v>
      </c>
      <c r="M205" s="53">
        <f t="shared" si="9"/>
        <v>2040</v>
      </c>
      <c r="N205" s="3"/>
      <c r="O205" s="3"/>
    </row>
    <row r="206" spans="8:15">
      <c r="H206" s="28">
        <v>51410</v>
      </c>
      <c r="I206" s="32">
        <v>6.603965918367348</v>
      </c>
      <c r="J206" s="32">
        <v>6.5145</v>
      </c>
      <c r="K206" s="32">
        <v>7.3661197743739404</v>
      </c>
      <c r="L206" s="32">
        <v>6.5048777059773837</v>
      </c>
      <c r="M206" s="53">
        <f t="shared" si="9"/>
        <v>2040</v>
      </c>
      <c r="N206" s="3"/>
      <c r="O206" s="3"/>
    </row>
    <row r="207" spans="8:15">
      <c r="H207" s="28">
        <v>51441</v>
      </c>
      <c r="I207" s="32">
        <v>6.8436597959183683</v>
      </c>
      <c r="J207" s="32">
        <v>6.7622999999999998</v>
      </c>
      <c r="K207" s="32">
        <v>7.7302449235558681</v>
      </c>
      <c r="L207" s="32">
        <v>6.2624504038772226</v>
      </c>
      <c r="M207" s="53">
        <f t="shared" si="9"/>
        <v>2040</v>
      </c>
      <c r="N207" s="3"/>
      <c r="O207" s="3"/>
    </row>
    <row r="208" spans="8:15">
      <c r="H208" s="28">
        <v>51471</v>
      </c>
      <c r="I208" s="32">
        <v>7.0044761224489793</v>
      </c>
      <c r="J208" s="32">
        <v>6.9398999999999997</v>
      </c>
      <c r="K208" s="32">
        <v>8.0858399041286813</v>
      </c>
      <c r="L208" s="32">
        <v>5.9545949919224563</v>
      </c>
      <c r="M208" s="53">
        <f t="shared" si="9"/>
        <v>2040</v>
      </c>
      <c r="N208" s="3"/>
      <c r="O208" s="3"/>
    </row>
    <row r="209" spans="8:15">
      <c r="H209" s="28">
        <v>51502</v>
      </c>
      <c r="I209" s="32">
        <v>7.0610067346938781</v>
      </c>
      <c r="J209" s="32">
        <v>7.0004999999999997</v>
      </c>
      <c r="K209" s="32">
        <v>8.1275144025744268</v>
      </c>
      <c r="L209" s="32">
        <v>6.2503340872374809</v>
      </c>
      <c r="M209" s="53">
        <f t="shared" si="9"/>
        <v>2041</v>
      </c>
      <c r="N209" s="3"/>
      <c r="O209" s="3"/>
    </row>
    <row r="210" spans="8:15">
      <c r="H210" s="28">
        <v>51533</v>
      </c>
      <c r="I210" s="32">
        <v>7.0110067346938774</v>
      </c>
      <c r="J210" s="32">
        <v>6.9409999999999998</v>
      </c>
      <c r="K210" s="32">
        <v>7.9177030867248899</v>
      </c>
      <c r="L210" s="32">
        <v>6.5542516962843314</v>
      </c>
      <c r="M210" s="53">
        <f t="shared" si="9"/>
        <v>2041</v>
      </c>
      <c r="N210" s="3"/>
      <c r="O210" s="3"/>
    </row>
    <row r="211" spans="8:15">
      <c r="H211" s="28">
        <v>51561</v>
      </c>
      <c r="I211" s="32">
        <v>6.4816189795918371</v>
      </c>
      <c r="J211" s="32">
        <v>6.3968999999999996</v>
      </c>
      <c r="K211" s="32">
        <v>7.2902218283759579</v>
      </c>
      <c r="L211" s="32">
        <v>6.3964366720516974</v>
      </c>
      <c r="M211" s="53">
        <f t="shared" si="9"/>
        <v>2041</v>
      </c>
      <c r="N211" s="3"/>
      <c r="O211" s="3"/>
    </row>
    <row r="212" spans="8:15">
      <c r="H212" s="28">
        <v>51592</v>
      </c>
      <c r="I212" s="32">
        <v>6.2770271428571434</v>
      </c>
      <c r="J212" s="32">
        <v>6.1874000000000002</v>
      </c>
      <c r="K212" s="32">
        <v>6.8987590303985469</v>
      </c>
      <c r="L212" s="32">
        <v>6.1662266558966081</v>
      </c>
      <c r="M212" s="53">
        <f t="shared" si="9"/>
        <v>2041</v>
      </c>
      <c r="N212" s="3"/>
      <c r="O212" s="3"/>
    </row>
    <row r="213" spans="8:15">
      <c r="H213" s="28">
        <v>51622</v>
      </c>
      <c r="I213" s="32">
        <v>6.294986326530613</v>
      </c>
      <c r="J213" s="32">
        <v>6.2049000000000003</v>
      </c>
      <c r="K213" s="32">
        <v>6.8807737351383613</v>
      </c>
      <c r="L213" s="32">
        <v>6.0880764135702758</v>
      </c>
      <c r="M213" s="53">
        <f t="shared" si="9"/>
        <v>2041</v>
      </c>
      <c r="N213" s="3"/>
      <c r="O213" s="3"/>
    </row>
    <row r="214" spans="8:15">
      <c r="H214" s="28">
        <v>51653</v>
      </c>
      <c r="I214" s="32">
        <v>6.3590679591836743</v>
      </c>
      <c r="J214" s="32">
        <v>6.2695999999999996</v>
      </c>
      <c r="K214" s="32">
        <v>6.9513788656740614</v>
      </c>
      <c r="L214" s="32">
        <v>6.1817759289176104</v>
      </c>
      <c r="M214" s="53">
        <f t="shared" si="9"/>
        <v>2041</v>
      </c>
      <c r="N214" s="3"/>
      <c r="O214" s="3"/>
    </row>
    <row r="215" spans="8:15">
      <c r="H215" s="28">
        <v>51683</v>
      </c>
      <c r="I215" s="32">
        <v>6.5737618367346942</v>
      </c>
      <c r="J215" s="32">
        <v>6.4877000000000002</v>
      </c>
      <c r="K215" s="32">
        <v>7.3628310346692221</v>
      </c>
      <c r="L215" s="32">
        <v>6.2351886914378039</v>
      </c>
      <c r="M215" s="53">
        <f t="shared" si="9"/>
        <v>2041</v>
      </c>
      <c r="N215" s="3"/>
      <c r="O215" s="3"/>
    </row>
    <row r="216" spans="8:15">
      <c r="H216" s="28">
        <v>51714</v>
      </c>
      <c r="I216" s="32">
        <v>6.6727414285714284</v>
      </c>
      <c r="J216" s="32">
        <v>6.5854999999999997</v>
      </c>
      <c r="K216" s="32">
        <v>7.522694616253327</v>
      </c>
      <c r="L216" s="32">
        <v>6.3457500807754457</v>
      </c>
      <c r="M216" s="53">
        <f t="shared" si="9"/>
        <v>2041</v>
      </c>
      <c r="N216" s="3"/>
      <c r="O216" s="3"/>
    </row>
    <row r="217" spans="8:15">
      <c r="H217" s="28">
        <v>51745</v>
      </c>
      <c r="I217" s="32">
        <v>6.7131495918367348</v>
      </c>
      <c r="J217" s="32">
        <v>6.6242999999999999</v>
      </c>
      <c r="K217" s="32">
        <v>7.5673495350564739</v>
      </c>
      <c r="L217" s="32">
        <v>6.4135004846526673</v>
      </c>
      <c r="M217" s="53">
        <f t="shared" si="9"/>
        <v>2041</v>
      </c>
      <c r="N217" s="3"/>
      <c r="O217" s="3"/>
    </row>
    <row r="218" spans="8:15">
      <c r="H218" s="28">
        <v>51775</v>
      </c>
      <c r="I218" s="32">
        <v>6.8099863265306126</v>
      </c>
      <c r="J218" s="32">
        <v>6.7164000000000001</v>
      </c>
      <c r="K218" s="32">
        <v>7.6149334876591368</v>
      </c>
      <c r="L218" s="32">
        <v>6.7087347334410348</v>
      </c>
      <c r="M218" s="53">
        <f t="shared" si="9"/>
        <v>2041</v>
      </c>
      <c r="N218" s="3"/>
      <c r="O218" s="3"/>
    </row>
    <row r="219" spans="8:15">
      <c r="H219" s="28">
        <v>51806</v>
      </c>
      <c r="I219" s="32">
        <v>7.0250883673469389</v>
      </c>
      <c r="J219" s="32">
        <v>6.9401000000000002</v>
      </c>
      <c r="K219" s="32">
        <v>7.9355342223114151</v>
      </c>
      <c r="L219" s="32">
        <v>6.4419738287560593</v>
      </c>
      <c r="M219" s="53">
        <f t="shared" si="9"/>
        <v>2041</v>
      </c>
      <c r="N219" s="3"/>
      <c r="O219" s="3"/>
    </row>
    <row r="220" spans="8:15">
      <c r="H220" s="28">
        <v>51836</v>
      </c>
      <c r="I220" s="32">
        <v>7.1805985714285718</v>
      </c>
      <c r="J220" s="32">
        <v>7.1124999999999998</v>
      </c>
      <c r="K220" s="32">
        <v>8.2676969324881</v>
      </c>
      <c r="L220" s="32">
        <v>6.1288680129240722</v>
      </c>
      <c r="M220" s="53">
        <f t="shared" si="9"/>
        <v>2041</v>
      </c>
      <c r="N220" s="3"/>
      <c r="O220" s="3"/>
    </row>
    <row r="221" spans="8:15">
      <c r="H221" s="28">
        <v>51867</v>
      </c>
      <c r="I221" s="32">
        <v>7.527231224489797</v>
      </c>
      <c r="J221" s="32">
        <v>7.4573999999999998</v>
      </c>
      <c r="K221" s="32">
        <v>8.5099331663638562</v>
      </c>
      <c r="L221" s="32">
        <v>6.71166284329564</v>
      </c>
      <c r="M221" s="53">
        <f t="shared" si="9"/>
        <v>2042</v>
      </c>
      <c r="N221" s="3"/>
      <c r="O221" s="3"/>
    </row>
    <row r="222" spans="8:15">
      <c r="H222" s="28">
        <v>51898</v>
      </c>
      <c r="I222" s="32">
        <v>7.3102924489795926</v>
      </c>
      <c r="J222" s="32">
        <v>7.2342000000000004</v>
      </c>
      <c r="K222" s="32">
        <v>8.2506879818277525</v>
      </c>
      <c r="L222" s="32">
        <v>6.8503946688206794</v>
      </c>
      <c r="M222" s="53">
        <f t="shared" si="9"/>
        <v>2042</v>
      </c>
      <c r="N222" s="3"/>
      <c r="O222" s="3"/>
    </row>
    <row r="223" spans="8:15">
      <c r="H223" s="28">
        <v>51926</v>
      </c>
      <c r="I223" s="32">
        <v>6.789067959183674</v>
      </c>
      <c r="J223" s="32">
        <v>6.6981999999999999</v>
      </c>
      <c r="K223" s="32">
        <v>7.6317368920879378</v>
      </c>
      <c r="L223" s="32">
        <v>6.7006571890145405</v>
      </c>
      <c r="M223" s="53">
        <f t="shared" si="9"/>
        <v>2042</v>
      </c>
      <c r="N223" s="3"/>
      <c r="O223" s="3"/>
    </row>
    <row r="224" spans="8:15">
      <c r="H224" s="28">
        <v>51957</v>
      </c>
      <c r="I224" s="32">
        <v>6.6596802040816332</v>
      </c>
      <c r="J224" s="32">
        <v>6.5624000000000002</v>
      </c>
      <c r="K224" s="32">
        <v>7.2904273746075026</v>
      </c>
      <c r="L224" s="32">
        <v>6.5448615508885313</v>
      </c>
      <c r="M224" s="53">
        <f t="shared" ref="M224:M311" si="10">YEAR(H224)</f>
        <v>2042</v>
      </c>
      <c r="N224" s="3"/>
      <c r="O224" s="3"/>
    </row>
    <row r="225" spans="8:15">
      <c r="H225" s="28">
        <v>51987</v>
      </c>
      <c r="I225" s="32">
        <v>6.658455714285715</v>
      </c>
      <c r="J225" s="32">
        <v>6.5610999999999997</v>
      </c>
      <c r="K225" s="32">
        <v>7.2917120385546585</v>
      </c>
      <c r="L225" s="32">
        <v>6.4477290791599371</v>
      </c>
      <c r="M225" s="53">
        <f t="shared" si="10"/>
        <v>2042</v>
      </c>
      <c r="N225" s="3"/>
      <c r="O225" s="3"/>
    </row>
    <row r="226" spans="8:15">
      <c r="H226" s="28">
        <v>52018</v>
      </c>
      <c r="I226" s="32">
        <v>6.7269251020408172</v>
      </c>
      <c r="J226" s="32">
        <v>6.6300999999999997</v>
      </c>
      <c r="K226" s="32">
        <v>7.3670961189737794</v>
      </c>
      <c r="L226" s="32">
        <v>6.545770274636511</v>
      </c>
      <c r="M226" s="53">
        <f t="shared" si="10"/>
        <v>2042</v>
      </c>
      <c r="N226" s="3"/>
      <c r="O226" s="3"/>
    </row>
    <row r="227" spans="8:15">
      <c r="H227" s="28">
        <v>52048</v>
      </c>
      <c r="I227" s="32">
        <v>6.9248842857142865</v>
      </c>
      <c r="J227" s="32">
        <v>6.8316999999999997</v>
      </c>
      <c r="K227" s="32">
        <v>7.7679626570443734</v>
      </c>
      <c r="L227" s="32">
        <v>6.5826240710823916</v>
      </c>
      <c r="M227" s="53">
        <f t="shared" si="10"/>
        <v>2042</v>
      </c>
      <c r="N227" s="3"/>
      <c r="O227" s="3"/>
    </row>
    <row r="228" spans="8:15">
      <c r="H228" s="28">
        <v>52079</v>
      </c>
      <c r="I228" s="32">
        <v>7.0307006122448987</v>
      </c>
      <c r="J228" s="32">
        <v>6.9362000000000004</v>
      </c>
      <c r="K228" s="32">
        <v>7.9134893889782161</v>
      </c>
      <c r="L228" s="32">
        <v>6.6999504038772226</v>
      </c>
      <c r="M228" s="53">
        <f t="shared" si="10"/>
        <v>2042</v>
      </c>
      <c r="N228" s="3"/>
      <c r="O228" s="3"/>
    </row>
    <row r="229" spans="8:15">
      <c r="H229" s="28">
        <v>52110</v>
      </c>
      <c r="I229" s="32">
        <v>7.0694761224489806</v>
      </c>
      <c r="J229" s="32">
        <v>6.9733999999999998</v>
      </c>
      <c r="K229" s="32">
        <v>7.9566027110447752</v>
      </c>
      <c r="L229" s="32">
        <v>6.7660852988691449</v>
      </c>
      <c r="M229" s="53">
        <f t="shared" si="10"/>
        <v>2042</v>
      </c>
      <c r="N229" s="3"/>
      <c r="O229" s="3"/>
    </row>
    <row r="230" spans="8:15">
      <c r="H230" s="28">
        <v>52140</v>
      </c>
      <c r="I230" s="32">
        <v>7.1612108163265304</v>
      </c>
      <c r="J230" s="32">
        <v>7.0606</v>
      </c>
      <c r="K230" s="32">
        <v>8.0056254872682526</v>
      </c>
      <c r="L230" s="32">
        <v>7.0562710823909542</v>
      </c>
      <c r="M230" s="53">
        <f t="shared" si="10"/>
        <v>2042</v>
      </c>
      <c r="N230" s="3"/>
      <c r="O230" s="3"/>
    </row>
    <row r="231" spans="8:15">
      <c r="H231" s="28">
        <v>52171</v>
      </c>
      <c r="I231" s="32">
        <v>7.3709046938775513</v>
      </c>
      <c r="J231" s="32">
        <v>7.2789999999999999</v>
      </c>
      <c r="K231" s="32">
        <v>8.3160516834590545</v>
      </c>
      <c r="L231" s="32">
        <v>6.7841588045234262</v>
      </c>
      <c r="M231" s="53">
        <f t="shared" si="10"/>
        <v>2042</v>
      </c>
      <c r="N231" s="3"/>
      <c r="O231" s="3"/>
    </row>
    <row r="232" spans="8:15">
      <c r="H232" s="28">
        <v>52201</v>
      </c>
      <c r="I232" s="32">
        <v>7.5360067346938777</v>
      </c>
      <c r="J232" s="32">
        <v>7.4608999999999996</v>
      </c>
      <c r="K232" s="32">
        <v>8.6682551512113761</v>
      </c>
      <c r="L232" s="32">
        <v>6.4805441033925701</v>
      </c>
      <c r="M232" s="53">
        <f t="shared" si="10"/>
        <v>2042</v>
      </c>
      <c r="N232" s="3"/>
      <c r="O232" s="3"/>
    </row>
    <row r="233" spans="8:15">
      <c r="H233" s="28">
        <v>52232</v>
      </c>
      <c r="I233" s="32">
        <v>7.7547822448979593</v>
      </c>
      <c r="J233" s="32">
        <v>7.6803999999999997</v>
      </c>
      <c r="K233" s="32">
        <v>8.9296071846208136</v>
      </c>
      <c r="L233" s="32">
        <v>6.9368243941841694</v>
      </c>
      <c r="M233" s="53">
        <f t="shared" si="10"/>
        <v>2043</v>
      </c>
      <c r="N233" s="3"/>
      <c r="O233" s="3"/>
    </row>
    <row r="234" spans="8:15">
      <c r="H234" s="28">
        <v>52263</v>
      </c>
      <c r="I234" s="32">
        <v>7.6707006122448984</v>
      </c>
      <c r="J234" s="32">
        <v>7.5875000000000004</v>
      </c>
      <c r="K234" s="32">
        <v>8.6608554868757572</v>
      </c>
      <c r="L234" s="32">
        <v>7.2070182552504054</v>
      </c>
      <c r="M234" s="53">
        <f t="shared" si="10"/>
        <v>2043</v>
      </c>
      <c r="N234" s="3"/>
      <c r="O234" s="3"/>
    </row>
    <row r="235" spans="8:15">
      <c r="H235" s="28">
        <v>52291</v>
      </c>
      <c r="I235" s="32">
        <v>7.270088367346939</v>
      </c>
      <c r="J235" s="32">
        <v>7.1696</v>
      </c>
      <c r="K235" s="32">
        <v>8.0194484713396523</v>
      </c>
      <c r="L235" s="32">
        <v>7.1766264943457205</v>
      </c>
      <c r="M235" s="53">
        <f t="shared" si="10"/>
        <v>2043</v>
      </c>
      <c r="N235" s="3"/>
      <c r="O235" s="3"/>
    </row>
    <row r="236" spans="8:15">
      <c r="H236" s="28">
        <v>52322</v>
      </c>
      <c r="I236" s="32">
        <v>6.9737618367346936</v>
      </c>
      <c r="J236" s="32">
        <v>6.8701999999999996</v>
      </c>
      <c r="K236" s="32">
        <v>7.6304522281407818</v>
      </c>
      <c r="L236" s="32">
        <v>6.855645072697901</v>
      </c>
      <c r="M236" s="53">
        <f t="shared" si="10"/>
        <v>2043</v>
      </c>
      <c r="N236" s="3"/>
      <c r="O236" s="3"/>
    </row>
    <row r="237" spans="8:15">
      <c r="H237" s="28">
        <v>52352</v>
      </c>
      <c r="I237" s="32">
        <v>6.9554965306122449</v>
      </c>
      <c r="J237" s="32">
        <v>6.8521999999999998</v>
      </c>
      <c r="K237" s="32">
        <v>7.6119016807438475</v>
      </c>
      <c r="L237" s="32">
        <v>6.7416507269789996</v>
      </c>
      <c r="M237" s="53">
        <f t="shared" si="10"/>
        <v>2043</v>
      </c>
      <c r="N237" s="3"/>
      <c r="O237" s="3"/>
    </row>
    <row r="238" spans="8:15">
      <c r="H238" s="28">
        <v>52383</v>
      </c>
      <c r="I238" s="32">
        <v>7.0484557142857147</v>
      </c>
      <c r="J238" s="32">
        <v>6.9451999999999998</v>
      </c>
      <c r="K238" s="32">
        <v>7.7103583256538926</v>
      </c>
      <c r="L238" s="32">
        <v>6.8639245557350579</v>
      </c>
      <c r="M238" s="53">
        <f t="shared" si="10"/>
        <v>2043</v>
      </c>
      <c r="N238" s="3"/>
      <c r="O238" s="3"/>
    </row>
    <row r="239" spans="8:15">
      <c r="H239" s="28">
        <v>52413</v>
      </c>
      <c r="I239" s="32">
        <v>7.2394761224489805</v>
      </c>
      <c r="J239" s="32">
        <v>7.1401000000000003</v>
      </c>
      <c r="K239" s="32">
        <v>8.1233520913856392</v>
      </c>
      <c r="L239" s="32">
        <v>6.8939124394184175</v>
      </c>
      <c r="M239" s="53">
        <f t="shared" si="10"/>
        <v>2043</v>
      </c>
      <c r="N239" s="3"/>
      <c r="O239" s="3"/>
    </row>
    <row r="240" spans="8:15">
      <c r="H240" s="28">
        <v>52444</v>
      </c>
      <c r="I240" s="32">
        <v>7.3515169387755108</v>
      </c>
      <c r="J240" s="32">
        <v>7.2506000000000004</v>
      </c>
      <c r="K240" s="32">
        <v>8.252126805448567</v>
      </c>
      <c r="L240" s="32">
        <v>7.0173978998384499</v>
      </c>
      <c r="M240" s="53">
        <f t="shared" si="10"/>
        <v>2043</v>
      </c>
      <c r="N240" s="3"/>
      <c r="O240" s="3"/>
    </row>
    <row r="241" spans="8:15">
      <c r="H241" s="28">
        <v>52475</v>
      </c>
      <c r="I241" s="32">
        <v>7.3952924489795917</v>
      </c>
      <c r="J241" s="32">
        <v>7.2927999999999997</v>
      </c>
      <c r="K241" s="32">
        <v>8.3123004647333598</v>
      </c>
      <c r="L241" s="32">
        <v>7.0884802907916002</v>
      </c>
      <c r="M241" s="53">
        <f t="shared" si="10"/>
        <v>2043</v>
      </c>
      <c r="N241" s="3"/>
      <c r="O241" s="3"/>
    </row>
    <row r="242" spans="8:15">
      <c r="H242" s="28">
        <v>52505</v>
      </c>
      <c r="I242" s="32">
        <v>7.492537346938775</v>
      </c>
      <c r="J242" s="32">
        <v>7.3852000000000002</v>
      </c>
      <c r="K242" s="32">
        <v>8.372936603039129</v>
      </c>
      <c r="L242" s="32">
        <v>7.3841184168012939</v>
      </c>
      <c r="M242" s="53">
        <f t="shared" si="10"/>
        <v>2043</v>
      </c>
      <c r="N242" s="3"/>
      <c r="O242" s="3"/>
    </row>
    <row r="243" spans="8:15">
      <c r="H243" s="28">
        <v>52536</v>
      </c>
      <c r="I243" s="32">
        <v>7.7169251020408174</v>
      </c>
      <c r="J243" s="32">
        <v>7.6181000000000001</v>
      </c>
      <c r="K243" s="32">
        <v>8.6891694802710759</v>
      </c>
      <c r="L243" s="32">
        <v>7.1265457189014549</v>
      </c>
      <c r="M243" s="53">
        <f t="shared" si="10"/>
        <v>2043</v>
      </c>
      <c r="N243" s="3"/>
      <c r="O243" s="3"/>
    </row>
    <row r="244" spans="8:15">
      <c r="H244" s="28">
        <v>52566</v>
      </c>
      <c r="I244" s="32">
        <v>7.896312857142858</v>
      </c>
      <c r="J244" s="32">
        <v>7.8139000000000003</v>
      </c>
      <c r="K244" s="32">
        <v>9.0762130342702712</v>
      </c>
      <c r="L244" s="32">
        <v>6.8370667205169644</v>
      </c>
      <c r="M244" s="53">
        <f t="shared" si="10"/>
        <v>2043</v>
      </c>
      <c r="N244" s="3"/>
      <c r="O244" s="3"/>
    </row>
    <row r="245" spans="8:15">
      <c r="H245" s="28">
        <v>52597</v>
      </c>
      <c r="I245" s="32">
        <v>8.1593740816326541</v>
      </c>
      <c r="J245" s="32">
        <v>8.0769000000000002</v>
      </c>
      <c r="K245" s="32">
        <v>9.2545243901355363</v>
      </c>
      <c r="L245" s="32">
        <v>7.3371676898222953</v>
      </c>
      <c r="M245" s="53">
        <f t="shared" si="10"/>
        <v>2044</v>
      </c>
      <c r="N245" s="3"/>
      <c r="O245" s="3"/>
    </row>
    <row r="246" spans="8:15">
      <c r="H246" s="28">
        <v>52628</v>
      </c>
      <c r="I246" s="32">
        <v>7.8485577551020409</v>
      </c>
      <c r="J246" s="32">
        <v>7.7618</v>
      </c>
      <c r="K246" s="32">
        <v>8.8232883963541759</v>
      </c>
      <c r="L246" s="32">
        <v>7.3830077544426507</v>
      </c>
      <c r="M246" s="53">
        <f t="shared" si="10"/>
        <v>2044</v>
      </c>
      <c r="N246" s="3"/>
      <c r="O246" s="3"/>
    </row>
    <row r="247" spans="8:15">
      <c r="H247" s="28">
        <v>52657</v>
      </c>
      <c r="I247" s="32">
        <v>7.4751904081632654</v>
      </c>
      <c r="J247" s="32">
        <v>7.3705999999999996</v>
      </c>
      <c r="K247" s="32">
        <v>8.3887636628680902</v>
      </c>
      <c r="L247" s="32">
        <v>7.3795747980613902</v>
      </c>
      <c r="M247" s="53">
        <f t="shared" si="10"/>
        <v>2044</v>
      </c>
      <c r="N247" s="3"/>
      <c r="O247" s="3"/>
    </row>
    <row r="248" spans="8:15">
      <c r="H248" s="28">
        <v>52688</v>
      </c>
      <c r="I248" s="32">
        <v>7.2827414285714287</v>
      </c>
      <c r="J248" s="32">
        <v>7.173</v>
      </c>
      <c r="K248" s="32">
        <v>8.04683750669302</v>
      </c>
      <c r="L248" s="32">
        <v>7.1613801292407118</v>
      </c>
      <c r="M248" s="53">
        <f t="shared" si="10"/>
        <v>2044</v>
      </c>
      <c r="N248" s="3"/>
      <c r="O248" s="3"/>
    </row>
    <row r="249" spans="8:15">
      <c r="H249" s="28">
        <v>52718</v>
      </c>
      <c r="I249" s="32">
        <v>7.3255985714285714</v>
      </c>
      <c r="J249" s="32">
        <v>7.2149000000000001</v>
      </c>
      <c r="K249" s="32">
        <v>8.0032103190475983</v>
      </c>
      <c r="L249" s="32">
        <v>7.1078663974151866</v>
      </c>
      <c r="M249" s="53">
        <f t="shared" si="10"/>
        <v>2044</v>
      </c>
      <c r="N249" s="3"/>
      <c r="O249" s="3"/>
    </row>
    <row r="250" spans="8:15">
      <c r="H250" s="28">
        <v>52749</v>
      </c>
      <c r="I250" s="32">
        <v>7.4205985714285712</v>
      </c>
      <c r="J250" s="32">
        <v>7.3098000000000001</v>
      </c>
      <c r="K250" s="32">
        <v>8.1021294429786206</v>
      </c>
      <c r="L250" s="32">
        <v>7.2321596122778686</v>
      </c>
      <c r="M250" s="53">
        <f t="shared" si="10"/>
        <v>2044</v>
      </c>
      <c r="N250" s="3"/>
      <c r="O250" s="3"/>
    </row>
    <row r="251" spans="8:15">
      <c r="H251" s="28">
        <v>52779</v>
      </c>
      <c r="I251" s="32">
        <v>7.624067959183674</v>
      </c>
      <c r="J251" s="32">
        <v>7.5170000000000003</v>
      </c>
      <c r="K251" s="32">
        <v>8.5081860233957229</v>
      </c>
      <c r="L251" s="32">
        <v>7.2744657512116326</v>
      </c>
      <c r="M251" s="53">
        <f t="shared" si="10"/>
        <v>2044</v>
      </c>
      <c r="N251" s="3"/>
      <c r="O251" s="3"/>
    </row>
    <row r="252" spans="8:15">
      <c r="H252" s="28">
        <v>52810</v>
      </c>
      <c r="I252" s="32">
        <v>7.7169251020408174</v>
      </c>
      <c r="J252" s="32">
        <v>7.6086999999999998</v>
      </c>
      <c r="K252" s="32">
        <v>8.6453367463941113</v>
      </c>
      <c r="L252" s="32">
        <v>7.378968982229404</v>
      </c>
      <c r="M252" s="53">
        <f t="shared" si="10"/>
        <v>2044</v>
      </c>
      <c r="N252" s="3"/>
      <c r="O252" s="3"/>
    </row>
    <row r="253" spans="8:15">
      <c r="H253" s="28">
        <v>52841</v>
      </c>
      <c r="I253" s="32">
        <v>7.733965918367347</v>
      </c>
      <c r="J253" s="32">
        <v>7.6246</v>
      </c>
      <c r="K253" s="32">
        <v>8.6664052351274687</v>
      </c>
      <c r="L253" s="32">
        <v>7.4235974151857853</v>
      </c>
      <c r="M253" s="53">
        <f t="shared" si="10"/>
        <v>2044</v>
      </c>
      <c r="N253" s="3"/>
      <c r="O253" s="3"/>
    </row>
    <row r="254" spans="8:15">
      <c r="H254" s="28">
        <v>52871</v>
      </c>
      <c r="I254" s="32">
        <v>7.8414148979591847</v>
      </c>
      <c r="J254" s="32">
        <v>7.7271999999999998</v>
      </c>
      <c r="K254" s="32">
        <v>8.746825198219442</v>
      </c>
      <c r="L254" s="32">
        <v>7.7293324717285952</v>
      </c>
      <c r="M254" s="53">
        <f t="shared" si="10"/>
        <v>2044</v>
      </c>
      <c r="N254" s="3"/>
      <c r="O254" s="3"/>
    </row>
    <row r="255" spans="8:15">
      <c r="H255" s="28">
        <v>52902</v>
      </c>
      <c r="I255" s="32">
        <v>8.0444761224489802</v>
      </c>
      <c r="J255" s="32">
        <v>7.9390999999999998</v>
      </c>
      <c r="K255" s="32">
        <v>9.0548876127474784</v>
      </c>
      <c r="L255" s="32">
        <v>7.4506571890145405</v>
      </c>
      <c r="M255" s="53">
        <f t="shared" si="10"/>
        <v>2044</v>
      </c>
      <c r="N255" s="3"/>
      <c r="O255" s="3"/>
    </row>
    <row r="256" spans="8:15">
      <c r="H256" s="28">
        <v>52932</v>
      </c>
      <c r="I256" s="32">
        <v>8.2282516326530608</v>
      </c>
      <c r="J256" s="32">
        <v>8.1392000000000007</v>
      </c>
      <c r="K256" s="32">
        <v>9.4304205777801542</v>
      </c>
      <c r="L256" s="32">
        <v>7.1655198707592902</v>
      </c>
      <c r="M256" s="53">
        <f t="shared" si="10"/>
        <v>2044</v>
      </c>
      <c r="N256" s="3"/>
      <c r="O256" s="3"/>
    </row>
    <row r="257" spans="8:15">
      <c r="H257" s="28">
        <v>52963</v>
      </c>
      <c r="I257" s="32">
        <v>8.4571291836734694</v>
      </c>
      <c r="J257" s="32">
        <v>8.3687000000000005</v>
      </c>
      <c r="K257" s="32">
        <v>9.7156159740488093</v>
      </c>
      <c r="L257" s="32">
        <v>7.6317961227786766</v>
      </c>
      <c r="M257" s="53">
        <f t="shared" si="10"/>
        <v>2045</v>
      </c>
      <c r="N257" s="3"/>
      <c r="O257" s="3"/>
    </row>
    <row r="258" spans="8:15">
      <c r="H258" s="28">
        <v>52994</v>
      </c>
      <c r="I258" s="32">
        <v>8.3526393877551026</v>
      </c>
      <c r="J258" s="32">
        <v>8.2558000000000007</v>
      </c>
      <c r="K258" s="32">
        <v>9.39121263411295</v>
      </c>
      <c r="L258" s="32">
        <v>7.8817961227786766</v>
      </c>
      <c r="M258" s="53">
        <f t="shared" si="10"/>
        <v>2045</v>
      </c>
      <c r="N258" s="3"/>
      <c r="O258" s="3"/>
    </row>
    <row r="259" spans="8:15">
      <c r="H259" s="28">
        <v>53022</v>
      </c>
      <c r="I259" s="32">
        <v>7.7584557142857147</v>
      </c>
      <c r="J259" s="32">
        <v>7.6482000000000001</v>
      </c>
      <c r="K259" s="32">
        <v>8.703454943363452</v>
      </c>
      <c r="L259" s="32">
        <v>7.659865589660745</v>
      </c>
      <c r="M259" s="53">
        <f t="shared" si="10"/>
        <v>2045</v>
      </c>
      <c r="N259" s="3"/>
      <c r="O259" s="3"/>
    </row>
    <row r="260" spans="8:15">
      <c r="H260" s="28">
        <v>53053</v>
      </c>
      <c r="I260" s="32">
        <v>7.5928434693877547</v>
      </c>
      <c r="J260" s="32">
        <v>7.4768999999999997</v>
      </c>
      <c r="K260" s="32">
        <v>8.3765336620911661</v>
      </c>
      <c r="L260" s="32">
        <v>7.4682258481421666</v>
      </c>
      <c r="M260" s="53">
        <f t="shared" si="10"/>
        <v>2045</v>
      </c>
      <c r="N260" s="3"/>
      <c r="O260" s="3"/>
    </row>
    <row r="261" spans="8:15">
      <c r="H261" s="28">
        <v>53083</v>
      </c>
      <c r="I261" s="32">
        <v>7.6375373469387755</v>
      </c>
      <c r="J261" s="32">
        <v>7.5206</v>
      </c>
      <c r="K261" s="32">
        <v>8.3351674829927394</v>
      </c>
      <c r="L261" s="32">
        <v>7.4165295638126016</v>
      </c>
      <c r="M261" s="53">
        <f t="shared" si="10"/>
        <v>2045</v>
      </c>
      <c r="N261" s="3"/>
      <c r="O261" s="3"/>
    </row>
    <row r="262" spans="8:15">
      <c r="H262" s="28">
        <v>53114</v>
      </c>
      <c r="I262" s="32">
        <v>7.7249863265306127</v>
      </c>
      <c r="J262" s="32">
        <v>7.6082000000000001</v>
      </c>
      <c r="K262" s="32">
        <v>8.4280229930931831</v>
      </c>
      <c r="L262" s="32">
        <v>7.5333510500807765</v>
      </c>
      <c r="M262" s="53">
        <f t="shared" si="10"/>
        <v>2045</v>
      </c>
      <c r="N262" s="3"/>
      <c r="O262" s="3"/>
    </row>
    <row r="263" spans="8:15">
      <c r="H263" s="28">
        <v>53144</v>
      </c>
      <c r="I263" s="32">
        <v>7.9437618367346943</v>
      </c>
      <c r="J263" s="32">
        <v>7.8301999999999996</v>
      </c>
      <c r="K263" s="32">
        <v>8.8594131465482047</v>
      </c>
      <c r="L263" s="32">
        <v>7.5908025848142175</v>
      </c>
      <c r="M263" s="53">
        <f t="shared" si="10"/>
        <v>2045</v>
      </c>
      <c r="N263" s="3"/>
      <c r="O263" s="3"/>
    </row>
    <row r="264" spans="8:15">
      <c r="H264" s="28">
        <v>53175</v>
      </c>
      <c r="I264" s="32">
        <v>8.0392720408163267</v>
      </c>
      <c r="J264" s="32">
        <v>7.9245999999999999</v>
      </c>
      <c r="K264" s="32">
        <v>9.0014969791036705</v>
      </c>
      <c r="L264" s="32">
        <v>7.6979310177705988</v>
      </c>
      <c r="M264" s="53">
        <f t="shared" si="10"/>
        <v>2045</v>
      </c>
      <c r="N264" s="3"/>
      <c r="O264" s="3"/>
    </row>
    <row r="265" spans="8:15">
      <c r="H265" s="28">
        <v>53206</v>
      </c>
      <c r="I265" s="32">
        <v>8.0583536734693872</v>
      </c>
      <c r="J265" s="32">
        <v>7.9425999999999997</v>
      </c>
      <c r="K265" s="32">
        <v>9.0244153839209353</v>
      </c>
      <c r="L265" s="32">
        <v>7.7445788368336039</v>
      </c>
      <c r="M265" s="53">
        <f t="shared" si="10"/>
        <v>2045</v>
      </c>
      <c r="N265" s="3"/>
      <c r="O265" s="3"/>
    </row>
    <row r="266" spans="8:15">
      <c r="H266" s="28">
        <v>53236</v>
      </c>
      <c r="I266" s="32">
        <v>8.1675373469387758</v>
      </c>
      <c r="J266" s="32">
        <v>8.0466999999999995</v>
      </c>
      <c r="K266" s="32">
        <v>9.1059144647285208</v>
      </c>
      <c r="L266" s="32">
        <v>8.052030371567044</v>
      </c>
      <c r="M266" s="53">
        <f t="shared" si="10"/>
        <v>2045</v>
      </c>
      <c r="N266" s="3"/>
      <c r="O266" s="3"/>
    </row>
    <row r="267" spans="8:15">
      <c r="H267" s="28">
        <v>53267</v>
      </c>
      <c r="I267" s="32">
        <v>8.368149591836735</v>
      </c>
      <c r="J267" s="32">
        <v>8.2562999999999995</v>
      </c>
      <c r="K267" s="32">
        <v>9.4273373843069788</v>
      </c>
      <c r="L267" s="32">
        <v>7.7709318255250412</v>
      </c>
      <c r="M267" s="53">
        <f t="shared" si="10"/>
        <v>2045</v>
      </c>
      <c r="N267" s="3"/>
      <c r="O267" s="3"/>
    </row>
    <row r="268" spans="8:15">
      <c r="H268" s="28">
        <v>53297</v>
      </c>
      <c r="I268" s="32">
        <v>8.544680204081633</v>
      </c>
      <c r="J268" s="32">
        <v>8.4492999999999991</v>
      </c>
      <c r="K268" s="32">
        <v>9.791000054467931</v>
      </c>
      <c r="L268" s="32">
        <v>7.4786256865912781</v>
      </c>
      <c r="M268" s="53">
        <f t="shared" si="10"/>
        <v>2045</v>
      </c>
      <c r="N268" s="3"/>
      <c r="O268" s="3"/>
    </row>
    <row r="269" spans="8:15">
      <c r="H269" s="28">
        <v>53328</v>
      </c>
      <c r="I269" s="32">
        <v>8.782537346938776</v>
      </c>
      <c r="J269" s="32">
        <v>8.6875999999999998</v>
      </c>
      <c r="K269" s="32">
        <v>10.087038014450584</v>
      </c>
      <c r="L269" s="32">
        <v>7.9537872374798075</v>
      </c>
      <c r="M269" s="53">
        <f t="shared" si="10"/>
        <v>2046</v>
      </c>
      <c r="N269" s="3"/>
      <c r="O269" s="3"/>
    </row>
    <row r="270" spans="8:15">
      <c r="H270" s="28">
        <v>53359</v>
      </c>
      <c r="I270" s="32">
        <v>8.6669251020408158</v>
      </c>
      <c r="J270" s="32">
        <v>8.5638000000000005</v>
      </c>
      <c r="K270" s="32">
        <v>9.7558516488737386</v>
      </c>
      <c r="L270" s="32">
        <v>8.1927815831987072</v>
      </c>
      <c r="M270" s="53">
        <f t="shared" si="10"/>
        <v>2046</v>
      </c>
      <c r="N270" s="3"/>
      <c r="O270" s="3"/>
    </row>
    <row r="271" spans="8:15">
      <c r="H271" s="28">
        <v>53387</v>
      </c>
      <c r="I271" s="32">
        <v>8.053557755102041</v>
      </c>
      <c r="J271" s="32">
        <v>7.9374000000000002</v>
      </c>
      <c r="K271" s="32">
        <v>9.0310956364461479</v>
      </c>
      <c r="L271" s="32">
        <v>7.9518688206785155</v>
      </c>
      <c r="M271" s="53">
        <f t="shared" si="10"/>
        <v>2046</v>
      </c>
      <c r="N271" s="3"/>
      <c r="O271" s="3"/>
    </row>
    <row r="272" spans="8:15">
      <c r="H272" s="28">
        <v>53418</v>
      </c>
      <c r="I272" s="32">
        <v>7.9216189795918375</v>
      </c>
      <c r="J272" s="32">
        <v>7.7991000000000001</v>
      </c>
      <c r="K272" s="32">
        <v>8.652273931708752</v>
      </c>
      <c r="L272" s="32">
        <v>7.7935489499192254</v>
      </c>
      <c r="M272" s="53">
        <f t="shared" si="10"/>
        <v>2046</v>
      </c>
      <c r="N272" s="3"/>
      <c r="O272" s="3"/>
    </row>
    <row r="273" spans="8:15">
      <c r="H273" s="28">
        <v>53448</v>
      </c>
      <c r="I273" s="32">
        <v>7.8886597959183673</v>
      </c>
      <c r="J273" s="32">
        <v>7.7667000000000002</v>
      </c>
      <c r="K273" s="32">
        <v>8.6085439709475597</v>
      </c>
      <c r="L273" s="32">
        <v>7.665015024232634</v>
      </c>
      <c r="M273" s="53">
        <f t="shared" si="10"/>
        <v>2046</v>
      </c>
      <c r="N273" s="3"/>
      <c r="O273" s="3"/>
    </row>
    <row r="274" spans="8:15">
      <c r="H274" s="28">
        <v>53479</v>
      </c>
      <c r="I274" s="32">
        <v>7.984578163265307</v>
      </c>
      <c r="J274" s="32">
        <v>7.8625999999999996</v>
      </c>
      <c r="K274" s="32">
        <v>8.7102379690044351</v>
      </c>
      <c r="L274" s="32">
        <v>7.7902169628432976</v>
      </c>
      <c r="M274" s="53">
        <f t="shared" si="10"/>
        <v>2046</v>
      </c>
      <c r="N274" s="3"/>
      <c r="O274" s="3"/>
    </row>
    <row r="275" spans="8:15">
      <c r="H275" s="28">
        <v>53509</v>
      </c>
      <c r="I275" s="32">
        <v>8.1631495918367349</v>
      </c>
      <c r="J275" s="32">
        <v>8.0451999999999995</v>
      </c>
      <c r="K275" s="32">
        <v>9.0987203466244466</v>
      </c>
      <c r="L275" s="32">
        <v>7.8078865912762527</v>
      </c>
      <c r="M275" s="53">
        <f t="shared" si="10"/>
        <v>2046</v>
      </c>
      <c r="N275" s="3"/>
      <c r="O275" s="3"/>
    </row>
    <row r="276" spans="8:15">
      <c r="H276" s="28">
        <v>53540</v>
      </c>
      <c r="I276" s="32">
        <v>8.2708026530612244</v>
      </c>
      <c r="J276" s="32">
        <v>8.1515000000000004</v>
      </c>
      <c r="K276" s="32">
        <v>9.2613588023344082</v>
      </c>
      <c r="L276" s="32">
        <v>7.9270303715670449</v>
      </c>
      <c r="M276" s="53">
        <f t="shared" si="10"/>
        <v>2046</v>
      </c>
      <c r="N276" s="3"/>
      <c r="O276" s="3"/>
    </row>
    <row r="277" spans="8:15">
      <c r="H277" s="28">
        <v>53571</v>
      </c>
      <c r="I277" s="32">
        <v>8.3111087755102044</v>
      </c>
      <c r="J277" s="32">
        <v>8.1902000000000008</v>
      </c>
      <c r="K277" s="32">
        <v>9.3100732592105686</v>
      </c>
      <c r="L277" s="32">
        <v>7.9946798061389348</v>
      </c>
      <c r="M277" s="53">
        <f t="shared" si="10"/>
        <v>2046</v>
      </c>
      <c r="N277" s="3"/>
      <c r="O277" s="3"/>
    </row>
    <row r="278" spans="8:15">
      <c r="H278" s="28">
        <v>53601</v>
      </c>
      <c r="I278" s="32">
        <v>8.4291700000000009</v>
      </c>
      <c r="J278" s="32">
        <v>8.3032000000000004</v>
      </c>
      <c r="K278" s="32">
        <v>9.3819116671355367</v>
      </c>
      <c r="L278" s="32">
        <v>8.310915670436188</v>
      </c>
      <c r="M278" s="53">
        <f t="shared" si="10"/>
        <v>2046</v>
      </c>
      <c r="N278" s="3"/>
      <c r="O278" s="3"/>
    </row>
    <row r="279" spans="8:15">
      <c r="H279" s="28">
        <v>53632</v>
      </c>
      <c r="I279" s="32">
        <v>8.761516938775511</v>
      </c>
      <c r="J279" s="32">
        <v>8.6417999999999999</v>
      </c>
      <c r="K279" s="32">
        <v>9.7000972335671651</v>
      </c>
      <c r="L279" s="32">
        <v>8.1601684975767377</v>
      </c>
      <c r="M279" s="53">
        <f t="shared" si="10"/>
        <v>2046</v>
      </c>
      <c r="N279" s="3"/>
      <c r="O279" s="3"/>
    </row>
    <row r="280" spans="8:15">
      <c r="H280" s="28">
        <v>53662</v>
      </c>
      <c r="I280" s="32">
        <v>8.9890679591836733</v>
      </c>
      <c r="J280" s="32">
        <v>8.8848000000000003</v>
      </c>
      <c r="K280" s="32">
        <v>10.172648019889071</v>
      </c>
      <c r="L280" s="32">
        <v>7.9183470113085637</v>
      </c>
      <c r="M280" s="53">
        <f t="shared" si="10"/>
        <v>2046</v>
      </c>
      <c r="N280" s="3"/>
      <c r="O280" s="3"/>
    </row>
    <row r="281" spans="8:15">
      <c r="H281" s="28">
        <v>53693</v>
      </c>
      <c r="I281" s="32">
        <v>9.1079455102040807</v>
      </c>
      <c r="J281" s="32">
        <v>9.0065000000000008</v>
      </c>
      <c r="K281" s="32">
        <v>10.48142984622751</v>
      </c>
      <c r="L281" s="32">
        <v>8.2757783521809376</v>
      </c>
      <c r="M281" s="53">
        <f t="shared" ref="M281:M304" si="11">YEAR(H281)</f>
        <v>2047</v>
      </c>
      <c r="N281" s="3"/>
      <c r="O281" s="3"/>
    </row>
    <row r="282" spans="8:15">
      <c r="H282" s="28">
        <v>53724</v>
      </c>
      <c r="I282" s="32">
        <v>8.9531495918367341</v>
      </c>
      <c r="J282" s="32">
        <v>8.8443000000000005</v>
      </c>
      <c r="K282" s="32">
        <v>10.056822718413473</v>
      </c>
      <c r="L282" s="32">
        <v>8.4760004846526655</v>
      </c>
      <c r="M282" s="53">
        <f t="shared" si="11"/>
        <v>2047</v>
      </c>
      <c r="N282" s="3"/>
      <c r="O282" s="3"/>
    </row>
    <row r="283" spans="8:15">
      <c r="H283" s="28">
        <v>53752</v>
      </c>
      <c r="I283" s="32">
        <v>8.3390679591836747</v>
      </c>
      <c r="J283" s="32">
        <v>8.2172000000000001</v>
      </c>
      <c r="K283" s="32">
        <v>9.3498978415724086</v>
      </c>
      <c r="L283" s="32">
        <v>8.2343809369951533</v>
      </c>
      <c r="M283" s="53">
        <f t="shared" si="11"/>
        <v>2047</v>
      </c>
      <c r="N283" s="3"/>
      <c r="O283" s="3"/>
    </row>
    <row r="284" spans="8:15">
      <c r="H284" s="28">
        <v>53783</v>
      </c>
      <c r="I284" s="32">
        <v>8.2140679591836747</v>
      </c>
      <c r="J284" s="32">
        <v>8.0856999999999992</v>
      </c>
      <c r="K284" s="32">
        <v>8.9646528170992337</v>
      </c>
      <c r="L284" s="32">
        <v>8.0829269789983851</v>
      </c>
      <c r="M284" s="53">
        <f t="shared" si="11"/>
        <v>2047</v>
      </c>
      <c r="N284" s="3"/>
      <c r="O284" s="3"/>
    </row>
    <row r="285" spans="8:15">
      <c r="H285" s="28">
        <v>53813</v>
      </c>
      <c r="I285" s="32">
        <v>8.175292448979592</v>
      </c>
      <c r="J285" s="32">
        <v>8.0475999999999992</v>
      </c>
      <c r="K285" s="32">
        <v>8.9144995366022588</v>
      </c>
      <c r="L285" s="32">
        <v>7.9486378029079168</v>
      </c>
      <c r="M285" s="53">
        <f t="shared" si="11"/>
        <v>2047</v>
      </c>
      <c r="N285" s="3"/>
      <c r="O285" s="3"/>
    </row>
    <row r="286" spans="8:15">
      <c r="H286" s="28">
        <v>53844</v>
      </c>
      <c r="I286" s="32">
        <v>8.2793740816326533</v>
      </c>
      <c r="J286" s="32">
        <v>8.1515000000000004</v>
      </c>
      <c r="K286" s="32">
        <v>9.0246723167103671</v>
      </c>
      <c r="L286" s="32">
        <v>8.0819172859450727</v>
      </c>
      <c r="M286" s="53">
        <f t="shared" si="11"/>
        <v>2047</v>
      </c>
      <c r="N286" s="3"/>
      <c r="O286" s="3"/>
    </row>
    <row r="287" spans="8:15">
      <c r="H287" s="28">
        <v>53874</v>
      </c>
      <c r="I287" s="32">
        <v>8.4819251020408153</v>
      </c>
      <c r="J287" s="32">
        <v>8.3575999999999997</v>
      </c>
      <c r="K287" s="32">
        <v>9.4440894021778945</v>
      </c>
      <c r="L287" s="32">
        <v>8.1233147011308571</v>
      </c>
      <c r="M287" s="53">
        <f t="shared" si="11"/>
        <v>2047</v>
      </c>
      <c r="N287" s="3"/>
      <c r="O287" s="3"/>
    </row>
    <row r="288" spans="8:15">
      <c r="H288" s="28">
        <v>53905</v>
      </c>
      <c r="I288" s="32">
        <v>8.6057006122448989</v>
      </c>
      <c r="J288" s="32">
        <v>8.4797999999999991</v>
      </c>
      <c r="K288" s="32">
        <v>9.6160802114231547</v>
      </c>
      <c r="L288" s="32">
        <v>8.2584116316639751</v>
      </c>
      <c r="M288" s="53">
        <f t="shared" si="11"/>
        <v>2047</v>
      </c>
      <c r="N288" s="3"/>
      <c r="O288" s="3"/>
    </row>
    <row r="289" spans="8:15">
      <c r="H289" s="28">
        <v>53936</v>
      </c>
      <c r="I289" s="32">
        <v>8.6560067346938769</v>
      </c>
      <c r="J289" s="32">
        <v>8.5282</v>
      </c>
      <c r="K289" s="32">
        <v>9.6719373998455023</v>
      </c>
      <c r="L289" s="32">
        <v>8.3359560581583203</v>
      </c>
      <c r="M289" s="53">
        <f t="shared" si="11"/>
        <v>2047</v>
      </c>
      <c r="N289" s="3"/>
      <c r="O289" s="3"/>
    </row>
    <row r="290" spans="8:15">
      <c r="H290" s="28">
        <v>53966</v>
      </c>
      <c r="I290" s="32">
        <v>8.7612108163265301</v>
      </c>
      <c r="J290" s="32">
        <v>8.6285000000000007</v>
      </c>
      <c r="K290" s="32">
        <v>9.7399732024868886</v>
      </c>
      <c r="L290" s="32">
        <v>8.6394697899838455</v>
      </c>
      <c r="M290" s="53">
        <f t="shared" si="11"/>
        <v>2047</v>
      </c>
      <c r="N290" s="3"/>
      <c r="O290" s="3"/>
    </row>
    <row r="291" spans="8:15">
      <c r="H291" s="28">
        <v>53997</v>
      </c>
      <c r="I291" s="32">
        <v>8.9913128571428569</v>
      </c>
      <c r="J291" s="32">
        <v>8.8671000000000006</v>
      </c>
      <c r="K291" s="32">
        <v>10.106924612352561</v>
      </c>
      <c r="L291" s="32">
        <v>8.3875513731825517</v>
      </c>
      <c r="M291" s="53">
        <f t="shared" si="11"/>
        <v>2047</v>
      </c>
      <c r="N291" s="3"/>
      <c r="O291" s="3"/>
    </row>
    <row r="292" spans="8:15">
      <c r="H292" s="28">
        <v>54027</v>
      </c>
      <c r="I292" s="32">
        <v>9.2428434693877559</v>
      </c>
      <c r="J292" s="32">
        <v>9.1334999999999997</v>
      </c>
      <c r="K292" s="32">
        <v>10.621252670235982</v>
      </c>
      <c r="L292" s="32">
        <v>8.1694576736672051</v>
      </c>
      <c r="M292" s="53">
        <f t="shared" si="11"/>
        <v>2047</v>
      </c>
      <c r="N292" s="3"/>
      <c r="O292" s="3"/>
    </row>
    <row r="293" spans="8:15">
      <c r="H293" s="28">
        <v>54058</v>
      </c>
      <c r="I293" s="32">
        <v>9.2307006122448989</v>
      </c>
      <c r="J293" s="32">
        <v>9.1267999999999994</v>
      </c>
      <c r="K293" s="32">
        <v>10.632043847392096</v>
      </c>
      <c r="L293" s="32">
        <v>8.3972444264943462</v>
      </c>
      <c r="M293" s="53">
        <f t="shared" si="11"/>
        <v>2048</v>
      </c>
      <c r="N293" s="3"/>
      <c r="O293" s="3"/>
    </row>
    <row r="294" spans="8:15">
      <c r="H294" s="28">
        <v>54089</v>
      </c>
      <c r="I294" s="32">
        <v>9.0757006122448995</v>
      </c>
      <c r="J294" s="32">
        <v>8.9643999999999995</v>
      </c>
      <c r="K294" s="32">
        <v>10.212575375366679</v>
      </c>
      <c r="L294" s="32">
        <v>8.5972646203554124</v>
      </c>
      <c r="M294" s="53">
        <f t="shared" si="11"/>
        <v>2048</v>
      </c>
      <c r="N294" s="3"/>
      <c r="O294" s="3"/>
    </row>
    <row r="295" spans="8:15">
      <c r="H295" s="28">
        <v>54118</v>
      </c>
      <c r="I295" s="32">
        <v>8.6730475510204084</v>
      </c>
      <c r="J295" s="32">
        <v>8.5444999999999993</v>
      </c>
      <c r="K295" s="32">
        <v>9.7119675284388869</v>
      </c>
      <c r="L295" s="32">
        <v>8.5648534733441046</v>
      </c>
      <c r="M295" s="53">
        <f t="shared" si="11"/>
        <v>2048</v>
      </c>
      <c r="N295" s="3"/>
      <c r="O295" s="3"/>
    </row>
    <row r="296" spans="8:15">
      <c r="H296" s="28">
        <v>54149</v>
      </c>
      <c r="I296" s="32">
        <v>8.6084557142857143</v>
      </c>
      <c r="J296" s="32">
        <v>8.4722000000000008</v>
      </c>
      <c r="K296" s="32">
        <v>9.3827338520617189</v>
      </c>
      <c r="L296" s="32">
        <v>8.4731733441033938</v>
      </c>
      <c r="M296" s="53">
        <f t="shared" si="11"/>
        <v>2048</v>
      </c>
      <c r="N296" s="3"/>
      <c r="O296" s="3"/>
    </row>
    <row r="297" spans="8:15">
      <c r="H297" s="28">
        <v>54179</v>
      </c>
      <c r="I297" s="32">
        <v>8.5763128571428577</v>
      </c>
      <c r="J297" s="32">
        <v>8.4405999999999999</v>
      </c>
      <c r="K297" s="32">
        <v>9.3394663703214995</v>
      </c>
      <c r="L297" s="32">
        <v>8.3454471728594513</v>
      </c>
      <c r="M297" s="53">
        <f t="shared" si="11"/>
        <v>2048</v>
      </c>
      <c r="N297" s="3"/>
      <c r="O297" s="3"/>
    </row>
    <row r="298" spans="8:15">
      <c r="H298" s="28">
        <v>54210</v>
      </c>
      <c r="I298" s="32">
        <v>8.6621291836734695</v>
      </c>
      <c r="J298" s="32">
        <v>8.5266000000000002</v>
      </c>
      <c r="K298" s="32">
        <v>9.4307288971274712</v>
      </c>
      <c r="L298" s="32">
        <v>8.4606531502423259</v>
      </c>
      <c r="M298" s="53">
        <f t="shared" si="11"/>
        <v>2048</v>
      </c>
      <c r="N298" s="3"/>
      <c r="O298" s="3"/>
    </row>
    <row r="299" spans="8:15">
      <c r="H299" s="28">
        <v>54240</v>
      </c>
      <c r="I299" s="32">
        <v>8.8919251020408172</v>
      </c>
      <c r="J299" s="32">
        <v>8.7594999999999992</v>
      </c>
      <c r="K299" s="32">
        <v>9.8829819930843072</v>
      </c>
      <c r="L299" s="32">
        <v>8.5290093699515346</v>
      </c>
      <c r="M299" s="53">
        <f t="shared" si="11"/>
        <v>2048</v>
      </c>
      <c r="N299" s="3"/>
      <c r="O299" s="3"/>
    </row>
    <row r="300" spans="8:15">
      <c r="H300" s="28">
        <v>54271</v>
      </c>
      <c r="I300" s="32">
        <v>8.999374081632654</v>
      </c>
      <c r="J300" s="32">
        <v>8.8655000000000008</v>
      </c>
      <c r="K300" s="32">
        <v>10.051992381972166</v>
      </c>
      <c r="L300" s="32">
        <v>8.6479512116316641</v>
      </c>
      <c r="M300" s="53">
        <f t="shared" si="11"/>
        <v>2048</v>
      </c>
      <c r="N300" s="3"/>
      <c r="O300" s="3"/>
    </row>
    <row r="301" spans="8:15">
      <c r="H301" s="28">
        <v>54302</v>
      </c>
      <c r="I301" s="32">
        <v>9.0344761224489805</v>
      </c>
      <c r="J301" s="32">
        <v>8.8992000000000004</v>
      </c>
      <c r="K301" s="32">
        <v>10.091816964334006</v>
      </c>
      <c r="L301" s="32">
        <v>8.7104512116316641</v>
      </c>
      <c r="M301" s="53">
        <f t="shared" si="11"/>
        <v>2048</v>
      </c>
      <c r="N301" s="3"/>
      <c r="O301" s="3"/>
    </row>
    <row r="302" spans="8:15">
      <c r="H302" s="28">
        <v>54332</v>
      </c>
      <c r="I302" s="32">
        <v>9.1488638775510207</v>
      </c>
      <c r="J302" s="32">
        <v>9.0084999999999997</v>
      </c>
      <c r="K302" s="32">
        <v>10.181846213750704</v>
      </c>
      <c r="L302" s="32">
        <v>9.023052180936995</v>
      </c>
      <c r="M302" s="53">
        <f t="shared" si="11"/>
        <v>2048</v>
      </c>
      <c r="N302" s="3"/>
      <c r="O302" s="3"/>
    </row>
    <row r="303" spans="8:15">
      <c r="H303" s="28">
        <v>54363</v>
      </c>
      <c r="I303" s="32">
        <v>9.3845781632653065</v>
      </c>
      <c r="J303" s="32">
        <v>9.2523999999999997</v>
      </c>
      <c r="K303" s="32">
        <v>10.556762540088744</v>
      </c>
      <c r="L303" s="32">
        <v>8.7766870759289173</v>
      </c>
      <c r="M303" s="53">
        <f t="shared" si="11"/>
        <v>2048</v>
      </c>
      <c r="N303" s="3"/>
      <c r="O303" s="3"/>
    </row>
    <row r="304" spans="8:15">
      <c r="H304" s="28">
        <v>54393</v>
      </c>
      <c r="I304" s="32">
        <v>9.6099863265306134</v>
      </c>
      <c r="J304" s="32">
        <v>9.4932999999999996</v>
      </c>
      <c r="K304" s="32">
        <v>10.991492819806371</v>
      </c>
      <c r="L304" s="32">
        <v>8.5327452342487895</v>
      </c>
      <c r="M304" s="53">
        <f t="shared" si="11"/>
        <v>2048</v>
      </c>
      <c r="N304" s="3"/>
      <c r="O304" s="3"/>
    </row>
    <row r="305" spans="8:15">
      <c r="H305" s="28">
        <v>54424</v>
      </c>
      <c r="I305" s="32">
        <v>9.88743530612245</v>
      </c>
      <c r="J305" s="32">
        <v>9.7704000000000004</v>
      </c>
      <c r="K305" s="32">
        <v>11.336810488801936</v>
      </c>
      <c r="L305" s="32">
        <v>9.047082875605815</v>
      </c>
      <c r="M305" s="53">
        <f t="shared" si="10"/>
        <v>2049</v>
      </c>
      <c r="N305" s="3"/>
      <c r="O305" s="3"/>
    </row>
    <row r="306" spans="8:15">
      <c r="H306" s="28">
        <v>54455</v>
      </c>
      <c r="I306" s="32">
        <v>9.7421291836734696</v>
      </c>
      <c r="J306" s="32">
        <v>9.6174999999999997</v>
      </c>
      <c r="K306" s="32">
        <v>10.949561388571199</v>
      </c>
      <c r="L306" s="32">
        <v>9.2566951534733448</v>
      </c>
      <c r="M306" s="53">
        <f t="shared" si="10"/>
        <v>2049</v>
      </c>
      <c r="N306" s="3"/>
      <c r="O306" s="3"/>
    </row>
    <row r="307" spans="8:15">
      <c r="H307" s="28">
        <v>54483</v>
      </c>
      <c r="I307" s="32">
        <v>9.3400883673469401</v>
      </c>
      <c r="J307" s="32">
        <v>9.1981999999999999</v>
      </c>
      <c r="K307" s="32">
        <v>10.265606303105283</v>
      </c>
      <c r="L307" s="32">
        <v>9.2248898222940241</v>
      </c>
      <c r="M307" s="53">
        <f t="shared" si="10"/>
        <v>2049</v>
      </c>
      <c r="N307" s="3"/>
      <c r="O307" s="3"/>
    </row>
    <row r="308" spans="8:15">
      <c r="H308" s="28">
        <v>54514</v>
      </c>
      <c r="I308" s="32">
        <v>9.039067959183674</v>
      </c>
      <c r="J308" s="32">
        <v>8.8941999999999997</v>
      </c>
      <c r="K308" s="32">
        <v>9.8384812339548198</v>
      </c>
      <c r="L308" s="32">
        <v>8.8992638126009691</v>
      </c>
      <c r="M308" s="53">
        <f t="shared" si="10"/>
        <v>2049</v>
      </c>
      <c r="N308" s="3"/>
      <c r="O308" s="3"/>
    </row>
    <row r="309" spans="8:15">
      <c r="H309" s="28">
        <v>54544</v>
      </c>
      <c r="I309" s="32">
        <v>9.0326393877551023</v>
      </c>
      <c r="J309" s="32">
        <v>8.8878000000000004</v>
      </c>
      <c r="K309" s="32">
        <v>9.8158711484848737</v>
      </c>
      <c r="L309" s="32">
        <v>8.7969819063004842</v>
      </c>
      <c r="M309" s="53">
        <f t="shared" si="10"/>
        <v>2049</v>
      </c>
      <c r="N309" s="3"/>
      <c r="O309" s="3"/>
    </row>
    <row r="310" spans="8:15">
      <c r="H310" s="28">
        <v>54575</v>
      </c>
      <c r="I310" s="32">
        <v>9.1101904081632661</v>
      </c>
      <c r="J310" s="32">
        <v>8.9657</v>
      </c>
      <c r="K310" s="32">
        <v>9.8986548932396126</v>
      </c>
      <c r="L310" s="32">
        <v>8.9040093699515364</v>
      </c>
      <c r="M310" s="53">
        <f t="shared" si="10"/>
        <v>2049</v>
      </c>
      <c r="N310" s="3"/>
      <c r="O310" s="3"/>
    </row>
    <row r="311" spans="8:15">
      <c r="H311" s="28">
        <v>54605</v>
      </c>
      <c r="I311" s="32">
        <v>9.2889659183673476</v>
      </c>
      <c r="J311" s="32">
        <v>9.1486000000000001</v>
      </c>
      <c r="K311" s="32">
        <v>10.308668238613958</v>
      </c>
      <c r="L311" s="32">
        <v>8.9218809369951551</v>
      </c>
      <c r="M311" s="53">
        <f t="shared" si="10"/>
        <v>2049</v>
      </c>
      <c r="N311" s="3"/>
      <c r="O311" s="3"/>
    </row>
    <row r="312" spans="8:15">
      <c r="H312" s="28">
        <v>54636</v>
      </c>
      <c r="I312" s="32">
        <v>9.3937618367346953</v>
      </c>
      <c r="J312" s="32">
        <v>9.2520000000000007</v>
      </c>
      <c r="K312" s="32">
        <v>10.472180265807987</v>
      </c>
      <c r="L312" s="32">
        <v>9.0381975767366729</v>
      </c>
      <c r="M312" s="53">
        <f t="shared" ref="M312:M328" si="12">YEAR(H312)</f>
        <v>2049</v>
      </c>
      <c r="N312" s="3"/>
      <c r="O312" s="3"/>
    </row>
    <row r="313" spans="8:15">
      <c r="H313" s="28">
        <v>54667</v>
      </c>
      <c r="I313" s="32">
        <v>9.4301904081632664</v>
      </c>
      <c r="J313" s="32">
        <v>9.2870000000000008</v>
      </c>
      <c r="K313" s="32">
        <v>10.52110026891569</v>
      </c>
      <c r="L313" s="32">
        <v>9.1020101777059779</v>
      </c>
      <c r="M313" s="53">
        <f t="shared" si="12"/>
        <v>2049</v>
      </c>
      <c r="N313" s="3"/>
      <c r="O313" s="3"/>
    </row>
    <row r="314" spans="8:15">
      <c r="H314" s="28">
        <v>54697</v>
      </c>
      <c r="I314" s="32">
        <v>9.550292448979592</v>
      </c>
      <c r="J314" s="32">
        <v>9.4017999999999997</v>
      </c>
      <c r="K314" s="32">
        <v>10.6506971679048</v>
      </c>
      <c r="L314" s="32">
        <v>9.4202654281098539</v>
      </c>
      <c r="M314" s="53">
        <f t="shared" si="12"/>
        <v>2049</v>
      </c>
      <c r="N314" s="3"/>
      <c r="O314" s="3"/>
    </row>
    <row r="315" spans="8:15">
      <c r="H315" s="28">
        <v>54728</v>
      </c>
      <c r="I315" s="32">
        <v>9.713251632653062</v>
      </c>
      <c r="J315" s="32">
        <v>9.5745000000000005</v>
      </c>
      <c r="K315" s="32">
        <v>10.912511680335216</v>
      </c>
      <c r="L315" s="32">
        <v>9.101909208400647</v>
      </c>
      <c r="M315" s="53">
        <f t="shared" si="12"/>
        <v>2049</v>
      </c>
      <c r="N315" s="3"/>
      <c r="O315" s="3"/>
    </row>
    <row r="316" spans="8:15">
      <c r="H316" s="28">
        <v>54758</v>
      </c>
      <c r="I316" s="32">
        <v>9.9443740816326542</v>
      </c>
      <c r="J316" s="32">
        <v>9.8210999999999995</v>
      </c>
      <c r="K316" s="32">
        <v>11.347961371863249</v>
      </c>
      <c r="L316" s="32">
        <v>8.8636216478190644</v>
      </c>
      <c r="M316" s="53">
        <f t="shared" si="12"/>
        <v>2049</v>
      </c>
      <c r="N316" s="3"/>
      <c r="O316" s="3"/>
    </row>
    <row r="317" spans="8:15">
      <c r="H317" s="28">
        <v>54789</v>
      </c>
      <c r="I317" s="32">
        <v>10.234272040816327</v>
      </c>
      <c r="J317" s="32">
        <v>10.110300000000001</v>
      </c>
      <c r="K317" s="32">
        <v>11.720925009001615</v>
      </c>
      <c r="L317" s="32">
        <v>9.3902775444264943</v>
      </c>
      <c r="M317" s="53">
        <f t="shared" si="12"/>
        <v>2050</v>
      </c>
      <c r="N317" s="3"/>
      <c r="O317" s="3"/>
    </row>
    <row r="318" spans="8:15">
      <c r="H318" s="28">
        <v>54820</v>
      </c>
      <c r="I318" s="32">
        <v>10.10478224489796</v>
      </c>
      <c r="J318" s="32">
        <v>9.9728999999999992</v>
      </c>
      <c r="K318" s="32">
        <v>11.337324354380799</v>
      </c>
      <c r="L318" s="32">
        <v>9.6155400646203564</v>
      </c>
      <c r="M318" s="53">
        <f t="shared" si="12"/>
        <v>2050</v>
      </c>
      <c r="N318" s="3"/>
      <c r="O318" s="3"/>
    </row>
    <row r="319" spans="8:15">
      <c r="H319" s="28">
        <v>54848</v>
      </c>
      <c r="I319" s="32">
        <v>9.5791699999999995</v>
      </c>
      <c r="J319" s="32">
        <v>9.4324999999999992</v>
      </c>
      <c r="K319" s="32">
        <v>10.68384149774143</v>
      </c>
      <c r="L319" s="32">
        <v>9.4614609046849765</v>
      </c>
      <c r="M319" s="53">
        <f t="shared" si="12"/>
        <v>2050</v>
      </c>
      <c r="N319" s="3"/>
      <c r="O319" s="3"/>
    </row>
    <row r="320" spans="8:15">
      <c r="H320" s="28">
        <v>54879</v>
      </c>
      <c r="I320" s="32">
        <v>9.4285577551020427</v>
      </c>
      <c r="J320" s="32">
        <v>9.2759</v>
      </c>
      <c r="K320" s="32">
        <v>10.322850928590562</v>
      </c>
      <c r="L320" s="32">
        <v>9.2846636510500815</v>
      </c>
      <c r="M320" s="53">
        <f t="shared" si="12"/>
        <v>2050</v>
      </c>
      <c r="N320" s="3"/>
      <c r="O320" s="3"/>
    </row>
    <row r="321" spans="8:15">
      <c r="H321" s="28">
        <v>54909</v>
      </c>
      <c r="I321" s="32">
        <v>9.4838638775510216</v>
      </c>
      <c r="J321" s="32">
        <v>9.33</v>
      </c>
      <c r="K321" s="32">
        <v>10.292789792227108</v>
      </c>
      <c r="L321" s="32">
        <v>9.2434681744749607</v>
      </c>
      <c r="M321" s="53">
        <f t="shared" si="12"/>
        <v>2050</v>
      </c>
      <c r="N321" s="3"/>
      <c r="O321" s="3"/>
    </row>
    <row r="322" spans="8:15">
      <c r="H322" s="28">
        <v>54940</v>
      </c>
      <c r="I322" s="32">
        <v>9.5693740816326542</v>
      </c>
      <c r="J322" s="32">
        <v>9.4156999999999993</v>
      </c>
      <c r="K322" s="32">
        <v>10.383743999685759</v>
      </c>
      <c r="L322" s="32">
        <v>9.3583712439418427</v>
      </c>
      <c r="M322" s="53">
        <f t="shared" si="12"/>
        <v>2050</v>
      </c>
      <c r="N322" s="3"/>
      <c r="O322" s="3"/>
    </row>
    <row r="323" spans="8:15">
      <c r="H323" s="28">
        <v>54970</v>
      </c>
      <c r="I323" s="32">
        <v>9.8121291836734699</v>
      </c>
      <c r="J323" s="32">
        <v>9.6611999999999991</v>
      </c>
      <c r="K323" s="32">
        <v>10.865081887406213</v>
      </c>
      <c r="L323" s="32">
        <v>9.4395505654281102</v>
      </c>
      <c r="M323" s="53">
        <f t="shared" si="12"/>
        <v>2050</v>
      </c>
      <c r="N323" s="3"/>
      <c r="O323" s="3"/>
    </row>
    <row r="324" spans="8:15">
      <c r="H324" s="28">
        <v>55001</v>
      </c>
      <c r="I324" s="32">
        <v>9.9590679591836739</v>
      </c>
      <c r="J324" s="32">
        <v>9.8059999999999992</v>
      </c>
      <c r="K324" s="32">
        <v>11.062663202478822</v>
      </c>
      <c r="L324" s="32">
        <v>9.5975675282714068</v>
      </c>
      <c r="M324" s="53">
        <f t="shared" si="12"/>
        <v>2050</v>
      </c>
      <c r="N324" s="3"/>
      <c r="O324" s="3"/>
    </row>
    <row r="325" spans="8:15">
      <c r="H325" s="28">
        <v>55032</v>
      </c>
      <c r="I325" s="32">
        <v>10.004578163265306</v>
      </c>
      <c r="J325" s="32">
        <v>9.8498000000000001</v>
      </c>
      <c r="K325" s="32">
        <v>11.113227575438886</v>
      </c>
      <c r="L325" s="32">
        <v>9.6703663974151866</v>
      </c>
      <c r="M325" s="53">
        <f t="shared" si="12"/>
        <v>2050</v>
      </c>
      <c r="N325" s="3"/>
      <c r="O325" s="3"/>
    </row>
    <row r="326" spans="8:15">
      <c r="H326" s="28">
        <v>55062</v>
      </c>
      <c r="I326" s="32">
        <v>10.121823061224491</v>
      </c>
      <c r="J326" s="32">
        <v>9.9619999999999997</v>
      </c>
      <c r="K326" s="32">
        <v>11.243081407217426</v>
      </c>
      <c r="L326" s="32">
        <v>9.9857945072697909</v>
      </c>
      <c r="M326" s="53">
        <f t="shared" si="12"/>
        <v>2050</v>
      </c>
      <c r="N326" s="3"/>
      <c r="O326" s="3"/>
    </row>
    <row r="327" spans="8:15">
      <c r="H327" s="28">
        <v>55093</v>
      </c>
      <c r="I327" s="32">
        <v>10.415904693877552</v>
      </c>
      <c r="J327" s="32">
        <v>10.2631</v>
      </c>
      <c r="K327" s="32">
        <v>11.678633871861233</v>
      </c>
      <c r="L327" s="32">
        <v>9.7971838449111477</v>
      </c>
      <c r="M327" s="53">
        <f t="shared" si="12"/>
        <v>2050</v>
      </c>
      <c r="N327" s="3"/>
      <c r="O327" s="3"/>
    </row>
    <row r="328" spans="8:15">
      <c r="H328" s="28">
        <v>55123</v>
      </c>
      <c r="I328" s="32">
        <v>10.639067959183674</v>
      </c>
      <c r="J328" s="32">
        <v>10.501899999999999</v>
      </c>
      <c r="K328" s="32">
        <v>12.121020748703913</v>
      </c>
      <c r="L328" s="32">
        <v>9.5510206785137317</v>
      </c>
      <c r="M328" s="53">
        <f t="shared" si="12"/>
        <v>2050</v>
      </c>
      <c r="N328" s="3"/>
      <c r="O328" s="3"/>
    </row>
    <row r="329" spans="8:15">
      <c r="H329" s="28">
        <v>55154</v>
      </c>
      <c r="I329" s="32">
        <v>10.469884285714285</v>
      </c>
      <c r="J329" s="32">
        <v>10.341200000000001</v>
      </c>
      <c r="K329" s="32">
        <v>11.990241958883418</v>
      </c>
      <c r="L329" s="32">
        <v>9.623415670436188</v>
      </c>
      <c r="M329" s="53">
        <f t="shared" ref="M329:M340" si="13">YEAR(H329)</f>
        <v>2051</v>
      </c>
    </row>
    <row r="330" spans="8:15">
      <c r="H330" s="28">
        <v>55185</v>
      </c>
      <c r="I330" s="32">
        <v>10.337435306122449</v>
      </c>
      <c r="J330" s="32">
        <v>10.200900000000001</v>
      </c>
      <c r="K330" s="32">
        <v>11.597854202864058</v>
      </c>
      <c r="L330" s="32">
        <v>9.8457500807754439</v>
      </c>
      <c r="M330" s="53">
        <f t="shared" si="13"/>
        <v>2051</v>
      </c>
    </row>
    <row r="331" spans="8:15">
      <c r="H331" s="28">
        <v>55213</v>
      </c>
      <c r="I331" s="32">
        <v>9.7997822448979601</v>
      </c>
      <c r="J331" s="32">
        <v>9.6486999999999998</v>
      </c>
      <c r="K331" s="32">
        <v>10.929315084764019</v>
      </c>
      <c r="L331" s="32">
        <v>9.6797565428109866</v>
      </c>
      <c r="M331" s="53">
        <f t="shared" si="13"/>
        <v>2051</v>
      </c>
    </row>
    <row r="332" spans="8:15">
      <c r="H332" s="28">
        <v>55244</v>
      </c>
      <c r="I332" s="32">
        <v>9.6457006122448998</v>
      </c>
      <c r="J332" s="32">
        <v>9.4886999999999997</v>
      </c>
      <c r="K332" s="32">
        <v>10.559999893235581</v>
      </c>
      <c r="L332" s="32">
        <v>9.4995263327948312</v>
      </c>
      <c r="M332" s="53">
        <f t="shared" si="13"/>
        <v>2051</v>
      </c>
    </row>
    <row r="333" spans="8:15">
      <c r="H333" s="28">
        <v>55274</v>
      </c>
      <c r="I333" s="32">
        <v>9.702231224489795</v>
      </c>
      <c r="J333" s="32">
        <v>9.5440000000000005</v>
      </c>
      <c r="K333" s="32">
        <v>10.529270731619604</v>
      </c>
      <c r="L333" s="32">
        <v>9.4595424878836827</v>
      </c>
      <c r="M333" s="53">
        <f t="shared" si="13"/>
        <v>2051</v>
      </c>
    </row>
    <row r="334" spans="8:15">
      <c r="H334" s="28">
        <v>55305</v>
      </c>
      <c r="I334" s="32">
        <v>9.789680204081634</v>
      </c>
      <c r="J334" s="32">
        <v>9.6316000000000006</v>
      </c>
      <c r="K334" s="32">
        <v>10.622280401393708</v>
      </c>
      <c r="L334" s="32">
        <v>9.5763639741518585</v>
      </c>
      <c r="M334" s="53">
        <f t="shared" si="13"/>
        <v>2051</v>
      </c>
    </row>
    <row r="335" spans="8:15">
      <c r="H335" s="28">
        <v>55335</v>
      </c>
      <c r="I335" s="32">
        <v>10.038047551020409</v>
      </c>
      <c r="J335" s="32">
        <v>9.8826000000000001</v>
      </c>
      <c r="K335" s="32">
        <v>11.114717785617589</v>
      </c>
      <c r="L335" s="32">
        <v>9.663096607431342</v>
      </c>
      <c r="M335" s="53">
        <f t="shared" si="13"/>
        <v>2051</v>
      </c>
    </row>
    <row r="336" spans="8:15">
      <c r="H336" s="28">
        <v>55366</v>
      </c>
      <c r="I336" s="32">
        <v>10.188455714285716</v>
      </c>
      <c r="J336" s="32">
        <v>10.030799999999999</v>
      </c>
      <c r="K336" s="32">
        <v>11.316872504342076</v>
      </c>
      <c r="L336" s="32">
        <v>9.8245465266558973</v>
      </c>
      <c r="M336" s="53">
        <f t="shared" si="13"/>
        <v>2051</v>
      </c>
    </row>
    <row r="337" spans="8:13">
      <c r="H337" s="28">
        <v>55397</v>
      </c>
      <c r="I337" s="32">
        <v>10.234884285714285</v>
      </c>
      <c r="J337" s="32">
        <v>10.0756</v>
      </c>
      <c r="K337" s="32">
        <v>11.368515995017749</v>
      </c>
      <c r="L337" s="32">
        <v>9.8982541195476568</v>
      </c>
      <c r="M337" s="53">
        <f t="shared" si="13"/>
        <v>2051</v>
      </c>
    </row>
    <row r="338" spans="8:13">
      <c r="H338" s="28">
        <v>55427</v>
      </c>
      <c r="I338" s="32">
        <v>10.354884285714286</v>
      </c>
      <c r="J338" s="32">
        <v>10.1904</v>
      </c>
      <c r="K338" s="32">
        <v>11.501453020269464</v>
      </c>
      <c r="L338" s="32">
        <v>10.216408400646204</v>
      </c>
      <c r="M338" s="53">
        <f t="shared" si="13"/>
        <v>2051</v>
      </c>
    </row>
    <row r="339" spans="8:13">
      <c r="H339" s="28">
        <v>55458</v>
      </c>
      <c r="I339" s="32">
        <v>10.655700612244898</v>
      </c>
      <c r="J339" s="32">
        <v>10.498200000000001</v>
      </c>
      <c r="K339" s="32">
        <v>11.946974477143204</v>
      </c>
      <c r="L339" s="32">
        <v>10.034461712439418</v>
      </c>
      <c r="M339" s="53">
        <f t="shared" si="13"/>
        <v>2051</v>
      </c>
    </row>
    <row r="340" spans="8:13">
      <c r="H340" s="28">
        <v>55488</v>
      </c>
      <c r="I340" s="32">
        <v>10.884067959183675</v>
      </c>
      <c r="J340" s="32">
        <v>10.741899999999999</v>
      </c>
      <c r="K340" s="32">
        <v>12.399535892447359</v>
      </c>
      <c r="L340" s="32">
        <v>9.7934479806138928</v>
      </c>
      <c r="M340" s="53">
        <f t="shared" si="13"/>
        <v>2051</v>
      </c>
    </row>
    <row r="341" spans="8:13">
      <c r="H341" s="28">
        <v>55519</v>
      </c>
      <c r="I341" s="32">
        <v>10.711006734693877</v>
      </c>
      <c r="J341" s="32">
        <v>10.577500000000001</v>
      </c>
      <c r="K341" s="32">
        <v>12.265776682269465</v>
      </c>
      <c r="L341" s="32">
        <v>9.862006138933765</v>
      </c>
      <c r="M341" s="53">
        <f>YEAR(H341)</f>
        <v>2052</v>
      </c>
    </row>
    <row r="342" spans="8:13">
      <c r="H342" s="28">
        <v>55550</v>
      </c>
      <c r="I342" s="32">
        <v>10.575496530612245</v>
      </c>
      <c r="J342" s="32">
        <v>10.434200000000001</v>
      </c>
      <c r="K342" s="32">
        <v>11.864344892062123</v>
      </c>
      <c r="L342" s="32">
        <v>10.081311470113086</v>
      </c>
      <c r="M342" s="53">
        <f>YEAR(H342)</f>
        <v>2052</v>
      </c>
    </row>
    <row r="343" spans="8:13">
      <c r="H343" s="28">
        <v>55579</v>
      </c>
      <c r="I343" s="32">
        <v>10.02539448979592</v>
      </c>
      <c r="J343" s="32">
        <v>9.8697999999999997</v>
      </c>
      <c r="K343" s="32">
        <v>11.180492579711981</v>
      </c>
      <c r="L343" s="32">
        <v>9.902999676898224</v>
      </c>
      <c r="M343" s="53">
        <f>YEAR(H343)</f>
        <v>2052</v>
      </c>
    </row>
    <row r="344" spans="8:13">
      <c r="H344" s="28">
        <v>55610</v>
      </c>
      <c r="I344" s="32">
        <v>9.8677414285714296</v>
      </c>
      <c r="J344" s="32">
        <v>9.7063000000000006</v>
      </c>
      <c r="K344" s="32">
        <v>10.802595833016539</v>
      </c>
      <c r="L344" s="32">
        <v>9.7192355411954772</v>
      </c>
      <c r="M344" s="53">
        <f t="shared" ref="M344:M365" si="14">YEAR(H344)</f>
        <v>2052</v>
      </c>
    </row>
    <row r="345" spans="8:13">
      <c r="H345" s="28">
        <v>55640</v>
      </c>
      <c r="I345" s="32">
        <v>9.9257006122448992</v>
      </c>
      <c r="J345" s="32">
        <v>9.7629999999999999</v>
      </c>
      <c r="K345" s="32">
        <v>10.771147259590158</v>
      </c>
      <c r="L345" s="32">
        <v>9.6806652665589681</v>
      </c>
      <c r="M345" s="53">
        <f t="shared" si="14"/>
        <v>2052</v>
      </c>
    </row>
    <row r="346" spans="8:13">
      <c r="H346" s="28">
        <v>55671</v>
      </c>
      <c r="I346" s="32">
        <v>10.015088367346939</v>
      </c>
      <c r="J346" s="32">
        <v>9.8524999999999991</v>
      </c>
      <c r="K346" s="32">
        <v>10.866315164795482</v>
      </c>
      <c r="L346" s="32">
        <v>9.7994051696284341</v>
      </c>
      <c r="M346" s="53">
        <f t="shared" si="14"/>
        <v>2052</v>
      </c>
    </row>
    <row r="347" spans="8:13">
      <c r="H347" s="28">
        <v>55701</v>
      </c>
      <c r="I347" s="32">
        <v>10.269169999999999</v>
      </c>
      <c r="J347" s="32">
        <v>10.1092</v>
      </c>
      <c r="K347" s="32">
        <v>11.370108978312222</v>
      </c>
      <c r="L347" s="32">
        <v>9.8917920840064628</v>
      </c>
      <c r="M347" s="53">
        <f t="shared" si="14"/>
        <v>2052</v>
      </c>
    </row>
    <row r="348" spans="8:13">
      <c r="H348" s="28">
        <v>55732</v>
      </c>
      <c r="I348" s="32">
        <v>10.422945510204082</v>
      </c>
      <c r="J348" s="32">
        <v>10.2607</v>
      </c>
      <c r="K348" s="32">
        <v>11.576888487246471</v>
      </c>
      <c r="L348" s="32">
        <v>10.056573990306948</v>
      </c>
      <c r="M348" s="53">
        <f t="shared" si="14"/>
        <v>2052</v>
      </c>
    </row>
    <row r="349" spans="8:13">
      <c r="H349" s="28">
        <v>55763</v>
      </c>
      <c r="I349" s="32">
        <v>10.470598571428571</v>
      </c>
      <c r="J349" s="32">
        <v>10.3065</v>
      </c>
      <c r="K349" s="32">
        <v>11.629816641869301</v>
      </c>
      <c r="L349" s="32">
        <v>10.131493214862683</v>
      </c>
      <c r="M349" s="53">
        <f t="shared" si="14"/>
        <v>2052</v>
      </c>
    </row>
    <row r="350" spans="8:13">
      <c r="H350" s="28">
        <v>55793</v>
      </c>
      <c r="I350" s="32">
        <v>10.593251632653061</v>
      </c>
      <c r="J350" s="32">
        <v>10.423999999999999</v>
      </c>
      <c r="K350" s="32">
        <v>11.765734087478418</v>
      </c>
      <c r="L350" s="32">
        <v>10.452272697899838</v>
      </c>
      <c r="M350" s="53">
        <f t="shared" si="14"/>
        <v>2052</v>
      </c>
    </row>
    <row r="351" spans="8:13">
      <c r="H351" s="28">
        <v>55824</v>
      </c>
      <c r="I351" s="32">
        <v>10.901108775510204</v>
      </c>
      <c r="J351" s="32">
        <v>10.7386</v>
      </c>
      <c r="K351" s="32">
        <v>12.221481469371522</v>
      </c>
      <c r="L351" s="32">
        <v>10.277292891760906</v>
      </c>
      <c r="M351" s="53">
        <f t="shared" si="14"/>
        <v>2052</v>
      </c>
    </row>
    <row r="352" spans="8:13">
      <c r="H352" s="28">
        <v>55854</v>
      </c>
      <c r="I352" s="32">
        <v>11.134680204081633</v>
      </c>
      <c r="J352" s="32">
        <v>10.987500000000001</v>
      </c>
      <c r="K352" s="32">
        <v>12.684525742484468</v>
      </c>
      <c r="L352" s="32">
        <v>10.041428594507272</v>
      </c>
      <c r="M352" s="53">
        <f t="shared" si="14"/>
        <v>2052</v>
      </c>
    </row>
    <row r="353" spans="8:13">
      <c r="H353" s="28">
        <v>55885</v>
      </c>
      <c r="I353" s="32">
        <v>10.957639387755103</v>
      </c>
      <c r="J353" s="32">
        <v>10.8192</v>
      </c>
      <c r="K353" s="32">
        <v>12.547631952275513</v>
      </c>
      <c r="L353" s="32">
        <v>10.106048949919224</v>
      </c>
      <c r="M353" s="53">
        <f t="shared" si="14"/>
        <v>2053</v>
      </c>
    </row>
    <row r="354" spans="8:13">
      <c r="H354" s="28">
        <v>55916</v>
      </c>
      <c r="I354" s="32">
        <v>10.818965918367347</v>
      </c>
      <c r="J354" s="32">
        <v>10.672800000000001</v>
      </c>
      <c r="K354" s="32">
        <v>12.136950581648648</v>
      </c>
      <c r="L354" s="32">
        <v>10.32222423263328</v>
      </c>
      <c r="M354" s="53">
        <f t="shared" si="14"/>
        <v>2053</v>
      </c>
    </row>
    <row r="355" spans="8:13">
      <c r="H355" s="28">
        <v>55944</v>
      </c>
      <c r="I355" s="32">
        <v>10.256210816326531</v>
      </c>
      <c r="J355" s="32">
        <v>10.096</v>
      </c>
      <c r="K355" s="32">
        <v>11.437373982585315</v>
      </c>
      <c r="L355" s="32">
        <v>10.13139224555735</v>
      </c>
      <c r="M355" s="53">
        <f t="shared" si="14"/>
        <v>2053</v>
      </c>
    </row>
    <row r="356" spans="8:13">
      <c r="H356" s="28">
        <v>55975</v>
      </c>
      <c r="I356" s="32">
        <v>10.094986326530613</v>
      </c>
      <c r="J356" s="32">
        <v>9.9290000000000003</v>
      </c>
      <c r="K356" s="32">
        <v>11.0507929076071</v>
      </c>
      <c r="L356" s="32">
        <v>9.9440941841680139</v>
      </c>
      <c r="M356" s="53">
        <f t="shared" si="14"/>
        <v>2053</v>
      </c>
    </row>
    <row r="357" spans="8:13">
      <c r="H357" s="28">
        <v>56005</v>
      </c>
      <c r="I357" s="32">
        <v>10.154272040816327</v>
      </c>
      <c r="J357" s="32">
        <v>9.9870000000000001</v>
      </c>
      <c r="K357" s="32">
        <v>11.018624922370311</v>
      </c>
      <c r="L357" s="32">
        <v>9.9068365105008098</v>
      </c>
      <c r="M357" s="53">
        <f t="shared" si="14"/>
        <v>2053</v>
      </c>
    </row>
    <row r="358" spans="8:13">
      <c r="H358" s="28">
        <v>56036</v>
      </c>
      <c r="I358" s="32">
        <v>10.245700612244898</v>
      </c>
      <c r="J358" s="32">
        <v>10.0785</v>
      </c>
      <c r="K358" s="32">
        <v>11.116002449564743</v>
      </c>
      <c r="L358" s="32">
        <v>10.027595799676901</v>
      </c>
      <c r="M358" s="53">
        <f t="shared" si="14"/>
        <v>2053</v>
      </c>
    </row>
    <row r="359" spans="8:13">
      <c r="H359" s="28">
        <v>56066</v>
      </c>
      <c r="I359" s="32">
        <v>10.505598571428571</v>
      </c>
      <c r="J359" s="32">
        <v>10.3409</v>
      </c>
      <c r="K359" s="32">
        <v>11.631358238605889</v>
      </c>
      <c r="L359" s="32">
        <v>10.125737964458805</v>
      </c>
      <c r="M359" s="53">
        <f t="shared" si="14"/>
        <v>2053</v>
      </c>
    </row>
    <row r="360" spans="8:13">
      <c r="H360" s="28">
        <v>56097</v>
      </c>
      <c r="I360" s="32">
        <v>10.662945510204082</v>
      </c>
      <c r="J360" s="32">
        <v>10.495900000000001</v>
      </c>
      <c r="K360" s="32">
        <v>11.842865310865671</v>
      </c>
      <c r="L360" s="32">
        <v>10.294053796445882</v>
      </c>
      <c r="M360" s="53">
        <f t="shared" si="14"/>
        <v>2053</v>
      </c>
    </row>
    <row r="361" spans="8:13">
      <c r="H361" s="28">
        <v>56128</v>
      </c>
      <c r="I361" s="32">
        <v>10.711618979591837</v>
      </c>
      <c r="J361" s="32">
        <v>10.5428</v>
      </c>
      <c r="K361" s="32">
        <v>11.897026742877774</v>
      </c>
      <c r="L361" s="32">
        <v>10.369982714054927</v>
      </c>
      <c r="M361" s="53">
        <f t="shared" si="14"/>
        <v>2053</v>
      </c>
    </row>
    <row r="362" spans="8:13">
      <c r="H362" s="28">
        <v>56158</v>
      </c>
      <c r="I362" s="32">
        <v>10.837231224489797</v>
      </c>
      <c r="J362" s="32">
        <v>10.663</v>
      </c>
      <c r="K362" s="32">
        <v>12.036027381960064</v>
      </c>
      <c r="L362" s="32">
        <v>10.693690306946689</v>
      </c>
      <c r="M362" s="53">
        <f t="shared" si="14"/>
        <v>2053</v>
      </c>
    </row>
    <row r="363" spans="8:13">
      <c r="H363" s="28">
        <v>56189</v>
      </c>
      <c r="I363" s="32">
        <v>11.152027142857143</v>
      </c>
      <c r="J363" s="32">
        <v>10.984500000000001</v>
      </c>
      <c r="K363" s="32">
        <v>12.502309008219848</v>
      </c>
      <c r="L363" s="32">
        <v>10.525576413570276</v>
      </c>
      <c r="M363" s="53">
        <f t="shared" si="14"/>
        <v>2053</v>
      </c>
    </row>
    <row r="364" spans="8:13">
      <c r="H364" s="28">
        <v>56219</v>
      </c>
      <c r="I364" s="32">
        <v>11.391006734693878</v>
      </c>
      <c r="J364" s="32">
        <v>11.2387</v>
      </c>
      <c r="K364" s="32">
        <v>12.975990298815248</v>
      </c>
      <c r="L364" s="32">
        <v>10.295063489499192</v>
      </c>
      <c r="M364" s="53">
        <f t="shared" si="14"/>
        <v>2053</v>
      </c>
    </row>
    <row r="365" spans="8:13">
      <c r="H365" s="28">
        <v>0</v>
      </c>
      <c r="I365" s="32" t="e">
        <v>#N/A</v>
      </c>
      <c r="J365" s="32" t="e">
        <v>#N/A</v>
      </c>
      <c r="K365" s="32" t="e">
        <v>#N/A</v>
      </c>
      <c r="L365" s="32" t="e">
        <v>#N/A</v>
      </c>
      <c r="M365" s="53">
        <f t="shared" si="14"/>
        <v>1900</v>
      </c>
    </row>
    <row r="366" spans="8:13">
      <c r="H366" s="28"/>
      <c r="I366" s="32"/>
      <c r="J366" s="32"/>
      <c r="K366" s="32"/>
      <c r="L366" s="32"/>
      <c r="M366" s="53"/>
    </row>
    <row r="367" spans="8:13">
      <c r="H367" s="28"/>
      <c r="I367" s="32"/>
      <c r="J367" s="32"/>
      <c r="K367" s="32"/>
      <c r="L367" s="32"/>
      <c r="M367" s="53"/>
    </row>
    <row r="368" spans="8:13">
      <c r="H368" s="28"/>
      <c r="I368" s="32"/>
      <c r="J368" s="32"/>
      <c r="K368" s="32"/>
      <c r="L368" s="32"/>
      <c r="M368" s="53"/>
    </row>
    <row r="369" spans="8:13">
      <c r="H369" s="28"/>
      <c r="I369" s="32"/>
      <c r="J369" s="32"/>
      <c r="K369" s="32"/>
      <c r="L369" s="32"/>
      <c r="M369" s="53"/>
    </row>
    <row r="370" spans="8:13">
      <c r="H370" s="28"/>
      <c r="I370" s="32"/>
      <c r="J370" s="32"/>
      <c r="K370" s="32"/>
      <c r="L370" s="32"/>
      <c r="M370" s="53"/>
    </row>
    <row r="371" spans="8:13">
      <c r="H371" s="28"/>
      <c r="I371" s="32"/>
      <c r="J371" s="32"/>
      <c r="K371" s="32"/>
      <c r="L371" s="32"/>
      <c r="M371" s="53"/>
    </row>
    <row r="372" spans="8:13">
      <c r="H372" s="28"/>
      <c r="I372" s="32"/>
      <c r="J372" s="32"/>
      <c r="K372" s="32"/>
      <c r="L372" s="32"/>
      <c r="M372" s="53"/>
    </row>
    <row r="373" spans="8:13">
      <c r="H373" s="28"/>
      <c r="I373" s="32"/>
      <c r="J373" s="32"/>
      <c r="K373" s="32"/>
      <c r="L373" s="32"/>
      <c r="M373" s="53"/>
    </row>
    <row r="374" spans="8:13">
      <c r="H374" s="28"/>
      <c r="I374" s="32"/>
      <c r="J374" s="32"/>
      <c r="K374" s="32"/>
      <c r="L374" s="32"/>
      <c r="M374" s="53"/>
    </row>
    <row r="375" spans="8:13">
      <c r="H375" s="28"/>
      <c r="I375" s="32"/>
      <c r="J375" s="32"/>
      <c r="K375" s="32"/>
      <c r="L375" s="32"/>
      <c r="M375" s="53"/>
    </row>
    <row r="376" spans="8:13">
      <c r="H376" s="28"/>
      <c r="I376" s="32"/>
      <c r="J376" s="32"/>
      <c r="K376" s="32"/>
      <c r="L376" s="32"/>
      <c r="M376" s="53"/>
    </row>
    <row r="377" spans="8:13">
      <c r="H377" s="28"/>
      <c r="I377" s="32"/>
      <c r="J377" s="32"/>
      <c r="K377" s="32"/>
      <c r="L377" s="32"/>
      <c r="M377" s="53"/>
    </row>
    <row r="378" spans="8:13">
      <c r="H378" s="28"/>
      <c r="I378" s="32"/>
      <c r="J378" s="32"/>
      <c r="K378" s="32"/>
      <c r="L378" s="32"/>
      <c r="M378" s="53"/>
    </row>
    <row r="379" spans="8:13">
      <c r="H379" s="28"/>
      <c r="I379" s="32"/>
      <c r="J379" s="32"/>
      <c r="K379" s="32"/>
      <c r="L379" s="32"/>
      <c r="M379" s="53"/>
    </row>
    <row r="380" spans="8:13">
      <c r="H380" s="28"/>
    </row>
    <row r="381" spans="8:13">
      <c r="H381" s="28"/>
    </row>
    <row r="382" spans="8:13">
      <c r="H382" s="28"/>
    </row>
    <row r="383" spans="8:13">
      <c r="H383" s="28"/>
    </row>
    <row r="384" spans="8:13">
      <c r="H384" s="28"/>
    </row>
    <row r="385" spans="8:8">
      <c r="H385" s="28"/>
    </row>
    <row r="386" spans="8:8">
      <c r="H386" s="28"/>
    </row>
    <row r="387" spans="8:8">
      <c r="H387" s="28"/>
    </row>
    <row r="388" spans="8:8">
      <c r="H388" s="28"/>
    </row>
    <row r="389" spans="8:8">
      <c r="H389" s="28"/>
    </row>
    <row r="390" spans="8:8">
      <c r="H390" s="28"/>
    </row>
    <row r="391" spans="8:8">
      <c r="H391" s="28"/>
    </row>
    <row r="392" spans="8:8">
      <c r="H392" s="28"/>
    </row>
    <row r="393" spans="8:8">
      <c r="H393" s="28"/>
    </row>
    <row r="394" spans="8:8">
      <c r="H394" s="28"/>
    </row>
    <row r="395" spans="8:8">
      <c r="H395" s="28"/>
    </row>
    <row r="396" spans="8:8">
      <c r="H396" s="28"/>
    </row>
    <row r="397" spans="8:8">
      <c r="H397" s="28"/>
    </row>
    <row r="398" spans="8:8">
      <c r="H398" s="28"/>
    </row>
    <row r="399" spans="8:8">
      <c r="H399" s="28"/>
    </row>
    <row r="400" spans="8:8">
      <c r="H400" s="28"/>
    </row>
    <row r="401" spans="8:8">
      <c r="H401" s="28"/>
    </row>
    <row r="402" spans="8:8">
      <c r="H402" s="28"/>
    </row>
    <row r="403" spans="8:8">
      <c r="H403" s="28"/>
    </row>
    <row r="404" spans="8:8">
      <c r="H404" s="28"/>
    </row>
    <row r="405" spans="8:8">
      <c r="H405" s="28"/>
    </row>
    <row r="406" spans="8:8">
      <c r="H406" s="28"/>
    </row>
    <row r="407" spans="8:8">
      <c r="H407" s="28"/>
    </row>
    <row r="408" spans="8:8">
      <c r="H408" s="28"/>
    </row>
    <row r="409" spans="8:8">
      <c r="H409" s="28"/>
    </row>
    <row r="410" spans="8:8">
      <c r="H410" s="28"/>
    </row>
    <row r="411" spans="8:8">
      <c r="H411" s="28"/>
    </row>
    <row r="412" spans="8:8">
      <c r="H412" s="28"/>
    </row>
    <row r="413" spans="8:8">
      <c r="H413" s="28"/>
    </row>
    <row r="414" spans="8:8">
      <c r="H414" s="28"/>
    </row>
    <row r="415" spans="8:8">
      <c r="H415" s="28"/>
    </row>
    <row r="416" spans="8:8">
      <c r="H416" s="28"/>
    </row>
    <row r="417" spans="8:8">
      <c r="H417" s="28"/>
    </row>
    <row r="418" spans="8:8">
      <c r="H418" s="28"/>
    </row>
    <row r="419" spans="8:8">
      <c r="H419" s="28"/>
    </row>
    <row r="420" spans="8:8">
      <c r="H420" s="28"/>
    </row>
    <row r="421" spans="8:8">
      <c r="H421" s="28"/>
    </row>
    <row r="422" spans="8:8">
      <c r="H422" s="28"/>
    </row>
    <row r="423" spans="8:8">
      <c r="H423" s="28"/>
    </row>
    <row r="424" spans="8:8">
      <c r="H424" s="28"/>
    </row>
    <row r="425" spans="8:8">
      <c r="H425" s="28"/>
    </row>
    <row r="426" spans="8:8">
      <c r="H426" s="28"/>
    </row>
    <row r="427" spans="8:8">
      <c r="H427" s="28"/>
    </row>
    <row r="428" spans="8:8">
      <c r="H428" s="28"/>
    </row>
    <row r="429" spans="8:8">
      <c r="H429" s="28"/>
    </row>
    <row r="430" spans="8:8">
      <c r="H430" s="28"/>
    </row>
    <row r="431" spans="8:8">
      <c r="H431" s="28"/>
    </row>
    <row r="432" spans="8:8">
      <c r="H432" s="28"/>
    </row>
    <row r="433" spans="8:8">
      <c r="H433" s="28"/>
    </row>
    <row r="434" spans="8:8">
      <c r="H434" s="28"/>
    </row>
    <row r="435" spans="8:8">
      <c r="H435" s="28"/>
    </row>
    <row r="436" spans="8:8">
      <c r="H436" s="28"/>
    </row>
    <row r="437" spans="8:8">
      <c r="H437" s="28"/>
    </row>
    <row r="438" spans="8:8">
      <c r="H438" s="28"/>
    </row>
    <row r="439" spans="8:8">
      <c r="H439" s="28"/>
    </row>
    <row r="440" spans="8:8">
      <c r="H440" s="28"/>
    </row>
    <row r="441" spans="8:8">
      <c r="H441" s="28"/>
    </row>
    <row r="442" spans="8:8">
      <c r="H442" s="28"/>
    </row>
    <row r="443" spans="8:8">
      <c r="H443" s="28"/>
    </row>
    <row r="444" spans="8:8">
      <c r="H444" s="28"/>
    </row>
    <row r="445" spans="8:8">
      <c r="H445" s="28"/>
    </row>
    <row r="446" spans="8:8">
      <c r="H446" s="28"/>
    </row>
    <row r="447" spans="8:8">
      <c r="H447" s="28"/>
    </row>
    <row r="448" spans="8:8">
      <c r="H448" s="28"/>
    </row>
    <row r="449" spans="8:8">
      <c r="H449" s="28"/>
    </row>
    <row r="450" spans="8:8">
      <c r="H450" s="28"/>
    </row>
    <row r="451" spans="8:8">
      <c r="H451" s="28"/>
    </row>
    <row r="452" spans="8:8">
      <c r="H452" s="28"/>
    </row>
    <row r="453" spans="8:8">
      <c r="H453" s="28"/>
    </row>
    <row r="454" spans="8:8">
      <c r="H454" s="28"/>
    </row>
    <row r="455" spans="8:8">
      <c r="H455" s="28"/>
    </row>
    <row r="456" spans="8:8">
      <c r="H456" s="28"/>
    </row>
    <row r="457" spans="8:8">
      <c r="H457" s="28"/>
    </row>
    <row r="458" spans="8:8">
      <c r="H458" s="28"/>
    </row>
    <row r="459" spans="8:8">
      <c r="H459" s="28"/>
    </row>
    <row r="460" spans="8:8">
      <c r="H460" s="28"/>
    </row>
    <row r="461" spans="8:8">
      <c r="H461" s="28"/>
    </row>
    <row r="462" spans="8:8">
      <c r="H462" s="28"/>
    </row>
    <row r="463" spans="8:8">
      <c r="H463" s="28"/>
    </row>
    <row r="464" spans="8:8">
      <c r="H464" s="28"/>
    </row>
    <row r="465" spans="8:8">
      <c r="H465" s="28"/>
    </row>
    <row r="466" spans="8:8">
      <c r="H466" s="28"/>
    </row>
    <row r="467" spans="8:8">
      <c r="H467" s="28"/>
    </row>
    <row r="468" spans="8:8">
      <c r="H468" s="28"/>
    </row>
    <row r="469" spans="8:8">
      <c r="H469" s="28"/>
    </row>
    <row r="470" spans="8:8">
      <c r="H470" s="28"/>
    </row>
    <row r="471" spans="8:8">
      <c r="H471" s="28"/>
    </row>
    <row r="472" spans="8:8">
      <c r="H472" s="28"/>
    </row>
    <row r="473" spans="8:8">
      <c r="H473" s="28"/>
    </row>
    <row r="474" spans="8:8">
      <c r="H474" s="28"/>
    </row>
    <row r="475" spans="8:8">
      <c r="H475" s="28"/>
    </row>
    <row r="476" spans="8:8">
      <c r="H476" s="28"/>
    </row>
    <row r="477" spans="8:8">
      <c r="H477" s="28"/>
    </row>
    <row r="478" spans="8:8">
      <c r="H478" s="28"/>
    </row>
    <row r="479" spans="8:8">
      <c r="H479" s="28"/>
    </row>
    <row r="480" spans="8:8">
      <c r="H480" s="28"/>
    </row>
    <row r="481" spans="8:8">
      <c r="H481" s="28"/>
    </row>
    <row r="482" spans="8:8">
      <c r="H482" s="28"/>
    </row>
    <row r="483" spans="8:8">
      <c r="H483" s="28"/>
    </row>
    <row r="484" spans="8:8">
      <c r="H484" s="28"/>
    </row>
    <row r="485" spans="8:8">
      <c r="H485" s="28"/>
    </row>
    <row r="486" spans="8:8">
      <c r="H486" s="28"/>
    </row>
    <row r="487" spans="8:8">
      <c r="H487" s="28"/>
    </row>
    <row r="488" spans="8:8">
      <c r="H488" s="28"/>
    </row>
    <row r="489" spans="8:8">
      <c r="H489" s="28"/>
    </row>
    <row r="490" spans="8:8">
      <c r="H490" s="28"/>
    </row>
    <row r="491" spans="8:8">
      <c r="H491" s="28"/>
    </row>
    <row r="492" spans="8:8">
      <c r="H492" s="28"/>
    </row>
    <row r="493" spans="8:8">
      <c r="H493" s="28"/>
    </row>
    <row r="494" spans="8:8">
      <c r="H494" s="28"/>
    </row>
    <row r="495" spans="8:8">
      <c r="H495" s="28"/>
    </row>
    <row r="496" spans="8:8">
      <c r="H496" s="28"/>
    </row>
    <row r="497" spans="8:8">
      <c r="H497" s="28"/>
    </row>
    <row r="498" spans="8:8">
      <c r="H498" s="28"/>
    </row>
    <row r="499" spans="8:8">
      <c r="H499" s="28"/>
    </row>
    <row r="500" spans="8:8">
      <c r="H500" s="28"/>
    </row>
    <row r="501" spans="8:8">
      <c r="H501" s="28"/>
    </row>
    <row r="502" spans="8:8">
      <c r="H502" s="28"/>
    </row>
    <row r="503" spans="8:8">
      <c r="H503" s="28"/>
    </row>
    <row r="504" spans="8:8">
      <c r="H504" s="28"/>
    </row>
    <row r="505" spans="8:8">
      <c r="H505" s="28"/>
    </row>
    <row r="506" spans="8:8">
      <c r="H506" s="28"/>
    </row>
    <row r="507" spans="8:8">
      <c r="H507" s="28"/>
    </row>
    <row r="508" spans="8:8">
      <c r="H508" s="28"/>
    </row>
    <row r="509" spans="8:8">
      <c r="H509" s="28"/>
    </row>
    <row r="510" spans="8:8">
      <c r="H510" s="28"/>
    </row>
    <row r="511" spans="8:8">
      <c r="H511" s="28"/>
    </row>
    <row r="512" spans="8:8">
      <c r="H512" s="28"/>
    </row>
    <row r="513" spans="8:8">
      <c r="H513" s="28"/>
    </row>
    <row r="514" spans="8:8">
      <c r="H514" s="28"/>
    </row>
    <row r="515" spans="8:8">
      <c r="H515" s="28"/>
    </row>
    <row r="516" spans="8:8">
      <c r="H516" s="28"/>
    </row>
    <row r="517" spans="8:8">
      <c r="H517" s="28"/>
    </row>
    <row r="518" spans="8:8">
      <c r="H518" s="28"/>
    </row>
    <row r="519" spans="8:8">
      <c r="H519" s="28"/>
    </row>
    <row r="520" spans="8:8">
      <c r="H520" s="28"/>
    </row>
    <row r="521" spans="8:8">
      <c r="H521" s="28"/>
    </row>
    <row r="522" spans="8:8">
      <c r="H522" s="28"/>
    </row>
    <row r="523" spans="8:8">
      <c r="H523" s="28"/>
    </row>
    <row r="524" spans="8:8">
      <c r="H524" s="28"/>
    </row>
    <row r="525" spans="8:8">
      <c r="H525" s="28"/>
    </row>
    <row r="526" spans="8:8">
      <c r="H526" s="28"/>
    </row>
    <row r="527" spans="8:8">
      <c r="H527" s="28"/>
    </row>
    <row r="528" spans="8:8">
      <c r="H528" s="28"/>
    </row>
    <row r="529" spans="8:8">
      <c r="H529" s="28"/>
    </row>
    <row r="530" spans="8:8">
      <c r="H530" s="28"/>
    </row>
    <row r="531" spans="8:8">
      <c r="H531" s="28"/>
    </row>
    <row r="532" spans="8:8">
      <c r="H532" s="28"/>
    </row>
    <row r="533" spans="8:8">
      <c r="H533" s="28"/>
    </row>
    <row r="534" spans="8:8">
      <c r="H534" s="28"/>
    </row>
    <row r="535" spans="8:8">
      <c r="H535" s="28"/>
    </row>
    <row r="536" spans="8:8">
      <c r="H536" s="28"/>
    </row>
    <row r="537" spans="8:8">
      <c r="H537" s="28"/>
    </row>
    <row r="538" spans="8:8">
      <c r="H538" s="28"/>
    </row>
    <row r="539" spans="8:8">
      <c r="H539" s="28"/>
    </row>
    <row r="540" spans="8:8">
      <c r="H540" s="28"/>
    </row>
    <row r="541" spans="8:8">
      <c r="H541" s="28"/>
    </row>
    <row r="542" spans="8:8">
      <c r="H542" s="28"/>
    </row>
    <row r="543" spans="8:8">
      <c r="H543" s="28"/>
    </row>
    <row r="544" spans="8:8">
      <c r="H544" s="28"/>
    </row>
    <row r="545" spans="8:8">
      <c r="H545" s="28"/>
    </row>
    <row r="546" spans="8:8">
      <c r="H546" s="28"/>
    </row>
    <row r="547" spans="8:8">
      <c r="H547" s="28"/>
    </row>
    <row r="548" spans="8:8">
      <c r="H548" s="28"/>
    </row>
    <row r="549" spans="8:8">
      <c r="H549" s="28"/>
    </row>
    <row r="550" spans="8:8">
      <c r="H550" s="28"/>
    </row>
    <row r="551" spans="8:8">
      <c r="H551" s="28"/>
    </row>
    <row r="552" spans="8:8">
      <c r="H552" s="28"/>
    </row>
    <row r="553" spans="8:8">
      <c r="H553" s="28"/>
    </row>
    <row r="554" spans="8:8">
      <c r="H554" s="28"/>
    </row>
    <row r="555" spans="8:8">
      <c r="H555" s="28"/>
    </row>
    <row r="556" spans="8:8">
      <c r="H556" s="28"/>
    </row>
    <row r="557" spans="8:8">
      <c r="H557" s="28"/>
    </row>
    <row r="558" spans="8:8">
      <c r="H558" s="28"/>
    </row>
    <row r="559" spans="8:8">
      <c r="H559" s="28"/>
    </row>
    <row r="560" spans="8:8">
      <c r="H560" s="28"/>
    </row>
    <row r="561" spans="8:8">
      <c r="H561" s="28"/>
    </row>
    <row r="562" spans="8:8">
      <c r="H562" s="28"/>
    </row>
    <row r="563" spans="8:8">
      <c r="H563" s="28"/>
    </row>
    <row r="564" spans="8:8">
      <c r="H564" s="28"/>
    </row>
    <row r="565" spans="8:8">
      <c r="H565" s="28"/>
    </row>
    <row r="566" spans="8:8">
      <c r="H566" s="28"/>
    </row>
    <row r="567" spans="8:8">
      <c r="H567" s="28"/>
    </row>
    <row r="568" spans="8:8">
      <c r="H568" s="28"/>
    </row>
    <row r="569" spans="8:8">
      <c r="H569" s="28"/>
    </row>
    <row r="570" spans="8:8">
      <c r="H570" s="28"/>
    </row>
    <row r="571" spans="8:8">
      <c r="H571" s="28"/>
    </row>
    <row r="572" spans="8:8">
      <c r="H572" s="28"/>
    </row>
    <row r="573" spans="8:8">
      <c r="H573" s="28"/>
    </row>
    <row r="574" spans="8:8">
      <c r="H574" s="28"/>
    </row>
    <row r="575" spans="8:8">
      <c r="H575" s="28"/>
    </row>
    <row r="576" spans="8:8">
      <c r="H576" s="28"/>
    </row>
    <row r="577" spans="8:8">
      <c r="H577" s="28"/>
    </row>
    <row r="578" spans="8:8">
      <c r="H578" s="28"/>
    </row>
    <row r="579" spans="8:8">
      <c r="H579" s="28"/>
    </row>
    <row r="580" spans="8:8">
      <c r="H580" s="28"/>
    </row>
    <row r="581" spans="8:8">
      <c r="H581" s="28"/>
    </row>
    <row r="582" spans="8:8">
      <c r="H582" s="28"/>
    </row>
    <row r="583" spans="8:8">
      <c r="H583" s="28"/>
    </row>
    <row r="584" spans="8:8">
      <c r="H584" s="28"/>
    </row>
    <row r="585" spans="8:8">
      <c r="H585" s="28"/>
    </row>
    <row r="586" spans="8:8">
      <c r="H586" s="28"/>
    </row>
    <row r="587" spans="8:8">
      <c r="H587" s="28"/>
    </row>
    <row r="588" spans="8:8">
      <c r="H588" s="28"/>
    </row>
    <row r="589" spans="8:8">
      <c r="H589" s="28"/>
    </row>
    <row r="590" spans="8:8">
      <c r="H590" s="28"/>
    </row>
    <row r="591" spans="8:8">
      <c r="H591" s="28"/>
    </row>
    <row r="592" spans="8:8">
      <c r="H592" s="28"/>
    </row>
    <row r="593" spans="8:8">
      <c r="H593" s="28"/>
    </row>
    <row r="594" spans="8:8">
      <c r="H594" s="28"/>
    </row>
    <row r="595" spans="8:8">
      <c r="H595" s="28"/>
    </row>
    <row r="596" spans="8:8">
      <c r="H596" s="28"/>
    </row>
    <row r="597" spans="8:8">
      <c r="H597" s="28"/>
    </row>
    <row r="598" spans="8:8">
      <c r="H598" s="28"/>
    </row>
    <row r="599" spans="8:8">
      <c r="H599" s="28"/>
    </row>
    <row r="600" spans="8:8">
      <c r="H600" s="28"/>
    </row>
    <row r="601" spans="8:8">
      <c r="H601" s="28"/>
    </row>
    <row r="602" spans="8:8">
      <c r="H602" s="28"/>
    </row>
    <row r="603" spans="8:8">
      <c r="H603" s="28"/>
    </row>
    <row r="604" spans="8:8">
      <c r="H604" s="28"/>
    </row>
    <row r="605" spans="8:8">
      <c r="H605" s="28"/>
    </row>
    <row r="606" spans="8:8">
      <c r="H606" s="28"/>
    </row>
    <row r="607" spans="8:8">
      <c r="H607" s="28"/>
    </row>
    <row r="608" spans="8:8">
      <c r="H608" s="28"/>
    </row>
    <row r="609" spans="8:8">
      <c r="H609" s="28"/>
    </row>
    <row r="610" spans="8:8">
      <c r="H610" s="28"/>
    </row>
    <row r="611" spans="8:8">
      <c r="H611" s="28"/>
    </row>
    <row r="612" spans="8:8">
      <c r="H612" s="28"/>
    </row>
    <row r="613" spans="8:8">
      <c r="H613" s="28"/>
    </row>
    <row r="614" spans="8:8">
      <c r="H614" s="28"/>
    </row>
    <row r="615" spans="8:8">
      <c r="H615" s="28"/>
    </row>
    <row r="616" spans="8:8">
      <c r="H616" s="28"/>
    </row>
    <row r="617" spans="8:8">
      <c r="H617" s="28"/>
    </row>
    <row r="618" spans="8:8">
      <c r="H618" s="28"/>
    </row>
    <row r="619" spans="8:8">
      <c r="H619" s="28"/>
    </row>
    <row r="620" spans="8:8">
      <c r="H620" s="28"/>
    </row>
    <row r="621" spans="8:8">
      <c r="H621" s="28"/>
    </row>
    <row r="622" spans="8:8">
      <c r="H622" s="28"/>
    </row>
    <row r="623" spans="8:8">
      <c r="H623" s="28"/>
    </row>
    <row r="624" spans="8:8">
      <c r="H624" s="28"/>
    </row>
    <row r="625" spans="8:8">
      <c r="H625" s="28"/>
    </row>
    <row r="626" spans="8:8">
      <c r="H626" s="28"/>
    </row>
    <row r="627" spans="8:8">
      <c r="H627" s="28"/>
    </row>
  </sheetData>
  <phoneticPr fontId="10" type="noConversion"/>
  <printOptions horizontalCentered="1"/>
  <pageMargins left="0.25" right="0.25" top="0.75" bottom="0.75" header="0.3" footer="0.3"/>
  <pageSetup scale="9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AD380"/>
  <sheetViews>
    <sheetView view="pageBreakPreview" zoomScale="60" zoomScaleNormal="100" workbookViewId="0">
      <selection activeCell="D16" sqref="D16"/>
    </sheetView>
  </sheetViews>
  <sheetFormatPr defaultColWidth="9.33203125" defaultRowHeight="17.45" customHeight="1" outlineLevelRow="1"/>
  <cols>
    <col min="1" max="1" width="18.5" style="333" customWidth="1"/>
    <col min="2" max="2" width="22.83203125" style="333" customWidth="1"/>
    <col min="3" max="3" width="42" style="333" customWidth="1"/>
    <col min="4" max="4" width="18.33203125" style="333" customWidth="1"/>
    <col min="5" max="5" width="18.5" style="333" customWidth="1"/>
    <col min="6" max="7" width="16.1640625" style="333" customWidth="1"/>
    <col min="8" max="8" width="6.5" style="333" customWidth="1"/>
    <col min="9" max="9" width="9.5" style="333" customWidth="1"/>
    <col min="10" max="11" width="10" style="333" customWidth="1"/>
    <col min="12" max="12" width="9.33203125" style="333" customWidth="1"/>
    <col min="13" max="13" width="30.1640625" style="333" customWidth="1"/>
    <col min="14" max="14" width="20" style="333" customWidth="1"/>
    <col min="15" max="15" width="14.6640625" style="333" customWidth="1"/>
    <col min="16" max="16" width="14.33203125" style="333" customWidth="1"/>
    <col min="17" max="17" width="14.6640625" style="333" customWidth="1"/>
    <col min="18" max="18" width="13.6640625" style="333" customWidth="1"/>
    <col min="19" max="19" width="16" style="333" customWidth="1"/>
    <col min="20" max="20" width="15.1640625" style="333" bestFit="1" customWidth="1"/>
    <col min="21" max="21" width="13.83203125" style="333" customWidth="1"/>
    <col min="22" max="23" width="9.33203125" style="333"/>
    <col min="24" max="24" width="14.33203125" style="333" bestFit="1" customWidth="1"/>
    <col min="25" max="27" width="9.33203125" style="333"/>
    <col min="28" max="28" width="11.1640625" style="333" bestFit="1" customWidth="1"/>
    <col min="29" max="29" width="15.1640625" style="333" customWidth="1"/>
    <col min="30" max="30" width="11.1640625" style="333" bestFit="1" customWidth="1"/>
    <col min="31" max="16384" width="9.33203125" style="333"/>
  </cols>
  <sheetData>
    <row r="1" spans="1:30" s="3" customFormat="1" ht="17.45" customHeight="1">
      <c r="B1" s="1" t="s">
        <v>332</v>
      </c>
      <c r="C1" s="1"/>
      <c r="D1" s="10"/>
      <c r="E1" s="10"/>
      <c r="F1" s="10"/>
      <c r="G1" s="10"/>
      <c r="H1" s="29"/>
      <c r="I1" s="46"/>
      <c r="AB1" s="46" t="s">
        <v>315</v>
      </c>
      <c r="AC1" s="46"/>
      <c r="AD1">
        <v>2044</v>
      </c>
    </row>
    <row r="3" spans="1:30" ht="17.45" customHeight="1">
      <c r="B3" s="1" t="str">
        <f>"Table "&amp;RIGHT('Table 4'!B3,1)+1</f>
        <v>Table 5</v>
      </c>
      <c r="C3" s="193"/>
      <c r="D3" s="193"/>
      <c r="E3" s="193"/>
      <c r="F3" s="193"/>
      <c r="G3" s="193"/>
      <c r="M3" s="333" t="s">
        <v>51</v>
      </c>
      <c r="O3" s="334"/>
    </row>
    <row r="4" spans="1:30" ht="17.45" customHeight="1">
      <c r="B4" s="193" t="str">
        <f ca="1">'Table 1'!B5</f>
        <v>QF - Sch38 - UT - Solar T - 80.0 MW and 30.2% CF</v>
      </c>
      <c r="C4" s="193"/>
      <c r="D4" s="193"/>
      <c r="E4" s="193"/>
      <c r="F4" s="193"/>
      <c r="G4" s="193"/>
      <c r="K4" s="335">
        <f>MIN(K13:K24)</f>
        <v>46023</v>
      </c>
      <c r="M4" s="336" t="s">
        <v>336</v>
      </c>
      <c r="P4" s="337"/>
      <c r="Q4" s="337" t="s">
        <v>314</v>
      </c>
      <c r="R4" s="337" t="s">
        <v>312</v>
      </c>
      <c r="S4" s="337" t="s">
        <v>313</v>
      </c>
    </row>
    <row r="5" spans="1:30" ht="17.45" customHeight="1">
      <c r="B5" s="193" t="str">
        <f>TEXT($K$5,"MMMM YYYY")&amp;"  through  "&amp;TEXT($K$6,"MMMM YYYY")</f>
        <v>January 2026  through  December 2045</v>
      </c>
      <c r="C5" s="193"/>
      <c r="D5" s="193"/>
      <c r="E5" s="193"/>
      <c r="F5" s="193"/>
      <c r="G5" s="193"/>
      <c r="J5" s="333" t="s">
        <v>36</v>
      </c>
      <c r="K5" s="335">
        <f>MIN(K13:K24)</f>
        <v>46023</v>
      </c>
      <c r="M5" s="333" t="s">
        <v>37</v>
      </c>
      <c r="O5" s="3" t="s">
        <v>72</v>
      </c>
      <c r="P5" s="3"/>
      <c r="Q5" s="3">
        <f>R5+12</f>
        <v>37</v>
      </c>
      <c r="R5" s="3">
        <f>S5+12</f>
        <v>25</v>
      </c>
      <c r="S5" s="338">
        <v>13</v>
      </c>
    </row>
    <row r="6" spans="1:30" ht="17.45" customHeight="1">
      <c r="B6" s="193" t="s">
        <v>38</v>
      </c>
      <c r="C6" s="193"/>
      <c r="D6" s="193"/>
      <c r="E6" s="193"/>
      <c r="F6" s="193"/>
      <c r="G6" s="193"/>
      <c r="J6" s="333" t="s">
        <v>39</v>
      </c>
      <c r="K6" s="335">
        <f>EDATE(K5,20*12-1)</f>
        <v>53297</v>
      </c>
      <c r="M6" s="336">
        <v>80</v>
      </c>
      <c r="N6" s="333" t="s">
        <v>32</v>
      </c>
      <c r="O6" s="3" t="s">
        <v>73</v>
      </c>
      <c r="P6"/>
      <c r="Q6">
        <f>Q5+15*12-1</f>
        <v>216</v>
      </c>
      <c r="R6">
        <f>R5+15*12-1</f>
        <v>204</v>
      </c>
      <c r="S6" s="338">
        <f>S5+15*12-1</f>
        <v>192</v>
      </c>
    </row>
    <row r="7" spans="1:30" ht="17.45" customHeight="1">
      <c r="A7" s="337" t="str">
        <f>Q4</f>
        <v>15 Year Starting 2028</v>
      </c>
      <c r="B7" s="193"/>
      <c r="C7" s="339">
        <f ca="1">NPV($K$10,INDIRECT("C"&amp;$Q$5&amp;":C"&amp;$Q$6))</f>
        <v>48158603.358714558</v>
      </c>
      <c r="D7" s="339">
        <f ca="1">NPV($K$10,INDIRECT("D"&amp;$Q$5&amp;":D"&amp;$Q$6))</f>
        <v>0</v>
      </c>
      <c r="E7" s="339">
        <f ca="1">NPV($K$10,INDIRECT("e"&amp;$Q$5&amp;":e"&amp;$Q$6))</f>
        <v>48158603.358714558</v>
      </c>
      <c r="F7" s="340">
        <f ca="1">NPV($K$10,INDIRECT("F"&amp;$Q$5&amp;":F"&amp;$Q$6))</f>
        <v>1985542.1864822612</v>
      </c>
      <c r="G7" s="341">
        <f ca="1">($C7+D7)/$F7</f>
        <v>24.254636182792989</v>
      </c>
      <c r="K7" s="335"/>
      <c r="M7" s="336"/>
      <c r="O7" s="3"/>
      <c r="P7"/>
      <c r="Q7"/>
      <c r="R7"/>
      <c r="S7"/>
      <c r="AB7" s="333" t="s">
        <v>316</v>
      </c>
    </row>
    <row r="8" spans="1:30" ht="17.45" customHeight="1">
      <c r="A8" s="337" t="str">
        <f>R4</f>
        <v>15 Year Starting 2027</v>
      </c>
      <c r="C8" s="339">
        <f ca="1">NPV($K$10,INDIRECT("C"&amp;$R$5&amp;":C"&amp;$R$6))</f>
        <v>46680392.081335142</v>
      </c>
      <c r="D8" s="339">
        <f ca="1">NPV($K$10,INDIRECT("D"&amp;$R$5&amp;":D"&amp;$R$6))</f>
        <v>0</v>
      </c>
      <c r="E8" s="339">
        <f ca="1">NPV($K$10,INDIRECT("e"&amp;$R$5&amp;":e"&amp;$R$6))</f>
        <v>46680392.081335142</v>
      </c>
      <c r="F8" s="340">
        <f ca="1">NPV($K$10,INDIRECT("F"&amp;$R$5&amp;":F"&amp;$R$6))</f>
        <v>1995336.3468443011</v>
      </c>
      <c r="G8" s="341">
        <f ca="1">($C8+D8)/$F8</f>
        <v>23.394748537088457</v>
      </c>
      <c r="M8" s="342">
        <f ca="1">ROUNDUP(SUM(OFFSET(F12,MATCH(K5,B13:B24,0),0,12))/(EDATE(K5,12)-K5)/24/Study_MW,4)</f>
        <v>0.30219999999999997</v>
      </c>
      <c r="N8" s="343" t="s">
        <v>33</v>
      </c>
      <c r="AB8" s="334" t="s">
        <v>111</v>
      </c>
    </row>
    <row r="9" spans="1:30" ht="17.45" customHeight="1">
      <c r="A9" s="337"/>
      <c r="B9" s="337" t="str">
        <f>"Nominal NPV at "&amp;TEXT(J10,"0.00%")&amp;" Discount Rate"</f>
        <v>Nominal NPV at 6.38% Discount Rate</v>
      </c>
      <c r="J9" s="333" t="str">
        <f>'Table 1'!I49</f>
        <v>Discount Rate - 2025 IRP</v>
      </c>
      <c r="AB9" s="333" t="s">
        <v>337</v>
      </c>
    </row>
    <row r="10" spans="1:30" ht="17.45" customHeight="1">
      <c r="A10" s="337" t="str">
        <f>S4</f>
        <v>15 Year Starting 2026</v>
      </c>
      <c r="C10" s="339">
        <f ca="1">NPV($K$10,INDIRECT("C"&amp;$S$5&amp;":C"&amp;$S$6))</f>
        <v>45184287.399784148</v>
      </c>
      <c r="D10" s="339">
        <f ca="1">NPV($K$10,INDIRECT("d"&amp;$S$5&amp;":d"&amp;$S$6))</f>
        <v>0</v>
      </c>
      <c r="E10" s="339">
        <f ca="1">NPV($K$10,INDIRECT("e"&amp;$S$5&amp;":e"&amp;$S$6))</f>
        <v>45184287.399784148</v>
      </c>
      <c r="F10" s="340">
        <f ca="1">NPV($K$10,INDIRECT("F"&amp;$S$5&amp;":F"&amp;$S$6))</f>
        <v>2005350.7819734858</v>
      </c>
      <c r="G10" s="341">
        <f ca="1">($C10+D10)/$F10</f>
        <v>22.531862158957466</v>
      </c>
      <c r="J10" s="344">
        <f>'Table 1'!I50</f>
        <v>6.3799999999999996E-2</v>
      </c>
      <c r="K10" s="345">
        <f>((1+J10)^(1/12))-1</f>
        <v>5.1672547259051793E-3</v>
      </c>
    </row>
    <row r="11" spans="1:30" ht="17.45" customHeight="1">
      <c r="B11" s="194"/>
      <c r="C11" s="195" t="s">
        <v>18</v>
      </c>
      <c r="D11" s="196" t="s">
        <v>40</v>
      </c>
      <c r="E11" s="196" t="s">
        <v>41</v>
      </c>
      <c r="F11" s="196" t="s">
        <v>41</v>
      </c>
      <c r="G11" s="197" t="s">
        <v>48</v>
      </c>
      <c r="S11" s="333" t="s">
        <v>132</v>
      </c>
      <c r="U11" s="333" t="s">
        <v>132</v>
      </c>
      <c r="AA11" s="333" t="s">
        <v>107</v>
      </c>
      <c r="AB11" s="333" t="s">
        <v>311</v>
      </c>
    </row>
    <row r="12" spans="1:30" ht="17.45" customHeight="1">
      <c r="B12" s="198" t="s">
        <v>42</v>
      </c>
      <c r="C12" s="195" t="s">
        <v>43</v>
      </c>
      <c r="D12" s="199" t="str">
        <f>TEXT((SUM(F25:F72)/(8760*3+8784))/Study_MW,"0.0%")&amp;" CF"</f>
        <v>29.8% CF</v>
      </c>
      <c r="E12" s="200" t="s">
        <v>47</v>
      </c>
      <c r="F12" s="332" t="s">
        <v>44</v>
      </c>
      <c r="G12" s="199" t="str">
        <f>D12</f>
        <v>29.8% CF</v>
      </c>
      <c r="I12" s="196" t="s">
        <v>45</v>
      </c>
      <c r="J12" s="201" t="s">
        <v>0</v>
      </c>
      <c r="K12" s="201" t="s">
        <v>46</v>
      </c>
      <c r="L12" s="201" t="s">
        <v>45</v>
      </c>
      <c r="M12" s="201"/>
      <c r="N12" s="197"/>
      <c r="P12" s="333" t="s">
        <v>41</v>
      </c>
      <c r="Q12" s="333" t="s">
        <v>63</v>
      </c>
      <c r="R12" s="333" t="s">
        <v>64</v>
      </c>
      <c r="S12" s="333" t="s">
        <v>18</v>
      </c>
      <c r="U12" s="333" t="s">
        <v>6</v>
      </c>
      <c r="V12" s="333" t="str">
        <f t="shared" ref="V12:V75" si="0">IFERROR(IF(AND(MONTH(K13)&gt;=6,MONTH(K13)&lt;=9),"Summer","Winter"),"-")</f>
        <v>Winter</v>
      </c>
    </row>
    <row r="13" spans="1:30" ht="17.45" customHeight="1">
      <c r="B13" s="312">
        <v>46023</v>
      </c>
      <c r="C13" s="346">
        <v>157494.16751327954</v>
      </c>
      <c r="D13" s="347">
        <f>IF(ISNUMBER($F13),VLOOKUP($J13,'Table 1'!$B$13:$C$37,2,FALSE)/12*1000*Study_MW,"")</f>
        <v>0</v>
      </c>
      <c r="E13" s="348">
        <f t="shared" ref="E13" si="1">IF(ISNUMBER(C13+D13),C13+D13,"")</f>
        <v>157494.16751327954</v>
      </c>
      <c r="F13" s="349">
        <v>7967.6267617700014</v>
      </c>
      <c r="G13" s="350">
        <f t="shared" ref="G13:G76" si="2">IF(ISNUMBER($F13),E13/$F13,"")</f>
        <v>19.766760193758415</v>
      </c>
      <c r="I13" s="351">
        <f>(YEAR(B13)-2025)*13+1</f>
        <v>14</v>
      </c>
      <c r="J13" s="352">
        <f>YEAR(B13)</f>
        <v>2026</v>
      </c>
      <c r="K13" s="202">
        <f t="shared" ref="K13:K24" si="3">IF(ISNUMBER(F13),B13,"")</f>
        <v>46023</v>
      </c>
      <c r="L13" s="333">
        <v>840</v>
      </c>
      <c r="M13" s="337" t="s">
        <v>117</v>
      </c>
      <c r="V13" s="333" t="str">
        <f t="shared" si="0"/>
        <v>Winter</v>
      </c>
      <c r="AA13" s="353">
        <f t="shared" ref="AA13:AA76" si="4">Inflation</f>
        <v>2.18E-2</v>
      </c>
      <c r="AB13" s="354">
        <f>IF($AB$8="Solar",IFERROR(IF(J13&gt;$AD$1,-0.005,0),#REF!),0)</f>
        <v>0</v>
      </c>
    </row>
    <row r="14" spans="1:30" ht="17.45" customHeight="1">
      <c r="B14" s="203">
        <f t="shared" ref="B14:B77" si="5">EDATE(B13,1)</f>
        <v>46054</v>
      </c>
      <c r="C14" s="355">
        <v>144725.69253911934</v>
      </c>
      <c r="D14" s="356">
        <f>IF(ISNUMBER($F14),VLOOKUP($J14,'Table 1'!$B$13:$C$37,2,FALSE)/12*1000*Study_MW,"")</f>
        <v>0</v>
      </c>
      <c r="E14" s="356">
        <f t="shared" ref="E14:E77" si="6">IF(ISNUMBER(C14+D14),C14+D14,"")</f>
        <v>144725.69253911934</v>
      </c>
      <c r="F14" s="355">
        <v>12963.004091919998</v>
      </c>
      <c r="G14" s="357">
        <f t="shared" si="2"/>
        <v>11.164518001604941</v>
      </c>
      <c r="I14" s="358">
        <f>I13+1</f>
        <v>15</v>
      </c>
      <c r="J14" s="352">
        <f t="shared" ref="J14:J77" si="7">YEAR(B14)</f>
        <v>2026</v>
      </c>
      <c r="K14" s="203">
        <f t="shared" si="3"/>
        <v>46054</v>
      </c>
      <c r="L14" s="333">
        <v>1151</v>
      </c>
      <c r="M14" s="359" t="s">
        <v>337</v>
      </c>
      <c r="V14" s="333" t="str">
        <f t="shared" si="0"/>
        <v>Winter</v>
      </c>
      <c r="AA14" s="353">
        <f t="shared" si="4"/>
        <v>2.18E-2</v>
      </c>
      <c r="AB14" s="354">
        <f t="shared" ref="AB14:AB77" si="8">IF($AB$8="Solar",IFERROR(IF(J14&gt;$AD$1,-0.005,0),AB2),0)</f>
        <v>0</v>
      </c>
    </row>
    <row r="15" spans="1:30" ht="17.45" customHeight="1">
      <c r="B15" s="203">
        <f t="shared" si="5"/>
        <v>46082</v>
      </c>
      <c r="C15" s="355">
        <v>-8562.1466444063117</v>
      </c>
      <c r="D15" s="356">
        <f>IF(ISNUMBER($F15),VLOOKUP($J15,'Table 1'!$B$13:$C$37,2,FALSE)/12*1000*Study_MW,"")</f>
        <v>0</v>
      </c>
      <c r="E15" s="356">
        <f t="shared" si="6"/>
        <v>-8562.1466444063117</v>
      </c>
      <c r="F15" s="355">
        <v>15077.813615319998</v>
      </c>
      <c r="G15" s="357">
        <f t="shared" si="2"/>
        <v>-0.5678639398822809</v>
      </c>
      <c r="I15" s="358">
        <f t="shared" ref="I15:I24" si="9">I14+1</f>
        <v>16</v>
      </c>
      <c r="J15" s="352">
        <f t="shared" si="7"/>
        <v>2026</v>
      </c>
      <c r="K15" s="203">
        <f t="shared" si="3"/>
        <v>46082</v>
      </c>
      <c r="V15" s="333" t="str">
        <f t="shared" si="0"/>
        <v>Winter</v>
      </c>
      <c r="AA15" s="353">
        <f t="shared" si="4"/>
        <v>2.18E-2</v>
      </c>
      <c r="AB15" s="354">
        <f t="shared" si="8"/>
        <v>0</v>
      </c>
    </row>
    <row r="16" spans="1:30" ht="17.45" customHeight="1">
      <c r="B16" s="203">
        <f t="shared" si="5"/>
        <v>46113</v>
      </c>
      <c r="C16" s="355">
        <v>37355.028655394563</v>
      </c>
      <c r="D16" s="356">
        <f>IF(ISNUMBER($F16),VLOOKUP($J16,'Table 1'!$B$13:$C$37,2,FALSE)/12*1000*Study_MW,"")</f>
        <v>0</v>
      </c>
      <c r="E16" s="356">
        <f t="shared" si="6"/>
        <v>37355.028655394563</v>
      </c>
      <c r="F16" s="355">
        <v>19665.522604040001</v>
      </c>
      <c r="G16" s="357">
        <f t="shared" si="2"/>
        <v>1.8995187368028807</v>
      </c>
      <c r="I16" s="358">
        <f t="shared" si="9"/>
        <v>17</v>
      </c>
      <c r="J16" s="352">
        <f t="shared" si="7"/>
        <v>2026</v>
      </c>
      <c r="K16" s="203">
        <f t="shared" si="3"/>
        <v>46113</v>
      </c>
      <c r="L16" s="352">
        <f>YEAR(B13)</f>
        <v>2026</v>
      </c>
      <c r="M16" s="333">
        <f>SUMIF($J$13:$J$350,L16,$C$13:$C$350)</f>
        <v>3737551.1240288848</v>
      </c>
      <c r="N16" s="333">
        <f>SUMIF($J$13:$J$350,L16,$D$13:$D$350)</f>
        <v>0</v>
      </c>
      <c r="O16" s="333">
        <f>SUMIF($J$13:$J$350,L16,$F$13:$F$350)</f>
        <v>211723.33494570066</v>
      </c>
      <c r="P16" s="360">
        <f t="shared" ref="P16:P25" si="10">(M16+N16)/O16</f>
        <v>17.652995712482191</v>
      </c>
      <c r="Q16" s="361">
        <f>M16/O16</f>
        <v>17.652995712482191</v>
      </c>
      <c r="R16" s="361">
        <f>IFERROR(N16/O16,0)</f>
        <v>0</v>
      </c>
      <c r="S16" s="333">
        <f>SUMIFS($C$13:$C$312,$J$13:$J$312,L16,$V$13:$V$312,"Summer")</f>
        <v>2371638.6844745139</v>
      </c>
      <c r="U16" s="333">
        <f>SUMIFS($D$13:$D$276,$J$13:$J$276,L16,$V$12:$V$275,"Summer")</f>
        <v>0</v>
      </c>
      <c r="V16" s="333" t="str">
        <f t="shared" si="0"/>
        <v>Winter</v>
      </c>
      <c r="X16" s="333">
        <f>M16+N16</f>
        <v>3737551.1240288848</v>
      </c>
      <c r="AA16" s="353">
        <f t="shared" si="4"/>
        <v>2.18E-2</v>
      </c>
      <c r="AB16" s="354">
        <f t="shared" si="8"/>
        <v>0</v>
      </c>
    </row>
    <row r="17" spans="2:28" ht="17.45" customHeight="1">
      <c r="B17" s="203">
        <f t="shared" si="5"/>
        <v>46143</v>
      </c>
      <c r="C17" s="355">
        <v>221540.13675283204</v>
      </c>
      <c r="D17" s="356">
        <f>IF(ISNUMBER($F17),VLOOKUP($J17,'Table 1'!$B$13:$C$37,2,FALSE)/12*1000*Study_MW,"")</f>
        <v>0</v>
      </c>
      <c r="E17" s="356">
        <f t="shared" si="6"/>
        <v>221540.13675283204</v>
      </c>
      <c r="F17" s="355">
        <v>23369.604447020003</v>
      </c>
      <c r="G17" s="357">
        <f t="shared" si="2"/>
        <v>9.4798411010795665</v>
      </c>
      <c r="I17" s="358">
        <f t="shared" si="9"/>
        <v>18</v>
      </c>
      <c r="J17" s="352">
        <f t="shared" si="7"/>
        <v>2026</v>
      </c>
      <c r="K17" s="203">
        <f t="shared" si="3"/>
        <v>46143</v>
      </c>
      <c r="L17" s="352">
        <f>L16+1</f>
        <v>2027</v>
      </c>
      <c r="M17" s="333">
        <f t="shared" ref="M17:M41" si="11">SUMIF($J$13:$J$350,L17,$C$13:$C$350)</f>
        <v>4385751.2001700886</v>
      </c>
      <c r="N17" s="333">
        <f t="shared" ref="N17:N41" si="12">SUMIF($J$13:$J$350,L17,$D$13:$D$350)</f>
        <v>0</v>
      </c>
      <c r="O17" s="333">
        <f t="shared" ref="O17:O41" si="13">SUMIF($J$13:$J$350,L17,$F$13:$F$350)</f>
        <v>210489.57734015799</v>
      </c>
      <c r="P17" s="360">
        <f t="shared" si="10"/>
        <v>20.835954233888607</v>
      </c>
      <c r="Q17" s="361">
        <f t="shared" ref="Q17:Q33" si="14">M17/O17</f>
        <v>20.835954233888607</v>
      </c>
      <c r="R17" s="361">
        <f t="shared" ref="R17:R33" si="15">IFERROR(N17/O17,0)</f>
        <v>0</v>
      </c>
      <c r="S17" s="333">
        <f t="shared" ref="S17:S41" si="16">SUMIFS($C$13:$C$312,$J$13:$J$312,L17,$V$13:$V$312,"Summer")</f>
        <v>2582092.3011529231</v>
      </c>
      <c r="U17" s="333">
        <f t="shared" ref="U17:U41" si="17">SUMIFS($D$13:$D$276,$J$13:$J$276,L17,$V$12:$V$275,"Summer")</f>
        <v>0</v>
      </c>
      <c r="V17" s="333" t="str">
        <f t="shared" si="0"/>
        <v>Summer</v>
      </c>
      <c r="X17" s="333">
        <f t="shared" ref="X17:X50" si="18">M17+N17</f>
        <v>4385751.2001700886</v>
      </c>
      <c r="AA17" s="353">
        <f t="shared" si="4"/>
        <v>2.18E-2</v>
      </c>
      <c r="AB17" s="354">
        <f t="shared" si="8"/>
        <v>0</v>
      </c>
    </row>
    <row r="18" spans="2:28" ht="17.45" customHeight="1">
      <c r="B18" s="203">
        <f t="shared" si="5"/>
        <v>46174</v>
      </c>
      <c r="C18" s="355">
        <v>549637.27832587762</v>
      </c>
      <c r="D18" s="356">
        <f>IF(ISNUMBER($F18),VLOOKUP($J18,'Table 1'!$B$13:$C$37,2,FALSE)/12*1000*Study_MW,"")</f>
        <v>0</v>
      </c>
      <c r="E18" s="356">
        <f t="shared" si="6"/>
        <v>549637.27832587762</v>
      </c>
      <c r="F18" s="355">
        <v>27838.738647440005</v>
      </c>
      <c r="G18" s="357">
        <f t="shared" si="2"/>
        <v>19.743612858566824</v>
      </c>
      <c r="I18" s="358">
        <f t="shared" si="9"/>
        <v>19</v>
      </c>
      <c r="J18" s="352">
        <f t="shared" si="7"/>
        <v>2026</v>
      </c>
      <c r="K18" s="203">
        <f t="shared" si="3"/>
        <v>46174</v>
      </c>
      <c r="L18" s="352">
        <f t="shared" ref="L18:L42" si="19">L17+1</f>
        <v>2028</v>
      </c>
      <c r="M18" s="333">
        <f t="shared" si="11"/>
        <v>4613305.2316540498</v>
      </c>
      <c r="N18" s="333">
        <f t="shared" si="12"/>
        <v>0</v>
      </c>
      <c r="O18" s="333">
        <f t="shared" si="13"/>
        <v>209702.30272953346</v>
      </c>
      <c r="P18" s="360">
        <f t="shared" si="10"/>
        <v>21.999306500721293</v>
      </c>
      <c r="Q18" s="361">
        <f t="shared" si="14"/>
        <v>21.999306500721293</v>
      </c>
      <c r="R18" s="361">
        <f t="shared" si="15"/>
        <v>0</v>
      </c>
      <c r="S18" s="333">
        <f t="shared" si="16"/>
        <v>2593509.3063679887</v>
      </c>
      <c r="U18" s="333">
        <f t="shared" si="17"/>
        <v>0</v>
      </c>
      <c r="V18" s="333" t="str">
        <f t="shared" si="0"/>
        <v>Summer</v>
      </c>
      <c r="X18" s="333">
        <f t="shared" si="18"/>
        <v>4613305.2316540498</v>
      </c>
      <c r="AA18" s="353">
        <f t="shared" si="4"/>
        <v>2.18E-2</v>
      </c>
      <c r="AB18" s="354">
        <f t="shared" si="8"/>
        <v>0</v>
      </c>
    </row>
    <row r="19" spans="2:28" ht="17.45" customHeight="1">
      <c r="B19" s="203">
        <f t="shared" si="5"/>
        <v>46204</v>
      </c>
      <c r="C19" s="355">
        <v>817777.76104542136</v>
      </c>
      <c r="D19" s="356">
        <f>IF(ISNUMBER($F19),VLOOKUP($J19,'Table 1'!$B$13:$C$37,2,FALSE)/12*1000*Study_MW,"")</f>
        <v>0</v>
      </c>
      <c r="E19" s="356">
        <f t="shared" si="6"/>
        <v>817777.76104542136</v>
      </c>
      <c r="F19" s="355">
        <v>26700.824677870001</v>
      </c>
      <c r="G19" s="357">
        <f t="shared" si="2"/>
        <v>30.627434579696949</v>
      </c>
      <c r="I19" s="358">
        <f t="shared" si="9"/>
        <v>20</v>
      </c>
      <c r="J19" s="352">
        <f t="shared" si="7"/>
        <v>2026</v>
      </c>
      <c r="K19" s="203">
        <f t="shared" si="3"/>
        <v>46204</v>
      </c>
      <c r="L19" s="352">
        <f t="shared" si="19"/>
        <v>2029</v>
      </c>
      <c r="M19" s="333">
        <f t="shared" si="11"/>
        <v>5132292.8378120027</v>
      </c>
      <c r="N19" s="333">
        <f t="shared" si="12"/>
        <v>0</v>
      </c>
      <c r="O19" s="333">
        <f t="shared" si="13"/>
        <v>208431.57362892936</v>
      </c>
      <c r="P19" s="360">
        <f t="shared" si="10"/>
        <v>24.623394375695792</v>
      </c>
      <c r="Q19" s="361">
        <f t="shared" si="14"/>
        <v>24.623394375695792</v>
      </c>
      <c r="R19" s="361">
        <f t="shared" si="15"/>
        <v>0</v>
      </c>
      <c r="S19" s="333">
        <f t="shared" si="16"/>
        <v>2887585.4545920449</v>
      </c>
      <c r="U19" s="333">
        <f t="shared" si="17"/>
        <v>0</v>
      </c>
      <c r="V19" s="333" t="str">
        <f t="shared" si="0"/>
        <v>Summer</v>
      </c>
      <c r="X19" s="333">
        <f t="shared" si="18"/>
        <v>5132292.8378120027</v>
      </c>
      <c r="AA19" s="353">
        <f t="shared" si="4"/>
        <v>2.18E-2</v>
      </c>
      <c r="AB19" s="354">
        <f t="shared" si="8"/>
        <v>0</v>
      </c>
    </row>
    <row r="20" spans="2:28" ht="17.45" customHeight="1">
      <c r="B20" s="203">
        <f t="shared" si="5"/>
        <v>46235</v>
      </c>
      <c r="C20" s="355">
        <v>782683.50835038291</v>
      </c>
      <c r="D20" s="356">
        <f>IF(ISNUMBER($F20),VLOOKUP($J20,'Table 1'!$B$13:$C$37,2,FALSE)/12*1000*Study_MW,"")</f>
        <v>0</v>
      </c>
      <c r="E20" s="356">
        <f t="shared" si="6"/>
        <v>782683.50835038291</v>
      </c>
      <c r="F20" s="355">
        <v>23500.807732840007</v>
      </c>
      <c r="G20" s="357">
        <f t="shared" si="2"/>
        <v>33.304536475853197</v>
      </c>
      <c r="I20" s="358">
        <f t="shared" si="9"/>
        <v>21</v>
      </c>
      <c r="J20" s="352">
        <f t="shared" si="7"/>
        <v>2026</v>
      </c>
      <c r="K20" s="203">
        <f t="shared" si="3"/>
        <v>46235</v>
      </c>
      <c r="L20" s="352">
        <f t="shared" si="19"/>
        <v>2030</v>
      </c>
      <c r="M20" s="333">
        <f t="shared" si="11"/>
        <v>5017315.0033818716</v>
      </c>
      <c r="N20" s="333">
        <f t="shared" si="12"/>
        <v>0</v>
      </c>
      <c r="O20" s="333">
        <f t="shared" si="13"/>
        <v>207401.2741205646</v>
      </c>
      <c r="P20" s="360">
        <f t="shared" si="10"/>
        <v>24.191341276260687</v>
      </c>
      <c r="Q20" s="361">
        <f t="shared" si="14"/>
        <v>24.191341276260687</v>
      </c>
      <c r="R20" s="361">
        <f t="shared" si="15"/>
        <v>0</v>
      </c>
      <c r="S20" s="333">
        <f t="shared" si="16"/>
        <v>2699964.3903503255</v>
      </c>
      <c r="U20" s="333">
        <f t="shared" si="17"/>
        <v>0</v>
      </c>
      <c r="V20" s="333" t="str">
        <f t="shared" si="0"/>
        <v>Summer</v>
      </c>
      <c r="X20" s="333">
        <f t="shared" si="18"/>
        <v>5017315.0033818716</v>
      </c>
      <c r="AA20" s="353">
        <f t="shared" si="4"/>
        <v>2.18E-2</v>
      </c>
      <c r="AB20" s="354">
        <f t="shared" si="8"/>
        <v>0</v>
      </c>
    </row>
    <row r="21" spans="2:28" ht="17.45" customHeight="1">
      <c r="B21" s="203">
        <f t="shared" si="5"/>
        <v>46266</v>
      </c>
      <c r="C21" s="355">
        <v>407340.16138518928</v>
      </c>
      <c r="D21" s="356">
        <f>IF(ISNUMBER($F21),VLOOKUP($J21,'Table 1'!$B$13:$C$37,2,FALSE)/12*1000*Study_MW,"")</f>
        <v>0</v>
      </c>
      <c r="E21" s="356">
        <f t="shared" si="6"/>
        <v>407340.16138518928</v>
      </c>
      <c r="F21" s="355">
        <v>20459.25941581</v>
      </c>
      <c r="G21" s="357">
        <f t="shared" si="2"/>
        <v>19.909819466408205</v>
      </c>
      <c r="I21" s="358">
        <f t="shared" si="9"/>
        <v>22</v>
      </c>
      <c r="J21" s="352">
        <f t="shared" si="7"/>
        <v>2026</v>
      </c>
      <c r="K21" s="203">
        <f t="shared" si="3"/>
        <v>46266</v>
      </c>
      <c r="L21" s="352">
        <f t="shared" si="19"/>
        <v>2031</v>
      </c>
      <c r="M21" s="333">
        <f t="shared" si="11"/>
        <v>4786344.3615533086</v>
      </c>
      <c r="N21" s="333">
        <f t="shared" si="12"/>
        <v>0</v>
      </c>
      <c r="O21" s="333">
        <f t="shared" si="13"/>
        <v>206523.67000912197</v>
      </c>
      <c r="P21" s="360">
        <f t="shared" si="10"/>
        <v>23.175766542120328</v>
      </c>
      <c r="Q21" s="361">
        <f t="shared" si="14"/>
        <v>23.175766542120328</v>
      </c>
      <c r="R21" s="361">
        <f t="shared" si="15"/>
        <v>0</v>
      </c>
      <c r="S21" s="333">
        <f t="shared" si="16"/>
        <v>2566917.7521919683</v>
      </c>
      <c r="U21" s="333">
        <f t="shared" si="17"/>
        <v>0</v>
      </c>
      <c r="V21" s="333" t="str">
        <f t="shared" si="0"/>
        <v>Winter</v>
      </c>
      <c r="X21" s="333">
        <f t="shared" si="18"/>
        <v>4786344.3615533086</v>
      </c>
      <c r="AA21" s="353">
        <f t="shared" si="4"/>
        <v>2.18E-2</v>
      </c>
      <c r="AB21" s="354">
        <f t="shared" si="8"/>
        <v>0</v>
      </c>
    </row>
    <row r="22" spans="2:28" ht="17.45" customHeight="1">
      <c r="B22" s="203">
        <f t="shared" si="5"/>
        <v>46296</v>
      </c>
      <c r="C22" s="355">
        <v>163567.22243978948</v>
      </c>
      <c r="D22" s="356">
        <f>IF(ISNUMBER($F22),VLOOKUP($J22,'Table 1'!$B$13:$C$37,2,FALSE)/12*1000*Study_MW,"")</f>
        <v>0</v>
      </c>
      <c r="E22" s="356">
        <f t="shared" si="6"/>
        <v>163567.22243978948</v>
      </c>
      <c r="F22" s="355">
        <v>14913.517787919998</v>
      </c>
      <c r="G22" s="357">
        <f t="shared" si="2"/>
        <v>10.967715650044653</v>
      </c>
      <c r="I22" s="358">
        <f t="shared" si="9"/>
        <v>23</v>
      </c>
      <c r="J22" s="352">
        <f t="shared" si="7"/>
        <v>2026</v>
      </c>
      <c r="K22" s="203">
        <f t="shared" si="3"/>
        <v>46296</v>
      </c>
      <c r="L22" s="352">
        <f t="shared" si="19"/>
        <v>2032</v>
      </c>
      <c r="M22" s="333">
        <f t="shared" si="11"/>
        <v>4370422.3947774796</v>
      </c>
      <c r="N22" s="333">
        <f t="shared" si="12"/>
        <v>0</v>
      </c>
      <c r="O22" s="333">
        <f t="shared" si="13"/>
        <v>205691.40104991829</v>
      </c>
      <c r="P22" s="360">
        <f t="shared" si="10"/>
        <v>21.247472536379107</v>
      </c>
      <c r="Q22" s="361">
        <f t="shared" si="14"/>
        <v>21.247472536379107</v>
      </c>
      <c r="R22" s="361">
        <f t="shared" si="15"/>
        <v>0</v>
      </c>
      <c r="S22" s="333">
        <f t="shared" si="16"/>
        <v>2308117.3206696548</v>
      </c>
      <c r="U22" s="333">
        <f t="shared" si="17"/>
        <v>0</v>
      </c>
      <c r="V22" s="333" t="str">
        <f t="shared" si="0"/>
        <v>Winter</v>
      </c>
      <c r="X22" s="333">
        <f t="shared" si="18"/>
        <v>4370422.3947774796</v>
      </c>
      <c r="AA22" s="353">
        <f t="shared" si="4"/>
        <v>2.18E-2</v>
      </c>
      <c r="AB22" s="354">
        <f t="shared" si="8"/>
        <v>0</v>
      </c>
    </row>
    <row r="23" spans="2:28" ht="17.45" customHeight="1">
      <c r="B23" s="203">
        <f t="shared" si="5"/>
        <v>46327</v>
      </c>
      <c r="C23" s="355">
        <v>261661.89085782389</v>
      </c>
      <c r="D23" s="356">
        <f>IF(ISNUMBER($F23),VLOOKUP($J23,'Table 1'!$B$13:$C$37,2,FALSE)/12*1000*Study_MW,"")</f>
        <v>0</v>
      </c>
      <c r="E23" s="356">
        <f t="shared" si="6"/>
        <v>261661.89085782389</v>
      </c>
      <c r="F23" s="355">
        <v>11559.970703839999</v>
      </c>
      <c r="G23" s="357">
        <f t="shared" si="2"/>
        <v>22.635169029529187</v>
      </c>
      <c r="I23" s="358">
        <f t="shared" si="9"/>
        <v>24</v>
      </c>
      <c r="J23" s="352">
        <f t="shared" si="7"/>
        <v>2026</v>
      </c>
      <c r="K23" s="203">
        <f t="shared" si="3"/>
        <v>46327</v>
      </c>
      <c r="L23" s="352">
        <f t="shared" si="19"/>
        <v>2033</v>
      </c>
      <c r="M23" s="333">
        <f t="shared" si="11"/>
        <v>4153812.3087112806</v>
      </c>
      <c r="N23" s="333">
        <f t="shared" si="12"/>
        <v>0</v>
      </c>
      <c r="O23" s="333">
        <f t="shared" si="13"/>
        <v>204284.02189633634</v>
      </c>
      <c r="P23" s="360">
        <f t="shared" si="10"/>
        <v>20.333515417173093</v>
      </c>
      <c r="Q23" s="361">
        <f t="shared" si="14"/>
        <v>20.333515417173093</v>
      </c>
      <c r="R23" s="361">
        <f t="shared" si="15"/>
        <v>0</v>
      </c>
      <c r="S23" s="333">
        <f t="shared" si="16"/>
        <v>2048111.6849028913</v>
      </c>
      <c r="T23" s="353"/>
      <c r="U23" s="333">
        <f t="shared" si="17"/>
        <v>0</v>
      </c>
      <c r="V23" s="333" t="str">
        <f t="shared" si="0"/>
        <v>Winter</v>
      </c>
      <c r="X23" s="333">
        <f t="shared" si="18"/>
        <v>4153812.3087112806</v>
      </c>
      <c r="AA23" s="353">
        <f t="shared" si="4"/>
        <v>2.18E-2</v>
      </c>
      <c r="AB23" s="354">
        <f t="shared" si="8"/>
        <v>0</v>
      </c>
    </row>
    <row r="24" spans="2:28" ht="17.45" customHeight="1">
      <c r="B24" s="204">
        <f t="shared" si="5"/>
        <v>46357</v>
      </c>
      <c r="C24" s="362">
        <v>202330.42280818048</v>
      </c>
      <c r="D24" s="363">
        <f>IF(ISNUMBER($F24),VLOOKUP($J24,'Table 1'!$B$13:$C$37,2,FALSE)/12*1000*Study_MW,"")</f>
        <v>0</v>
      </c>
      <c r="E24" s="363">
        <f t="shared" si="6"/>
        <v>202330.42280818048</v>
      </c>
      <c r="F24" s="362">
        <v>7706.6444599106671</v>
      </c>
      <c r="G24" s="364">
        <f t="shared" si="2"/>
        <v>26.254023247171549</v>
      </c>
      <c r="I24" s="365">
        <f t="shared" si="9"/>
        <v>25</v>
      </c>
      <c r="J24" s="352">
        <f t="shared" si="7"/>
        <v>2026</v>
      </c>
      <c r="K24" s="204">
        <f t="shared" si="3"/>
        <v>46357</v>
      </c>
      <c r="L24" s="352">
        <f t="shared" si="19"/>
        <v>2034</v>
      </c>
      <c r="M24" s="333">
        <f t="shared" si="11"/>
        <v>4193109.3562987284</v>
      </c>
      <c r="N24" s="333">
        <f t="shared" si="12"/>
        <v>0</v>
      </c>
      <c r="O24" s="333">
        <f t="shared" si="13"/>
        <v>203506.84190013065</v>
      </c>
      <c r="P24" s="360">
        <f t="shared" si="10"/>
        <v>20.604267243046614</v>
      </c>
      <c r="Q24" s="361">
        <f t="shared" si="14"/>
        <v>20.604267243046614</v>
      </c>
      <c r="R24" s="361">
        <f t="shared" si="15"/>
        <v>0</v>
      </c>
      <c r="S24" s="333">
        <f t="shared" si="16"/>
        <v>2187553.4028740949</v>
      </c>
      <c r="U24" s="333">
        <f t="shared" si="17"/>
        <v>0</v>
      </c>
      <c r="V24" s="333" t="str">
        <f t="shared" si="0"/>
        <v>Winter</v>
      </c>
      <c r="X24" s="333">
        <f t="shared" si="18"/>
        <v>4193109.3562987284</v>
      </c>
      <c r="AA24" s="353">
        <f t="shared" si="4"/>
        <v>2.18E-2</v>
      </c>
      <c r="AB24" s="354">
        <f t="shared" si="8"/>
        <v>0</v>
      </c>
    </row>
    <row r="25" spans="2:28" ht="17.45" customHeight="1">
      <c r="B25" s="202">
        <f t="shared" si="5"/>
        <v>46388</v>
      </c>
      <c r="C25" s="346">
        <v>199915.16897431575</v>
      </c>
      <c r="D25" s="347">
        <f>IF(ISNUMBER($F25),VLOOKUP($J25,'Table 1'!$B$13:$C$37,2,FALSE)/12*1000*Study_MW,"")</f>
        <v>0</v>
      </c>
      <c r="E25" s="348">
        <f t="shared" si="6"/>
        <v>199915.16897431575</v>
      </c>
      <c r="F25" s="349">
        <v>7847.6215486000001</v>
      </c>
      <c r="G25" s="350">
        <f t="shared" si="2"/>
        <v>25.474618995863811</v>
      </c>
      <c r="I25" s="366">
        <f>I13+13</f>
        <v>27</v>
      </c>
      <c r="J25" s="352">
        <f t="shared" si="7"/>
        <v>2027</v>
      </c>
      <c r="K25" s="202">
        <f>IF(ISNUMBER(F25),IF(F25&lt;&gt;0,B25,""),"")</f>
        <v>46388</v>
      </c>
      <c r="L25" s="352">
        <f t="shared" si="19"/>
        <v>2035</v>
      </c>
      <c r="M25" s="333">
        <f t="shared" si="11"/>
        <v>4561289.468546995</v>
      </c>
      <c r="N25" s="333">
        <f t="shared" si="12"/>
        <v>0</v>
      </c>
      <c r="O25" s="333">
        <f t="shared" si="13"/>
        <v>202242.89348309732</v>
      </c>
      <c r="P25" s="360">
        <f t="shared" si="10"/>
        <v>22.553521609540311</v>
      </c>
      <c r="Q25" s="361">
        <f t="shared" si="14"/>
        <v>22.553521609540311</v>
      </c>
      <c r="R25" s="361">
        <f t="shared" si="15"/>
        <v>0</v>
      </c>
      <c r="S25" s="333">
        <f t="shared" si="16"/>
        <v>2304997.5641752826</v>
      </c>
      <c r="U25" s="333">
        <f t="shared" si="17"/>
        <v>0</v>
      </c>
      <c r="V25" s="333" t="str">
        <f t="shared" si="0"/>
        <v>Winter</v>
      </c>
      <c r="X25" s="333">
        <f t="shared" si="18"/>
        <v>4561289.468546995</v>
      </c>
      <c r="AA25" s="353">
        <f t="shared" si="4"/>
        <v>2.18E-2</v>
      </c>
      <c r="AB25" s="354">
        <f t="shared" si="8"/>
        <v>0</v>
      </c>
    </row>
    <row r="26" spans="2:28" ht="17.45" customHeight="1">
      <c r="B26" s="203">
        <f t="shared" si="5"/>
        <v>46419</v>
      </c>
      <c r="C26" s="355">
        <v>285761.27511486266</v>
      </c>
      <c r="D26" s="356">
        <f>IF(ISNUMBER($F26),VLOOKUP($J26,'Table 1'!$B$13:$C$37,2,FALSE)/12*1000*Study_MW,"")</f>
        <v>0</v>
      </c>
      <c r="E26" s="356">
        <f t="shared" si="6"/>
        <v>285761.27511486266</v>
      </c>
      <c r="F26" s="355">
        <v>13264.146556960002</v>
      </c>
      <c r="G26" s="357">
        <f t="shared" si="2"/>
        <v>21.543887040732159</v>
      </c>
      <c r="I26" s="358">
        <f t="shared" ref="I26:I89" si="20">I14+13</f>
        <v>28</v>
      </c>
      <c r="J26" s="352">
        <f t="shared" si="7"/>
        <v>2027</v>
      </c>
      <c r="K26" s="203">
        <f t="shared" ref="K26:K89" si="21">IF(ISNUMBER(F26),IF(F26&lt;&gt;0,B26,""),"")</f>
        <v>46419</v>
      </c>
      <c r="L26" s="352">
        <f t="shared" si="19"/>
        <v>2036</v>
      </c>
      <c r="M26" s="333">
        <f t="shared" si="11"/>
        <v>4675703.0158599894</v>
      </c>
      <c r="N26" s="333">
        <f t="shared" si="12"/>
        <v>0</v>
      </c>
      <c r="O26" s="333">
        <f t="shared" si="13"/>
        <v>201378.65191375141</v>
      </c>
      <c r="P26" s="360">
        <f t="shared" ref="P26:P41" si="22">(M26+N26)/O26</f>
        <v>23.218464178926716</v>
      </c>
      <c r="Q26" s="361">
        <f t="shared" si="14"/>
        <v>23.218464178926716</v>
      </c>
      <c r="R26" s="361">
        <f t="shared" si="15"/>
        <v>0</v>
      </c>
      <c r="S26" s="333">
        <f t="shared" si="16"/>
        <v>2479585.5042423098</v>
      </c>
      <c r="U26" s="333">
        <f t="shared" si="17"/>
        <v>0</v>
      </c>
      <c r="V26" s="333" t="str">
        <f t="shared" si="0"/>
        <v>Winter</v>
      </c>
      <c r="X26" s="333">
        <f t="shared" si="18"/>
        <v>4675703.0158599894</v>
      </c>
      <c r="AA26" s="353">
        <f t="shared" si="4"/>
        <v>2.18E-2</v>
      </c>
      <c r="AB26" s="354">
        <f t="shared" si="8"/>
        <v>0</v>
      </c>
    </row>
    <row r="27" spans="2:28" ht="17.45" customHeight="1">
      <c r="B27" s="203">
        <f t="shared" si="5"/>
        <v>46447</v>
      </c>
      <c r="C27" s="355">
        <v>68728.068089338194</v>
      </c>
      <c r="D27" s="356">
        <f>IF(ISNUMBER($F27),VLOOKUP($J27,'Table 1'!$B$13:$C$37,2,FALSE)/12*1000*Study_MW,"")</f>
        <v>0</v>
      </c>
      <c r="E27" s="356">
        <f t="shared" si="6"/>
        <v>68728.068089338194</v>
      </c>
      <c r="F27" s="355">
        <v>15086.557153</v>
      </c>
      <c r="G27" s="357">
        <f t="shared" si="2"/>
        <v>4.5555833178063061</v>
      </c>
      <c r="I27" s="358">
        <f t="shared" si="20"/>
        <v>29</v>
      </c>
      <c r="J27" s="352">
        <f t="shared" si="7"/>
        <v>2027</v>
      </c>
      <c r="K27" s="203">
        <f t="shared" si="21"/>
        <v>46447</v>
      </c>
      <c r="L27" s="352">
        <f t="shared" si="19"/>
        <v>2037</v>
      </c>
      <c r="M27" s="333">
        <f t="shared" si="11"/>
        <v>5251744.5313073723</v>
      </c>
      <c r="N27" s="333">
        <f t="shared" si="12"/>
        <v>0</v>
      </c>
      <c r="O27" s="333">
        <f t="shared" si="13"/>
        <v>200369.67110935232</v>
      </c>
      <c r="P27" s="360">
        <f t="shared" si="22"/>
        <v>26.210276746130994</v>
      </c>
      <c r="Q27" s="361">
        <f t="shared" si="14"/>
        <v>26.210276746130994</v>
      </c>
      <c r="R27" s="361">
        <f t="shared" si="15"/>
        <v>0</v>
      </c>
      <c r="S27" s="333">
        <f t="shared" si="16"/>
        <v>2760965.4011245584</v>
      </c>
      <c r="U27" s="333">
        <f t="shared" si="17"/>
        <v>0</v>
      </c>
      <c r="V27" s="333" t="str">
        <f t="shared" si="0"/>
        <v>Winter</v>
      </c>
      <c r="X27" s="333">
        <f t="shared" si="18"/>
        <v>5251744.5313073723</v>
      </c>
      <c r="AA27" s="353">
        <f t="shared" si="4"/>
        <v>2.18E-2</v>
      </c>
      <c r="AB27" s="354">
        <f t="shared" si="8"/>
        <v>0</v>
      </c>
    </row>
    <row r="28" spans="2:28" ht="17.45" customHeight="1">
      <c r="B28" s="203">
        <f t="shared" si="5"/>
        <v>46478</v>
      </c>
      <c r="C28" s="355">
        <v>160822.73822930802</v>
      </c>
      <c r="D28" s="356">
        <f>IF(ISNUMBER($F28),VLOOKUP($J28,'Table 1'!$B$13:$C$37,2,FALSE)/12*1000*Study_MW,"")</f>
        <v>0</v>
      </c>
      <c r="E28" s="356">
        <f t="shared" si="6"/>
        <v>160822.73822930802</v>
      </c>
      <c r="F28" s="355">
        <v>19422.398440600002</v>
      </c>
      <c r="G28" s="357">
        <f t="shared" si="2"/>
        <v>8.2802718068603181</v>
      </c>
      <c r="I28" s="358">
        <f t="shared" si="20"/>
        <v>30</v>
      </c>
      <c r="J28" s="352">
        <f t="shared" si="7"/>
        <v>2027</v>
      </c>
      <c r="K28" s="203">
        <f t="shared" si="21"/>
        <v>46478</v>
      </c>
      <c r="L28" s="352">
        <f t="shared" si="19"/>
        <v>2038</v>
      </c>
      <c r="M28" s="333">
        <f t="shared" si="11"/>
        <v>5238861.5092601478</v>
      </c>
      <c r="N28" s="333">
        <f t="shared" si="12"/>
        <v>0</v>
      </c>
      <c r="O28" s="333">
        <f t="shared" si="13"/>
        <v>199198.23946025566</v>
      </c>
      <c r="P28" s="360">
        <f t="shared" si="22"/>
        <v>26.299738006998869</v>
      </c>
      <c r="Q28" s="361">
        <f t="shared" si="14"/>
        <v>26.299738006998869</v>
      </c>
      <c r="R28" s="361">
        <f t="shared" si="15"/>
        <v>0</v>
      </c>
      <c r="S28" s="333">
        <f t="shared" si="16"/>
        <v>2614717.1794562126</v>
      </c>
      <c r="U28" s="333">
        <f t="shared" si="17"/>
        <v>0</v>
      </c>
      <c r="V28" s="333" t="str">
        <f t="shared" si="0"/>
        <v>Winter</v>
      </c>
      <c r="X28" s="333">
        <f t="shared" si="18"/>
        <v>5238861.5092601478</v>
      </c>
      <c r="AA28" s="353">
        <f t="shared" si="4"/>
        <v>2.18E-2</v>
      </c>
      <c r="AB28" s="354">
        <f t="shared" si="8"/>
        <v>0</v>
      </c>
    </row>
    <row r="29" spans="2:28" ht="17.45" customHeight="1">
      <c r="B29" s="203">
        <f t="shared" si="5"/>
        <v>46508</v>
      </c>
      <c r="C29" s="355">
        <v>284633.35427889979</v>
      </c>
      <c r="D29" s="356">
        <f>IF(ISNUMBER($F29),VLOOKUP($J29,'Table 1'!$B$13:$C$37,2,FALSE)/12*1000*Study_MW,"")</f>
        <v>0</v>
      </c>
      <c r="E29" s="356">
        <f t="shared" si="6"/>
        <v>284633.35427889979</v>
      </c>
      <c r="F29" s="355">
        <v>23584.739028480006</v>
      </c>
      <c r="G29" s="357">
        <f t="shared" si="2"/>
        <v>12.068539487979397</v>
      </c>
      <c r="I29" s="358">
        <f t="shared" si="20"/>
        <v>31</v>
      </c>
      <c r="J29" s="352">
        <f t="shared" si="7"/>
        <v>2027</v>
      </c>
      <c r="K29" s="203">
        <f t="shared" si="21"/>
        <v>46508</v>
      </c>
      <c r="L29" s="352">
        <f t="shared" si="19"/>
        <v>2039</v>
      </c>
      <c r="M29" s="333">
        <f t="shared" si="11"/>
        <v>5229482.9727341151</v>
      </c>
      <c r="N29" s="333">
        <f t="shared" si="12"/>
        <v>0</v>
      </c>
      <c r="O29" s="333">
        <f t="shared" si="13"/>
        <v>198227.43968315734</v>
      </c>
      <c r="P29" s="360">
        <f t="shared" si="22"/>
        <v>26.381226439148953</v>
      </c>
      <c r="Q29" s="361">
        <f t="shared" si="14"/>
        <v>26.381226439148953</v>
      </c>
      <c r="R29" s="361">
        <f t="shared" si="15"/>
        <v>0</v>
      </c>
      <c r="S29" s="333">
        <f t="shared" si="16"/>
        <v>2665512.0373008177</v>
      </c>
      <c r="U29" s="333">
        <f t="shared" si="17"/>
        <v>0</v>
      </c>
      <c r="V29" s="333" t="str">
        <f t="shared" si="0"/>
        <v>Summer</v>
      </c>
      <c r="X29" s="333">
        <f t="shared" si="18"/>
        <v>5229482.9727341151</v>
      </c>
      <c r="AA29" s="353">
        <f t="shared" si="4"/>
        <v>2.18E-2</v>
      </c>
      <c r="AB29" s="354">
        <f t="shared" si="8"/>
        <v>0</v>
      </c>
    </row>
    <row r="30" spans="2:28" ht="17.45" customHeight="1">
      <c r="B30" s="203">
        <f t="shared" si="5"/>
        <v>46539</v>
      </c>
      <c r="C30" s="355">
        <v>532469.99635418621</v>
      </c>
      <c r="D30" s="356">
        <f>IF(ISNUMBER($F30),VLOOKUP($J30,'Table 1'!$B$13:$C$37,2,FALSE)/12*1000*Study_MW,"")</f>
        <v>0</v>
      </c>
      <c r="E30" s="356">
        <f t="shared" si="6"/>
        <v>532469.99635418621</v>
      </c>
      <c r="F30" s="355">
        <v>27770.695334179996</v>
      </c>
      <c r="G30" s="357">
        <f t="shared" si="2"/>
        <v>19.173808575791242</v>
      </c>
      <c r="I30" s="358">
        <f t="shared" si="20"/>
        <v>32</v>
      </c>
      <c r="J30" s="352">
        <f t="shared" si="7"/>
        <v>2027</v>
      </c>
      <c r="K30" s="203">
        <f t="shared" si="21"/>
        <v>46539</v>
      </c>
      <c r="L30" s="352">
        <f t="shared" si="19"/>
        <v>2040</v>
      </c>
      <c r="M30" s="333">
        <f t="shared" si="11"/>
        <v>5624034.5976871178</v>
      </c>
      <c r="N30" s="333">
        <f t="shared" si="12"/>
        <v>0</v>
      </c>
      <c r="O30" s="333">
        <f t="shared" si="13"/>
        <v>197700.37829471965</v>
      </c>
      <c r="P30" s="360">
        <f t="shared" si="22"/>
        <v>28.447262702265295</v>
      </c>
      <c r="Q30" s="361">
        <f t="shared" si="14"/>
        <v>28.447262702265295</v>
      </c>
      <c r="R30" s="361">
        <f t="shared" si="15"/>
        <v>0</v>
      </c>
      <c r="S30" s="333">
        <f t="shared" si="16"/>
        <v>2796407.1901877178</v>
      </c>
      <c r="U30" s="333">
        <f t="shared" si="17"/>
        <v>0</v>
      </c>
      <c r="V30" s="333" t="str">
        <f t="shared" si="0"/>
        <v>Summer</v>
      </c>
      <c r="X30" s="333">
        <f t="shared" si="18"/>
        <v>5624034.5976871178</v>
      </c>
      <c r="AA30" s="353">
        <f t="shared" si="4"/>
        <v>2.18E-2</v>
      </c>
      <c r="AB30" s="354">
        <f t="shared" si="8"/>
        <v>0</v>
      </c>
    </row>
    <row r="31" spans="2:28" ht="17.45" customHeight="1">
      <c r="B31" s="203">
        <f t="shared" si="5"/>
        <v>46569</v>
      </c>
      <c r="C31" s="355">
        <v>888932.80711013358</v>
      </c>
      <c r="D31" s="356">
        <f>IF(ISNUMBER($F31),VLOOKUP($J31,'Table 1'!$B$13:$C$37,2,FALSE)/12*1000*Study_MW,"")</f>
        <v>0</v>
      </c>
      <c r="E31" s="356">
        <f t="shared" si="6"/>
        <v>888932.80711013358</v>
      </c>
      <c r="F31" s="355">
        <v>26228.287636429999</v>
      </c>
      <c r="G31" s="357">
        <f t="shared" si="2"/>
        <v>33.892140403227963</v>
      </c>
      <c r="I31" s="358">
        <f t="shared" si="20"/>
        <v>33</v>
      </c>
      <c r="J31" s="352">
        <f t="shared" si="7"/>
        <v>2027</v>
      </c>
      <c r="K31" s="203">
        <f t="shared" si="21"/>
        <v>46569</v>
      </c>
      <c r="L31" s="352">
        <f t="shared" si="19"/>
        <v>2041</v>
      </c>
      <c r="M31" s="333">
        <f t="shared" si="11"/>
        <v>6014142.0961091667</v>
      </c>
      <c r="N31" s="333">
        <f t="shared" si="12"/>
        <v>0</v>
      </c>
      <c r="O31" s="333">
        <f t="shared" si="13"/>
        <v>196291.90858916668</v>
      </c>
      <c r="P31" s="360">
        <f t="shared" si="22"/>
        <v>30.638767228539173</v>
      </c>
      <c r="Q31" s="361">
        <f t="shared" si="14"/>
        <v>30.638767228539173</v>
      </c>
      <c r="R31" s="361">
        <f t="shared" si="15"/>
        <v>0</v>
      </c>
      <c r="S31" s="333">
        <f t="shared" si="16"/>
        <v>3097707.3797026863</v>
      </c>
      <c r="U31" s="333">
        <f t="shared" si="17"/>
        <v>0</v>
      </c>
      <c r="V31" s="333" t="str">
        <f t="shared" si="0"/>
        <v>Summer</v>
      </c>
      <c r="X31" s="333">
        <f t="shared" si="18"/>
        <v>6014142.0961091667</v>
      </c>
      <c r="AA31" s="353">
        <f t="shared" si="4"/>
        <v>2.18E-2</v>
      </c>
      <c r="AB31" s="354">
        <f t="shared" si="8"/>
        <v>0</v>
      </c>
    </row>
    <row r="32" spans="2:28" ht="17.45" customHeight="1">
      <c r="B32" s="203">
        <f t="shared" si="5"/>
        <v>46600</v>
      </c>
      <c r="C32" s="355">
        <v>876056.14340970351</v>
      </c>
      <c r="D32" s="356">
        <f>IF(ISNUMBER($F32),VLOOKUP($J32,'Table 1'!$B$13:$C$37,2,FALSE)/12*1000*Study_MW,"")</f>
        <v>0</v>
      </c>
      <c r="E32" s="356">
        <f t="shared" si="6"/>
        <v>876056.14340970351</v>
      </c>
      <c r="F32" s="355">
        <v>23583.428118540003</v>
      </c>
      <c r="G32" s="357">
        <f t="shared" si="2"/>
        <v>37.147107664173554</v>
      </c>
      <c r="I32" s="358">
        <f t="shared" si="20"/>
        <v>34</v>
      </c>
      <c r="J32" s="352">
        <f t="shared" si="7"/>
        <v>2027</v>
      </c>
      <c r="K32" s="203">
        <f t="shared" si="21"/>
        <v>46600</v>
      </c>
      <c r="L32" s="352">
        <f t="shared" si="19"/>
        <v>2042</v>
      </c>
      <c r="M32" s="333">
        <f t="shared" si="11"/>
        <v>7392314.0064417049</v>
      </c>
      <c r="N32" s="333">
        <f t="shared" si="12"/>
        <v>0</v>
      </c>
      <c r="O32" s="333">
        <f t="shared" si="13"/>
        <v>195432.485987814</v>
      </c>
      <c r="P32" s="360">
        <f t="shared" si="22"/>
        <v>37.82541049445917</v>
      </c>
      <c r="Q32" s="361">
        <f t="shared" si="14"/>
        <v>37.82541049445917</v>
      </c>
      <c r="R32" s="361">
        <f t="shared" si="15"/>
        <v>0</v>
      </c>
      <c r="S32" s="333">
        <f t="shared" si="16"/>
        <v>3575533.5548097645</v>
      </c>
      <c r="U32" s="333">
        <f t="shared" si="17"/>
        <v>0</v>
      </c>
      <c r="V32" s="333" t="str">
        <f t="shared" si="0"/>
        <v>Summer</v>
      </c>
      <c r="X32" s="333">
        <f t="shared" si="18"/>
        <v>7392314.0064417049</v>
      </c>
      <c r="AA32" s="353">
        <f t="shared" si="4"/>
        <v>2.18E-2</v>
      </c>
      <c r="AB32" s="354">
        <f t="shared" si="8"/>
        <v>0</v>
      </c>
    </row>
    <row r="33" spans="2:28" ht="17.45" customHeight="1">
      <c r="B33" s="203">
        <f t="shared" si="5"/>
        <v>46631</v>
      </c>
      <c r="C33" s="355">
        <v>423493.44735348132</v>
      </c>
      <c r="D33" s="356">
        <f>IF(ISNUMBER($F33),VLOOKUP($J33,'Table 1'!$B$13:$C$37,2,FALSE)/12*1000*Study_MW,"")</f>
        <v>0</v>
      </c>
      <c r="E33" s="356">
        <f t="shared" si="6"/>
        <v>423493.44735348132</v>
      </c>
      <c r="F33" s="355">
        <v>19884.064243719993</v>
      </c>
      <c r="G33" s="357">
        <f t="shared" si="2"/>
        <v>21.298133126241218</v>
      </c>
      <c r="I33" s="358">
        <f t="shared" si="20"/>
        <v>35</v>
      </c>
      <c r="J33" s="352">
        <f t="shared" si="7"/>
        <v>2027</v>
      </c>
      <c r="K33" s="203">
        <f t="shared" si="21"/>
        <v>46631</v>
      </c>
      <c r="L33" s="352">
        <f t="shared" si="19"/>
        <v>2043</v>
      </c>
      <c r="M33" s="333">
        <f t="shared" si="11"/>
        <v>8217365.4552490059</v>
      </c>
      <c r="N33" s="333">
        <f t="shared" si="12"/>
        <v>0</v>
      </c>
      <c r="O33" s="333">
        <f t="shared" si="13"/>
        <v>194441.41773098498</v>
      </c>
      <c r="P33" s="360">
        <f t="shared" si="22"/>
        <v>42.261394465956613</v>
      </c>
      <c r="Q33" s="361">
        <f t="shared" si="14"/>
        <v>42.261394465956613</v>
      </c>
      <c r="R33" s="361">
        <f t="shared" si="15"/>
        <v>0</v>
      </c>
      <c r="S33" s="333">
        <f t="shared" si="16"/>
        <v>3926488.4394527762</v>
      </c>
      <c r="U33" s="333">
        <f t="shared" si="17"/>
        <v>0</v>
      </c>
      <c r="V33" s="333" t="str">
        <f t="shared" si="0"/>
        <v>Winter</v>
      </c>
      <c r="X33" s="333">
        <f t="shared" si="18"/>
        <v>8217365.4552490059</v>
      </c>
      <c r="AA33" s="353">
        <f t="shared" si="4"/>
        <v>2.18E-2</v>
      </c>
      <c r="AB33" s="354">
        <f t="shared" si="8"/>
        <v>0</v>
      </c>
    </row>
    <row r="34" spans="2:28" ht="17.45" customHeight="1">
      <c r="B34" s="203">
        <f t="shared" si="5"/>
        <v>46661</v>
      </c>
      <c r="C34" s="355">
        <v>190704.74930978162</v>
      </c>
      <c r="D34" s="356">
        <f>IF(ISNUMBER($F34),VLOOKUP($J34,'Table 1'!$B$13:$C$37,2,FALSE)/12*1000*Study_MW,"")</f>
        <v>0</v>
      </c>
      <c r="E34" s="356">
        <f t="shared" si="6"/>
        <v>190704.74930978162</v>
      </c>
      <c r="F34" s="355">
        <v>14940.489055679998</v>
      </c>
      <c r="G34" s="357">
        <f t="shared" si="2"/>
        <v>12.764290954537426</v>
      </c>
      <c r="I34" s="358">
        <f t="shared" si="20"/>
        <v>36</v>
      </c>
      <c r="J34" s="352">
        <f t="shared" si="7"/>
        <v>2027</v>
      </c>
      <c r="K34" s="203">
        <f t="shared" si="21"/>
        <v>46661</v>
      </c>
      <c r="L34" s="352">
        <f t="shared" si="19"/>
        <v>2044</v>
      </c>
      <c r="M34" s="333">
        <f t="shared" si="11"/>
        <v>8371954.28564806</v>
      </c>
      <c r="N34" s="333">
        <f t="shared" si="12"/>
        <v>0</v>
      </c>
      <c r="O34" s="333">
        <f t="shared" si="13"/>
        <v>193526.65439467205</v>
      </c>
      <c r="P34" s="360">
        <f t="shared" si="22"/>
        <v>43.259954613665592</v>
      </c>
      <c r="Q34" s="361">
        <f t="shared" ref="Q34:Q41" si="23">M34/O34</f>
        <v>43.259954613665592</v>
      </c>
      <c r="R34" s="361">
        <f t="shared" ref="R34:R41" si="24">IFERROR(N34/O34,0)</f>
        <v>0</v>
      </c>
      <c r="S34" s="333">
        <f t="shared" si="16"/>
        <v>3939801.5078659374</v>
      </c>
      <c r="U34" s="333">
        <f t="shared" si="17"/>
        <v>0</v>
      </c>
      <c r="V34" s="333" t="str">
        <f t="shared" si="0"/>
        <v>Winter</v>
      </c>
      <c r="X34" s="333">
        <f t="shared" si="18"/>
        <v>8371954.28564806</v>
      </c>
      <c r="AA34" s="353">
        <f t="shared" si="4"/>
        <v>2.18E-2</v>
      </c>
      <c r="AB34" s="354">
        <f t="shared" si="8"/>
        <v>0</v>
      </c>
    </row>
    <row r="35" spans="2:28" ht="17.45" customHeight="1">
      <c r="B35" s="203">
        <f t="shared" si="5"/>
        <v>46692</v>
      </c>
      <c r="C35" s="355">
        <v>246315.68314300239</v>
      </c>
      <c r="D35" s="356">
        <f>IF(ISNUMBER($F35),VLOOKUP($J35,'Table 1'!$B$13:$C$37,2,FALSE)/12*1000*Study_MW,"")</f>
        <v>0</v>
      </c>
      <c r="E35" s="356">
        <f t="shared" si="6"/>
        <v>246315.68314300239</v>
      </c>
      <c r="F35" s="355">
        <v>11290.090375549997</v>
      </c>
      <c r="G35" s="357">
        <f t="shared" si="2"/>
        <v>21.816980639626024</v>
      </c>
      <c r="I35" s="358">
        <f t="shared" si="20"/>
        <v>37</v>
      </c>
      <c r="J35" s="352">
        <f t="shared" si="7"/>
        <v>2027</v>
      </c>
      <c r="K35" s="203">
        <f t="shared" si="21"/>
        <v>46692</v>
      </c>
      <c r="L35" s="352">
        <f t="shared" si="19"/>
        <v>2045</v>
      </c>
      <c r="M35" s="333">
        <f t="shared" si="11"/>
        <v>8554462.889075188</v>
      </c>
      <c r="N35" s="333">
        <f t="shared" si="12"/>
        <v>0</v>
      </c>
      <c r="O35" s="333">
        <f t="shared" si="13"/>
        <v>192134.19293104007</v>
      </c>
      <c r="P35" s="360">
        <f t="shared" si="22"/>
        <v>44.523375868581169</v>
      </c>
      <c r="Q35" s="361">
        <f t="shared" si="23"/>
        <v>44.523375868581169</v>
      </c>
      <c r="R35" s="361">
        <f t="shared" si="24"/>
        <v>0</v>
      </c>
      <c r="S35" s="333">
        <f t="shared" si="16"/>
        <v>4025689.1807374144</v>
      </c>
      <c r="U35" s="333">
        <f t="shared" si="17"/>
        <v>0</v>
      </c>
      <c r="V35" s="333" t="str">
        <f t="shared" si="0"/>
        <v>Winter</v>
      </c>
      <c r="X35" s="333">
        <f t="shared" si="18"/>
        <v>8554462.889075188</v>
      </c>
      <c r="AA35" s="353">
        <f t="shared" si="4"/>
        <v>2.18E-2</v>
      </c>
      <c r="AB35" s="354">
        <f t="shared" si="8"/>
        <v>0</v>
      </c>
    </row>
    <row r="36" spans="2:28" ht="17.45" customHeight="1">
      <c r="B36" s="204">
        <f t="shared" si="5"/>
        <v>46722</v>
      </c>
      <c r="C36" s="362">
        <v>227917.76880307565</v>
      </c>
      <c r="D36" s="363">
        <f>IF(ISNUMBER($F36),VLOOKUP($J36,'Table 1'!$B$13:$C$37,2,FALSE)/12*1000*Study_MW,"")</f>
        <v>0</v>
      </c>
      <c r="E36" s="363">
        <f t="shared" si="6"/>
        <v>227917.76880307565</v>
      </c>
      <c r="F36" s="362">
        <v>7587.0598484180009</v>
      </c>
      <c r="G36" s="364">
        <f t="shared" si="2"/>
        <v>30.040328316455739</v>
      </c>
      <c r="I36" s="365">
        <f t="shared" si="20"/>
        <v>38</v>
      </c>
      <c r="J36" s="352">
        <f t="shared" si="7"/>
        <v>2027</v>
      </c>
      <c r="K36" s="204">
        <f t="shared" si="21"/>
        <v>46722</v>
      </c>
      <c r="L36" s="352">
        <f t="shared" si="19"/>
        <v>2046</v>
      </c>
      <c r="M36" s="333">
        <f t="shared" si="11"/>
        <v>8740950.1800570283</v>
      </c>
      <c r="N36" s="333">
        <f t="shared" si="12"/>
        <v>0</v>
      </c>
      <c r="O36" s="333">
        <f t="shared" si="13"/>
        <v>191173.5219663849</v>
      </c>
      <c r="P36" s="360">
        <f t="shared" si="22"/>
        <v>45.722598454790187</v>
      </c>
      <c r="Q36" s="361">
        <f t="shared" si="23"/>
        <v>45.722598454790187</v>
      </c>
      <c r="R36" s="361">
        <f t="shared" si="24"/>
        <v>0</v>
      </c>
      <c r="S36" s="333">
        <f t="shared" si="16"/>
        <v>4113449.2048774906</v>
      </c>
      <c r="U36" s="333">
        <f t="shared" si="17"/>
        <v>0</v>
      </c>
      <c r="V36" s="333" t="str">
        <f t="shared" si="0"/>
        <v>Winter</v>
      </c>
      <c r="X36" s="333">
        <f t="shared" si="18"/>
        <v>8740950.1800570283</v>
      </c>
      <c r="AA36" s="353">
        <f t="shared" si="4"/>
        <v>2.18E-2</v>
      </c>
      <c r="AB36" s="354">
        <f t="shared" si="8"/>
        <v>0</v>
      </c>
    </row>
    <row r="37" spans="2:28" ht="17.45" customHeight="1">
      <c r="B37" s="202">
        <f t="shared" si="5"/>
        <v>46753</v>
      </c>
      <c r="C37" s="346">
        <v>277475.02446998988</v>
      </c>
      <c r="D37" s="347">
        <f>IF(ISNUMBER($F37),VLOOKUP($J37,'Table 1'!$B$13:$C$37,2,FALSE)/12*1000*Study_MW,"")</f>
        <v>0</v>
      </c>
      <c r="E37" s="348">
        <f t="shared" si="6"/>
        <v>277475.02446998988</v>
      </c>
      <c r="F37" s="349">
        <v>7981.7001758500001</v>
      </c>
      <c r="G37" s="350">
        <f t="shared" si="2"/>
        <v>34.763899715193268</v>
      </c>
      <c r="I37" s="366">
        <f>I25+13</f>
        <v>40</v>
      </c>
      <c r="J37" s="352">
        <f t="shared" si="7"/>
        <v>2028</v>
      </c>
      <c r="K37" s="202">
        <f t="shared" si="21"/>
        <v>46753</v>
      </c>
      <c r="L37" s="352">
        <f t="shared" si="19"/>
        <v>2047</v>
      </c>
      <c r="M37" s="333">
        <f t="shared" si="11"/>
        <v>8931502.8939822707</v>
      </c>
      <c r="N37" s="333">
        <f t="shared" si="12"/>
        <v>0</v>
      </c>
      <c r="O37" s="333">
        <f t="shared" si="13"/>
        <v>190217.65435655299</v>
      </c>
      <c r="P37" s="360">
        <f t="shared" si="22"/>
        <v>46.954121709652874</v>
      </c>
      <c r="Q37" s="361">
        <f t="shared" si="23"/>
        <v>46.954121709652874</v>
      </c>
      <c r="R37" s="361">
        <f t="shared" si="24"/>
        <v>0</v>
      </c>
      <c r="S37" s="333">
        <f t="shared" si="16"/>
        <v>4203122.3975438206</v>
      </c>
      <c r="U37" s="333">
        <f t="shared" si="17"/>
        <v>0</v>
      </c>
      <c r="V37" s="333" t="str">
        <f t="shared" si="0"/>
        <v>Winter</v>
      </c>
      <c r="X37" s="333">
        <f t="shared" si="18"/>
        <v>8931502.8939822707</v>
      </c>
      <c r="AA37" s="353">
        <f t="shared" si="4"/>
        <v>2.18E-2</v>
      </c>
      <c r="AB37" s="354">
        <f t="shared" si="8"/>
        <v>0</v>
      </c>
    </row>
    <row r="38" spans="2:28" ht="17.45" customHeight="1">
      <c r="B38" s="203">
        <f t="shared" si="5"/>
        <v>46784</v>
      </c>
      <c r="C38" s="355">
        <v>233680.4162112312</v>
      </c>
      <c r="D38" s="356">
        <f>IF(ISNUMBER($F38),VLOOKUP($J38,'Table 1'!$B$13:$C$37,2,FALSE)/12*1000*Study_MW,"")</f>
        <v>0</v>
      </c>
      <c r="E38" s="356">
        <f t="shared" si="6"/>
        <v>233680.4162112312</v>
      </c>
      <c r="F38" s="355">
        <v>13319.1417986</v>
      </c>
      <c r="G38" s="357">
        <f t="shared" si="2"/>
        <v>17.544705187821769</v>
      </c>
      <c r="I38" s="358">
        <f t="shared" si="20"/>
        <v>41</v>
      </c>
      <c r="J38" s="352">
        <f t="shared" si="7"/>
        <v>2028</v>
      </c>
      <c r="K38" s="203">
        <f t="shared" si="21"/>
        <v>46784</v>
      </c>
      <c r="L38" s="352">
        <f t="shared" si="19"/>
        <v>2048</v>
      </c>
      <c r="M38" s="333">
        <f t="shared" si="11"/>
        <v>0</v>
      </c>
      <c r="N38" s="333">
        <f t="shared" si="12"/>
        <v>0</v>
      </c>
      <c r="O38" s="333">
        <f t="shared" si="13"/>
        <v>0</v>
      </c>
      <c r="P38" s="360" t="e">
        <f t="shared" si="22"/>
        <v>#DIV/0!</v>
      </c>
      <c r="Q38" s="361" t="e">
        <f t="shared" si="23"/>
        <v>#DIV/0!</v>
      </c>
      <c r="R38" s="361">
        <f t="shared" si="24"/>
        <v>0</v>
      </c>
      <c r="S38" s="333">
        <f t="shared" si="16"/>
        <v>0</v>
      </c>
      <c r="U38" s="333">
        <f t="shared" si="17"/>
        <v>0</v>
      </c>
      <c r="V38" s="333" t="str">
        <f t="shared" si="0"/>
        <v>Winter</v>
      </c>
      <c r="X38" s="333">
        <f t="shared" si="18"/>
        <v>0</v>
      </c>
      <c r="AA38" s="353">
        <f t="shared" si="4"/>
        <v>2.18E-2</v>
      </c>
      <c r="AB38" s="354">
        <f t="shared" si="8"/>
        <v>0</v>
      </c>
    </row>
    <row r="39" spans="2:28" ht="17.45" customHeight="1">
      <c r="B39" s="203">
        <f t="shared" si="5"/>
        <v>46813</v>
      </c>
      <c r="C39" s="355">
        <v>61260.597102023894</v>
      </c>
      <c r="D39" s="356">
        <f>IF(ISNUMBER($F39),VLOOKUP($J39,'Table 1'!$B$13:$C$37,2,FALSE)/12*1000*Study_MW,"")</f>
        <v>0</v>
      </c>
      <c r="E39" s="356">
        <f t="shared" si="6"/>
        <v>61260.597102023894</v>
      </c>
      <c r="F39" s="355">
        <v>15807.246561700003</v>
      </c>
      <c r="G39" s="357">
        <f t="shared" si="2"/>
        <v>3.8754755208572877</v>
      </c>
      <c r="I39" s="358">
        <f t="shared" si="20"/>
        <v>42</v>
      </c>
      <c r="J39" s="352">
        <f t="shared" si="7"/>
        <v>2028</v>
      </c>
      <c r="K39" s="203">
        <f t="shared" si="21"/>
        <v>46813</v>
      </c>
      <c r="L39" s="352">
        <f t="shared" si="19"/>
        <v>2049</v>
      </c>
      <c r="M39" s="333">
        <f t="shared" si="11"/>
        <v>0</v>
      </c>
      <c r="N39" s="333">
        <f t="shared" si="12"/>
        <v>0</v>
      </c>
      <c r="O39" s="333">
        <f t="shared" si="13"/>
        <v>0</v>
      </c>
      <c r="P39" s="360" t="e">
        <f t="shared" si="22"/>
        <v>#DIV/0!</v>
      </c>
      <c r="Q39" s="361" t="e">
        <f t="shared" si="23"/>
        <v>#DIV/0!</v>
      </c>
      <c r="R39" s="361">
        <f t="shared" si="24"/>
        <v>0</v>
      </c>
      <c r="S39" s="333">
        <f t="shared" si="16"/>
        <v>0</v>
      </c>
      <c r="U39" s="333">
        <f t="shared" si="17"/>
        <v>0</v>
      </c>
      <c r="V39" s="333" t="str">
        <f t="shared" si="0"/>
        <v>Winter</v>
      </c>
      <c r="X39" s="333">
        <f t="shared" si="18"/>
        <v>0</v>
      </c>
      <c r="AA39" s="353">
        <f t="shared" si="4"/>
        <v>2.18E-2</v>
      </c>
      <c r="AB39" s="354">
        <f t="shared" si="8"/>
        <v>0</v>
      </c>
    </row>
    <row r="40" spans="2:28" ht="17.45" customHeight="1">
      <c r="B40" s="203">
        <f t="shared" si="5"/>
        <v>46844</v>
      </c>
      <c r="C40" s="355">
        <v>151341.91841884784</v>
      </c>
      <c r="D40" s="356">
        <f>IF(ISNUMBER($F40),VLOOKUP($J40,'Table 1'!$B$13:$C$37,2,FALSE)/12*1000*Study_MW,"")</f>
        <v>0</v>
      </c>
      <c r="E40" s="356">
        <f t="shared" si="6"/>
        <v>151341.91841884784</v>
      </c>
      <c r="F40" s="355">
        <v>19002.077468660002</v>
      </c>
      <c r="G40" s="357">
        <f t="shared" si="2"/>
        <v>7.9644932859817592</v>
      </c>
      <c r="I40" s="358">
        <f t="shared" si="20"/>
        <v>43</v>
      </c>
      <c r="J40" s="352">
        <f t="shared" si="7"/>
        <v>2028</v>
      </c>
      <c r="K40" s="203">
        <f t="shared" si="21"/>
        <v>46844</v>
      </c>
      <c r="L40" s="352">
        <f t="shared" si="19"/>
        <v>2050</v>
      </c>
      <c r="M40" s="333">
        <f t="shared" si="11"/>
        <v>0</v>
      </c>
      <c r="N40" s="333">
        <f t="shared" si="12"/>
        <v>0</v>
      </c>
      <c r="O40" s="333">
        <f t="shared" si="13"/>
        <v>0</v>
      </c>
      <c r="P40" s="360" t="e">
        <f t="shared" si="22"/>
        <v>#DIV/0!</v>
      </c>
      <c r="Q40" s="361" t="e">
        <f t="shared" si="23"/>
        <v>#DIV/0!</v>
      </c>
      <c r="R40" s="361">
        <f t="shared" si="24"/>
        <v>0</v>
      </c>
      <c r="S40" s="333">
        <f t="shared" si="16"/>
        <v>0</v>
      </c>
      <c r="T40" s="341"/>
      <c r="U40" s="333">
        <f t="shared" si="17"/>
        <v>0</v>
      </c>
      <c r="V40" s="333" t="str">
        <f t="shared" si="0"/>
        <v>Winter</v>
      </c>
      <c r="X40" s="333">
        <f t="shared" si="18"/>
        <v>0</v>
      </c>
      <c r="AA40" s="353">
        <f t="shared" si="4"/>
        <v>2.18E-2</v>
      </c>
      <c r="AB40" s="354">
        <f t="shared" si="8"/>
        <v>0</v>
      </c>
    </row>
    <row r="41" spans="2:28" ht="17.45" customHeight="1">
      <c r="B41" s="203">
        <f t="shared" si="5"/>
        <v>46874</v>
      </c>
      <c r="C41" s="355">
        <v>305553.14104878926</v>
      </c>
      <c r="D41" s="356">
        <f>IF(ISNUMBER($F41),VLOOKUP($J41,'Table 1'!$B$13:$C$37,2,FALSE)/12*1000*Study_MW,"")</f>
        <v>0</v>
      </c>
      <c r="E41" s="356">
        <f t="shared" si="6"/>
        <v>305553.14104878926</v>
      </c>
      <c r="F41" s="355">
        <v>24308.007441389997</v>
      </c>
      <c r="G41" s="357">
        <f t="shared" si="2"/>
        <v>12.570061194259569</v>
      </c>
      <c r="I41" s="358">
        <f t="shared" si="20"/>
        <v>44</v>
      </c>
      <c r="J41" s="352">
        <f t="shared" si="7"/>
        <v>2028</v>
      </c>
      <c r="K41" s="203">
        <f t="shared" si="21"/>
        <v>46874</v>
      </c>
      <c r="L41" s="352">
        <f t="shared" si="19"/>
        <v>2051</v>
      </c>
      <c r="M41" s="333">
        <f t="shared" si="11"/>
        <v>0</v>
      </c>
      <c r="N41" s="333">
        <f t="shared" si="12"/>
        <v>0</v>
      </c>
      <c r="O41" s="333">
        <f t="shared" si="13"/>
        <v>0</v>
      </c>
      <c r="P41" s="360" t="e">
        <f t="shared" si="22"/>
        <v>#DIV/0!</v>
      </c>
      <c r="Q41" s="361" t="e">
        <f t="shared" si="23"/>
        <v>#DIV/0!</v>
      </c>
      <c r="R41" s="361">
        <f t="shared" si="24"/>
        <v>0</v>
      </c>
      <c r="S41" s="333">
        <f t="shared" si="16"/>
        <v>0</v>
      </c>
      <c r="T41" s="341"/>
      <c r="U41" s="333">
        <f t="shared" si="17"/>
        <v>0</v>
      </c>
      <c r="V41" s="333" t="str">
        <f t="shared" si="0"/>
        <v>Summer</v>
      </c>
      <c r="X41" s="333">
        <f t="shared" si="18"/>
        <v>0</v>
      </c>
      <c r="AA41" s="353">
        <f t="shared" si="4"/>
        <v>2.18E-2</v>
      </c>
      <c r="AB41" s="354">
        <f t="shared" si="8"/>
        <v>0</v>
      </c>
    </row>
    <row r="42" spans="2:28" ht="17.45" customHeight="1">
      <c r="B42" s="203">
        <f t="shared" si="5"/>
        <v>46905</v>
      </c>
      <c r="C42" s="355">
        <v>478809.4212881042</v>
      </c>
      <c r="D42" s="356">
        <f>IF(ISNUMBER($F42),VLOOKUP($J42,'Table 1'!$B$13:$C$37,2,FALSE)/12*1000*Study_MW,"")</f>
        <v>0</v>
      </c>
      <c r="E42" s="356">
        <f t="shared" si="6"/>
        <v>478809.4212881042</v>
      </c>
      <c r="F42" s="355">
        <v>27567.521412369999</v>
      </c>
      <c r="G42" s="357">
        <f t="shared" si="2"/>
        <v>17.368606126238632</v>
      </c>
      <c r="I42" s="358">
        <f t="shared" si="20"/>
        <v>45</v>
      </c>
      <c r="J42" s="352">
        <f t="shared" si="7"/>
        <v>2028</v>
      </c>
      <c r="K42" s="203">
        <f t="shared" si="21"/>
        <v>46905</v>
      </c>
      <c r="L42" s="352">
        <f t="shared" si="19"/>
        <v>2052</v>
      </c>
      <c r="P42" s="360"/>
      <c r="Q42" s="361"/>
      <c r="R42" s="361"/>
      <c r="V42" s="333" t="str">
        <f t="shared" si="0"/>
        <v>Summer</v>
      </c>
      <c r="X42" s="333">
        <f t="shared" si="18"/>
        <v>0</v>
      </c>
      <c r="AA42" s="353">
        <f t="shared" si="4"/>
        <v>2.18E-2</v>
      </c>
      <c r="AB42" s="354">
        <f t="shared" si="8"/>
        <v>0</v>
      </c>
    </row>
    <row r="43" spans="2:28" ht="17.45" customHeight="1">
      <c r="B43" s="203">
        <f t="shared" si="5"/>
        <v>46935</v>
      </c>
      <c r="C43" s="355">
        <v>906800.95856182743</v>
      </c>
      <c r="D43" s="356">
        <f>IF(ISNUMBER($F43),VLOOKUP($J43,'Table 1'!$B$13:$C$37,2,FALSE)/12*1000*Study_MW,"")</f>
        <v>0</v>
      </c>
      <c r="E43" s="356">
        <f t="shared" si="6"/>
        <v>906800.95856182743</v>
      </c>
      <c r="F43" s="355">
        <v>25736.225023900002</v>
      </c>
      <c r="G43" s="357">
        <f t="shared" si="2"/>
        <v>35.23441987780744</v>
      </c>
      <c r="I43" s="358">
        <f t="shared" si="20"/>
        <v>46</v>
      </c>
      <c r="J43" s="352">
        <f t="shared" si="7"/>
        <v>2028</v>
      </c>
      <c r="K43" s="203">
        <f t="shared" si="21"/>
        <v>46935</v>
      </c>
      <c r="V43" s="333" t="str">
        <f t="shared" si="0"/>
        <v>Summer</v>
      </c>
      <c r="X43" s="333">
        <f t="shared" si="18"/>
        <v>0</v>
      </c>
      <c r="AA43" s="353">
        <f t="shared" si="4"/>
        <v>2.18E-2</v>
      </c>
      <c r="AB43" s="354">
        <f t="shared" si="8"/>
        <v>0</v>
      </c>
    </row>
    <row r="44" spans="2:28" ht="17.45" customHeight="1">
      <c r="B44" s="203">
        <f t="shared" si="5"/>
        <v>46966</v>
      </c>
      <c r="C44" s="355">
        <v>902345.78546926787</v>
      </c>
      <c r="D44" s="356">
        <f>IF(ISNUMBER($F44),VLOOKUP($J44,'Table 1'!$B$13:$C$37,2,FALSE)/12*1000*Study_MW,"")</f>
        <v>0</v>
      </c>
      <c r="E44" s="356">
        <f t="shared" si="6"/>
        <v>902345.78546926787</v>
      </c>
      <c r="F44" s="355">
        <v>23714.200891760003</v>
      </c>
      <c r="G44" s="357">
        <f t="shared" si="2"/>
        <v>38.05086199564105</v>
      </c>
      <c r="I44" s="358">
        <f t="shared" si="20"/>
        <v>47</v>
      </c>
      <c r="J44" s="352">
        <f t="shared" si="7"/>
        <v>2028</v>
      </c>
      <c r="K44" s="203">
        <f t="shared" si="21"/>
        <v>46966</v>
      </c>
      <c r="V44" s="333" t="str">
        <f t="shared" si="0"/>
        <v>Summer</v>
      </c>
      <c r="X44" s="333">
        <f t="shared" si="18"/>
        <v>0</v>
      </c>
      <c r="AA44" s="353">
        <f t="shared" si="4"/>
        <v>2.18E-2</v>
      </c>
      <c r="AB44" s="354">
        <f t="shared" si="8"/>
        <v>0</v>
      </c>
    </row>
    <row r="45" spans="2:28" ht="17.45" customHeight="1">
      <c r="B45" s="203">
        <f t="shared" si="5"/>
        <v>46997</v>
      </c>
      <c r="C45" s="355">
        <v>506663.49830511899</v>
      </c>
      <c r="D45" s="356">
        <f>IF(ISNUMBER($F45),VLOOKUP($J45,'Table 1'!$B$13:$C$37,2,FALSE)/12*1000*Study_MW,"")</f>
        <v>0</v>
      </c>
      <c r="E45" s="356">
        <f t="shared" si="6"/>
        <v>506663.49830511899</v>
      </c>
      <c r="F45" s="355">
        <v>18853.283896660003</v>
      </c>
      <c r="G45" s="357">
        <f t="shared" si="2"/>
        <v>26.874018398188877</v>
      </c>
      <c r="I45" s="358">
        <f t="shared" si="20"/>
        <v>48</v>
      </c>
      <c r="J45" s="352">
        <f t="shared" si="7"/>
        <v>2028</v>
      </c>
      <c r="K45" s="203">
        <f t="shared" si="21"/>
        <v>46997</v>
      </c>
      <c r="V45" s="333" t="str">
        <f t="shared" si="0"/>
        <v>Winter</v>
      </c>
      <c r="X45" s="333">
        <f t="shared" si="18"/>
        <v>0</v>
      </c>
      <c r="AA45" s="353">
        <f t="shared" si="4"/>
        <v>2.18E-2</v>
      </c>
      <c r="AB45" s="354">
        <f t="shared" si="8"/>
        <v>0</v>
      </c>
    </row>
    <row r="46" spans="2:28" ht="17.45" customHeight="1">
      <c r="B46" s="203">
        <f t="shared" si="5"/>
        <v>47027</v>
      </c>
      <c r="C46" s="355">
        <v>249385.11813735566</v>
      </c>
      <c r="D46" s="356">
        <f>IF(ISNUMBER($F46),VLOOKUP($J46,'Table 1'!$B$13:$C$37,2,FALSE)/12*1000*Study_MW,"")</f>
        <v>0</v>
      </c>
      <c r="E46" s="356">
        <f t="shared" si="6"/>
        <v>249385.11813735566</v>
      </c>
      <c r="F46" s="355">
        <v>15132.094132330001</v>
      </c>
      <c r="G46" s="357">
        <f t="shared" si="2"/>
        <v>16.480542346385469</v>
      </c>
      <c r="I46" s="358">
        <f t="shared" si="20"/>
        <v>49</v>
      </c>
      <c r="J46" s="352">
        <f t="shared" si="7"/>
        <v>2028</v>
      </c>
      <c r="K46" s="203">
        <f t="shared" si="21"/>
        <v>47027</v>
      </c>
      <c r="V46" s="333" t="str">
        <f t="shared" si="0"/>
        <v>Winter</v>
      </c>
      <c r="X46" s="333">
        <f t="shared" si="18"/>
        <v>0</v>
      </c>
      <c r="AA46" s="353">
        <f t="shared" si="4"/>
        <v>2.18E-2</v>
      </c>
      <c r="AB46" s="354">
        <f t="shared" si="8"/>
        <v>0</v>
      </c>
    </row>
    <row r="47" spans="2:28" ht="17.45" customHeight="1">
      <c r="B47" s="203">
        <f t="shared" si="5"/>
        <v>47058</v>
      </c>
      <c r="C47" s="355">
        <v>257680.11193793063</v>
      </c>
      <c r="D47" s="356">
        <f>IF(ISNUMBER($F47),VLOOKUP($J47,'Table 1'!$B$13:$C$37,2,FALSE)/12*1000*Study_MW,"")</f>
        <v>0</v>
      </c>
      <c r="E47" s="356">
        <f t="shared" si="6"/>
        <v>257680.11193793063</v>
      </c>
      <c r="F47" s="355">
        <v>10856.33392961</v>
      </c>
      <c r="G47" s="357">
        <f t="shared" si="2"/>
        <v>23.735462966473754</v>
      </c>
      <c r="I47" s="358">
        <f t="shared" si="20"/>
        <v>50</v>
      </c>
      <c r="J47" s="352">
        <f t="shared" si="7"/>
        <v>2028</v>
      </c>
      <c r="K47" s="203">
        <f t="shared" si="21"/>
        <v>47058</v>
      </c>
      <c r="V47" s="333" t="str">
        <f t="shared" si="0"/>
        <v>Winter</v>
      </c>
      <c r="X47" s="333">
        <f t="shared" si="18"/>
        <v>0</v>
      </c>
      <c r="AA47" s="353">
        <f t="shared" si="4"/>
        <v>2.18E-2</v>
      </c>
      <c r="AB47" s="354">
        <f t="shared" si="8"/>
        <v>0</v>
      </c>
    </row>
    <row r="48" spans="2:28" ht="17.45" customHeight="1">
      <c r="B48" s="204">
        <f t="shared" si="5"/>
        <v>47088</v>
      </c>
      <c r="C48" s="362">
        <v>282309.24070356181</v>
      </c>
      <c r="D48" s="363">
        <f>IF(ISNUMBER($F48),VLOOKUP($J48,'Table 1'!$B$13:$C$37,2,FALSE)/12*1000*Study_MW,"")</f>
        <v>0</v>
      </c>
      <c r="E48" s="363">
        <f t="shared" si="6"/>
        <v>282309.24070356181</v>
      </c>
      <c r="F48" s="362">
        <v>7424.4699967034494</v>
      </c>
      <c r="G48" s="364">
        <f t="shared" si="2"/>
        <v>38.024160758803035</v>
      </c>
      <c r="I48" s="365">
        <f t="shared" si="20"/>
        <v>51</v>
      </c>
      <c r="J48" s="352">
        <f t="shared" si="7"/>
        <v>2028</v>
      </c>
      <c r="K48" s="204">
        <f t="shared" si="21"/>
        <v>47088</v>
      </c>
      <c r="V48" s="333" t="str">
        <f t="shared" si="0"/>
        <v>Winter</v>
      </c>
      <c r="X48" s="333">
        <f t="shared" si="18"/>
        <v>0</v>
      </c>
      <c r="AA48" s="353">
        <f t="shared" si="4"/>
        <v>2.18E-2</v>
      </c>
      <c r="AB48" s="354">
        <f t="shared" si="8"/>
        <v>0</v>
      </c>
    </row>
    <row r="49" spans="2:28" ht="17.45" hidden="1" customHeight="1" outlineLevel="1">
      <c r="B49" s="202">
        <f t="shared" si="5"/>
        <v>47119</v>
      </c>
      <c r="C49" s="346">
        <v>263540.82269579521</v>
      </c>
      <c r="D49" s="347">
        <f>IF(ISNUMBER($F49),VLOOKUP($J49,'Table 1'!$B$13:$C$37,2,FALSE)/12*1000*Study_MW,"")</f>
        <v>0</v>
      </c>
      <c r="E49" s="348">
        <f t="shared" si="6"/>
        <v>263540.82269579521</v>
      </c>
      <c r="F49" s="349">
        <v>7880.8380238800019</v>
      </c>
      <c r="G49" s="350">
        <f t="shared" si="2"/>
        <v>33.440710479930054</v>
      </c>
      <c r="I49" s="366">
        <f>I37+13</f>
        <v>53</v>
      </c>
      <c r="J49" s="352">
        <f t="shared" si="7"/>
        <v>2029</v>
      </c>
      <c r="K49" s="202">
        <f t="shared" si="21"/>
        <v>47119</v>
      </c>
      <c r="V49" s="333" t="str">
        <f t="shared" si="0"/>
        <v>Winter</v>
      </c>
      <c r="X49" s="333">
        <f t="shared" si="18"/>
        <v>0</v>
      </c>
      <c r="AA49" s="353">
        <f t="shared" si="4"/>
        <v>2.18E-2</v>
      </c>
      <c r="AB49" s="354">
        <f t="shared" si="8"/>
        <v>0</v>
      </c>
    </row>
    <row r="50" spans="2:28" ht="17.45" hidden="1" customHeight="1" outlineLevel="1">
      <c r="B50" s="203">
        <f t="shared" si="5"/>
        <v>47150</v>
      </c>
      <c r="C50" s="355">
        <v>322080.64309739711</v>
      </c>
      <c r="D50" s="356">
        <f>IF(ISNUMBER($F50),VLOOKUP($J50,'Table 1'!$B$13:$C$37,2,FALSE)/12*1000*Study_MW,"")</f>
        <v>0</v>
      </c>
      <c r="E50" s="356">
        <f t="shared" si="6"/>
        <v>322080.64309739711</v>
      </c>
      <c r="F50" s="355">
        <v>13149.725791180001</v>
      </c>
      <c r="G50" s="357">
        <f t="shared" si="2"/>
        <v>24.49333531452255</v>
      </c>
      <c r="I50" s="358">
        <f t="shared" si="20"/>
        <v>54</v>
      </c>
      <c r="J50" s="352">
        <f t="shared" si="7"/>
        <v>2029</v>
      </c>
      <c r="K50" s="203">
        <f t="shared" si="21"/>
        <v>47150</v>
      </c>
      <c r="V50" s="333" t="str">
        <f t="shared" si="0"/>
        <v>Winter</v>
      </c>
      <c r="X50" s="333">
        <f t="shared" si="18"/>
        <v>0</v>
      </c>
      <c r="AA50" s="353">
        <f t="shared" si="4"/>
        <v>2.18E-2</v>
      </c>
      <c r="AB50" s="354">
        <f t="shared" si="8"/>
        <v>0</v>
      </c>
    </row>
    <row r="51" spans="2:28" ht="17.45" hidden="1" customHeight="1" outlineLevel="1">
      <c r="B51" s="203">
        <f t="shared" si="5"/>
        <v>47178</v>
      </c>
      <c r="C51" s="355">
        <v>137711.18308781661</v>
      </c>
      <c r="D51" s="356">
        <f>IF(ISNUMBER($F51),VLOOKUP($J51,'Table 1'!$B$13:$C$37,2,FALSE)/12*1000*Study_MW,"")</f>
        <v>0</v>
      </c>
      <c r="E51" s="356">
        <f t="shared" si="6"/>
        <v>137711.18308781661</v>
      </c>
      <c r="F51" s="355">
        <v>15969.353013829999</v>
      </c>
      <c r="G51" s="357">
        <f t="shared" si="2"/>
        <v>8.623466646930158</v>
      </c>
      <c r="I51" s="358">
        <f t="shared" si="20"/>
        <v>55</v>
      </c>
      <c r="J51" s="352">
        <f t="shared" si="7"/>
        <v>2029</v>
      </c>
      <c r="K51" s="203">
        <f t="shared" si="21"/>
        <v>47178</v>
      </c>
      <c r="V51" s="333" t="str">
        <f t="shared" si="0"/>
        <v>Winter</v>
      </c>
      <c r="AA51" s="353">
        <f t="shared" si="4"/>
        <v>2.18E-2</v>
      </c>
      <c r="AB51" s="354">
        <f t="shared" si="8"/>
        <v>0</v>
      </c>
    </row>
    <row r="52" spans="2:28" ht="17.45" hidden="1" customHeight="1" outlineLevel="1">
      <c r="B52" s="203">
        <f t="shared" si="5"/>
        <v>47209</v>
      </c>
      <c r="C52" s="355">
        <v>142385.44753006683</v>
      </c>
      <c r="D52" s="356">
        <f>IF(ISNUMBER($F52),VLOOKUP($J52,'Table 1'!$B$13:$C$37,2,FALSE)/12*1000*Study_MW,"")</f>
        <v>0</v>
      </c>
      <c r="E52" s="356">
        <f t="shared" si="6"/>
        <v>142385.44753006683</v>
      </c>
      <c r="F52" s="355">
        <v>19287.657129270003</v>
      </c>
      <c r="G52" s="357">
        <f t="shared" si="2"/>
        <v>7.3822054475444636</v>
      </c>
      <c r="I52" s="358">
        <f t="shared" si="20"/>
        <v>56</v>
      </c>
      <c r="J52" s="352">
        <f t="shared" si="7"/>
        <v>2029</v>
      </c>
      <c r="K52" s="203">
        <f t="shared" si="21"/>
        <v>47209</v>
      </c>
      <c r="V52" s="333" t="str">
        <f t="shared" si="0"/>
        <v>Winter</v>
      </c>
      <c r="AA52" s="353">
        <f t="shared" si="4"/>
        <v>2.18E-2</v>
      </c>
      <c r="AB52" s="354">
        <f t="shared" si="8"/>
        <v>0</v>
      </c>
    </row>
    <row r="53" spans="2:28" ht="17.45" hidden="1" customHeight="1" outlineLevel="1">
      <c r="B53" s="203">
        <f t="shared" si="5"/>
        <v>47239</v>
      </c>
      <c r="C53" s="355">
        <v>252502.05324032868</v>
      </c>
      <c r="D53" s="356">
        <f>IF(ISNUMBER($F53),VLOOKUP($J53,'Table 1'!$B$13:$C$37,2,FALSE)/12*1000*Study_MW,"")</f>
        <v>0</v>
      </c>
      <c r="E53" s="356">
        <f t="shared" si="6"/>
        <v>252502.05324032868</v>
      </c>
      <c r="F53" s="355">
        <v>24110.483847339998</v>
      </c>
      <c r="G53" s="357">
        <f t="shared" si="2"/>
        <v>10.472707841082421</v>
      </c>
      <c r="I53" s="358">
        <f t="shared" si="20"/>
        <v>57</v>
      </c>
      <c r="J53" s="352">
        <f t="shared" si="7"/>
        <v>2029</v>
      </c>
      <c r="K53" s="203">
        <f t="shared" si="21"/>
        <v>47239</v>
      </c>
      <c r="V53" s="333" t="str">
        <f t="shared" si="0"/>
        <v>Summer</v>
      </c>
      <c r="AA53" s="353">
        <f t="shared" si="4"/>
        <v>2.18E-2</v>
      </c>
      <c r="AB53" s="354">
        <f t="shared" si="8"/>
        <v>0</v>
      </c>
    </row>
    <row r="54" spans="2:28" ht="17.45" hidden="1" customHeight="1" outlineLevel="1">
      <c r="B54" s="203">
        <f t="shared" si="5"/>
        <v>47270</v>
      </c>
      <c r="C54" s="355">
        <v>713343.67271594238</v>
      </c>
      <c r="D54" s="356">
        <f>IF(ISNUMBER($F54),VLOOKUP($J54,'Table 1'!$B$13:$C$37,2,FALSE)/12*1000*Study_MW,"")</f>
        <v>0</v>
      </c>
      <c r="E54" s="356">
        <f t="shared" si="6"/>
        <v>713343.67271594238</v>
      </c>
      <c r="F54" s="355">
        <v>27558.031875450004</v>
      </c>
      <c r="G54" s="357">
        <f t="shared" si="2"/>
        <v>25.88514578762145</v>
      </c>
      <c r="I54" s="358">
        <f t="shared" si="20"/>
        <v>58</v>
      </c>
      <c r="J54" s="352">
        <f t="shared" si="7"/>
        <v>2029</v>
      </c>
      <c r="K54" s="203">
        <f t="shared" si="21"/>
        <v>47270</v>
      </c>
      <c r="V54" s="333" t="str">
        <f t="shared" si="0"/>
        <v>Summer</v>
      </c>
      <c r="AA54" s="353">
        <f t="shared" si="4"/>
        <v>2.18E-2</v>
      </c>
      <c r="AB54" s="354">
        <f t="shared" si="8"/>
        <v>0</v>
      </c>
    </row>
    <row r="55" spans="2:28" ht="17.45" hidden="1" customHeight="1" outlineLevel="1">
      <c r="B55" s="203">
        <f t="shared" si="5"/>
        <v>47300</v>
      </c>
      <c r="C55" s="355">
        <v>1033288.9637159242</v>
      </c>
      <c r="D55" s="356">
        <f>IF(ISNUMBER($F55),VLOOKUP($J55,'Table 1'!$B$13:$C$37,2,FALSE)/12*1000*Study_MW,"")</f>
        <v>0</v>
      </c>
      <c r="E55" s="356">
        <f t="shared" si="6"/>
        <v>1033288.9637159242</v>
      </c>
      <c r="F55" s="355">
        <v>25553.044822280008</v>
      </c>
      <c r="G55" s="357">
        <f t="shared" si="2"/>
        <v>40.437019185086982</v>
      </c>
      <c r="I55" s="358">
        <f t="shared" si="20"/>
        <v>59</v>
      </c>
      <c r="J55" s="352">
        <f t="shared" si="7"/>
        <v>2029</v>
      </c>
      <c r="K55" s="203">
        <f t="shared" si="21"/>
        <v>47300</v>
      </c>
      <c r="V55" s="333" t="str">
        <f t="shared" si="0"/>
        <v>Summer</v>
      </c>
      <c r="AA55" s="353">
        <f t="shared" si="4"/>
        <v>2.18E-2</v>
      </c>
      <c r="AB55" s="354">
        <f t="shared" si="8"/>
        <v>0</v>
      </c>
    </row>
    <row r="56" spans="2:28" ht="17.45" hidden="1" customHeight="1" outlineLevel="1">
      <c r="B56" s="203">
        <f t="shared" si="5"/>
        <v>47331</v>
      </c>
      <c r="C56" s="355">
        <v>888450.76491984946</v>
      </c>
      <c r="D56" s="356">
        <f>IF(ISNUMBER($F56),VLOOKUP($J56,'Table 1'!$B$13:$C$37,2,FALSE)/12*1000*Study_MW,"")</f>
        <v>0</v>
      </c>
      <c r="E56" s="356">
        <f t="shared" si="6"/>
        <v>888450.76491984946</v>
      </c>
      <c r="F56" s="355">
        <v>23314.525084180004</v>
      </c>
      <c r="G56" s="357">
        <f t="shared" si="2"/>
        <v>38.107178323898388</v>
      </c>
      <c r="I56" s="358">
        <f t="shared" si="20"/>
        <v>60</v>
      </c>
      <c r="J56" s="352">
        <f t="shared" si="7"/>
        <v>2029</v>
      </c>
      <c r="K56" s="203">
        <f t="shared" si="21"/>
        <v>47331</v>
      </c>
      <c r="V56" s="333" t="str">
        <f t="shared" si="0"/>
        <v>Summer</v>
      </c>
      <c r="AA56" s="353">
        <f t="shared" si="4"/>
        <v>2.18E-2</v>
      </c>
      <c r="AB56" s="354">
        <f t="shared" si="8"/>
        <v>0</v>
      </c>
    </row>
    <row r="57" spans="2:28" ht="17.45" hidden="1" customHeight="1" outlineLevel="1">
      <c r="B57" s="203">
        <f t="shared" si="5"/>
        <v>47362</v>
      </c>
      <c r="C57" s="355">
        <v>500873.04775402299</v>
      </c>
      <c r="D57" s="356">
        <f>IF(ISNUMBER($F57),VLOOKUP($J57,'Table 1'!$B$13:$C$37,2,FALSE)/12*1000*Study_MW,"")</f>
        <v>0</v>
      </c>
      <c r="E57" s="356">
        <f t="shared" si="6"/>
        <v>500873.04775402299</v>
      </c>
      <c r="F57" s="355">
        <v>18849.923135240006</v>
      </c>
      <c r="G57" s="357">
        <f t="shared" si="2"/>
        <v>26.571622820977918</v>
      </c>
      <c r="I57" s="358">
        <f t="shared" si="20"/>
        <v>61</v>
      </c>
      <c r="J57" s="352">
        <f t="shared" si="7"/>
        <v>2029</v>
      </c>
      <c r="K57" s="203">
        <f t="shared" si="21"/>
        <v>47362</v>
      </c>
      <c r="V57" s="333" t="str">
        <f t="shared" si="0"/>
        <v>Winter</v>
      </c>
      <c r="AA57" s="353">
        <f t="shared" si="4"/>
        <v>2.18E-2</v>
      </c>
      <c r="AB57" s="354">
        <f t="shared" si="8"/>
        <v>0</v>
      </c>
    </row>
    <row r="58" spans="2:28" ht="17.45" hidden="1" customHeight="1" outlineLevel="1">
      <c r="B58" s="203">
        <f t="shared" si="5"/>
        <v>47392</v>
      </c>
      <c r="C58" s="355">
        <v>318730.01603446028</v>
      </c>
      <c r="D58" s="356">
        <f>IF(ISNUMBER($F58),VLOOKUP($J58,'Table 1'!$B$13:$C$37,2,FALSE)/12*1000*Study_MW,"")</f>
        <v>0</v>
      </c>
      <c r="E58" s="356">
        <f t="shared" si="6"/>
        <v>318730.01603446028</v>
      </c>
      <c r="F58" s="355">
        <v>14706.939066160003</v>
      </c>
      <c r="G58" s="357">
        <f t="shared" si="2"/>
        <v>21.672083810277254</v>
      </c>
      <c r="I58" s="358">
        <f t="shared" si="20"/>
        <v>62</v>
      </c>
      <c r="J58" s="352">
        <f t="shared" si="7"/>
        <v>2029</v>
      </c>
      <c r="K58" s="203">
        <f t="shared" si="21"/>
        <v>47392</v>
      </c>
      <c r="V58" s="333" t="str">
        <f t="shared" si="0"/>
        <v>Winter</v>
      </c>
      <c r="AA58" s="353">
        <f t="shared" si="4"/>
        <v>2.18E-2</v>
      </c>
      <c r="AB58" s="354">
        <f t="shared" si="8"/>
        <v>0</v>
      </c>
    </row>
    <row r="59" spans="2:28" ht="17.45" hidden="1" customHeight="1" outlineLevel="1">
      <c r="B59" s="203">
        <f t="shared" si="5"/>
        <v>47423</v>
      </c>
      <c r="C59" s="355">
        <v>291162.51869978441</v>
      </c>
      <c r="D59" s="356">
        <f>IF(ISNUMBER($F59),VLOOKUP($J59,'Table 1'!$B$13:$C$37,2,FALSE)/12*1000*Study_MW,"")</f>
        <v>0</v>
      </c>
      <c r="E59" s="356">
        <f t="shared" si="6"/>
        <v>291162.51869978441</v>
      </c>
      <c r="F59" s="355">
        <v>10655.801154509998</v>
      </c>
      <c r="G59" s="357">
        <f t="shared" si="2"/>
        <v>27.324319821466617</v>
      </c>
      <c r="I59" s="358">
        <f t="shared" si="20"/>
        <v>63</v>
      </c>
      <c r="J59" s="352">
        <f t="shared" si="7"/>
        <v>2029</v>
      </c>
      <c r="K59" s="203">
        <f t="shared" si="21"/>
        <v>47423</v>
      </c>
      <c r="V59" s="333" t="str">
        <f t="shared" si="0"/>
        <v>Winter</v>
      </c>
      <c r="AA59" s="353">
        <f t="shared" si="4"/>
        <v>2.18E-2</v>
      </c>
      <c r="AB59" s="354">
        <f t="shared" si="8"/>
        <v>0</v>
      </c>
    </row>
    <row r="60" spans="2:28" ht="17.45" hidden="1" customHeight="1" outlineLevel="1">
      <c r="B60" s="204">
        <f t="shared" si="5"/>
        <v>47453</v>
      </c>
      <c r="C60" s="362">
        <v>268223.70432061434</v>
      </c>
      <c r="D60" s="363">
        <f>IF(ISNUMBER($F60),VLOOKUP($J60,'Table 1'!$B$13:$C$37,2,FALSE)/12*1000*Study_MW,"")</f>
        <v>0</v>
      </c>
      <c r="E60" s="363">
        <f t="shared" si="6"/>
        <v>268223.70432061434</v>
      </c>
      <c r="F60" s="362">
        <v>7395.2506856093341</v>
      </c>
      <c r="G60" s="364">
        <f t="shared" si="2"/>
        <v>36.269724411446909</v>
      </c>
      <c r="I60" s="365">
        <f t="shared" si="20"/>
        <v>64</v>
      </c>
      <c r="J60" s="352">
        <f t="shared" si="7"/>
        <v>2029</v>
      </c>
      <c r="K60" s="204">
        <f t="shared" si="21"/>
        <v>47453</v>
      </c>
      <c r="V60" s="333" t="str">
        <f t="shared" si="0"/>
        <v>Winter</v>
      </c>
      <c r="AA60" s="353">
        <f t="shared" si="4"/>
        <v>2.18E-2</v>
      </c>
      <c r="AB60" s="354">
        <f t="shared" si="8"/>
        <v>0</v>
      </c>
    </row>
    <row r="61" spans="2:28" ht="17.45" hidden="1" customHeight="1" outlineLevel="1">
      <c r="B61" s="202">
        <f t="shared" si="5"/>
        <v>47484</v>
      </c>
      <c r="C61" s="346">
        <v>315895.81796606944</v>
      </c>
      <c r="D61" s="347">
        <f>IF(ISNUMBER($F61),VLOOKUP($J61,'Table 1'!$B$13:$C$37,2,FALSE)/12*1000*Study_MW,"")</f>
        <v>0</v>
      </c>
      <c r="E61" s="348">
        <f t="shared" si="6"/>
        <v>315895.81796606944</v>
      </c>
      <c r="F61" s="349">
        <v>7951.6150767399995</v>
      </c>
      <c r="G61" s="350">
        <f t="shared" si="2"/>
        <v>39.727252252202874</v>
      </c>
      <c r="I61" s="366">
        <f>I49+13</f>
        <v>66</v>
      </c>
      <c r="J61" s="352">
        <f t="shared" si="7"/>
        <v>2030</v>
      </c>
      <c r="K61" s="202">
        <f t="shared" si="21"/>
        <v>47484</v>
      </c>
      <c r="V61" s="333" t="str">
        <f t="shared" si="0"/>
        <v>Winter</v>
      </c>
      <c r="AA61" s="353">
        <f t="shared" si="4"/>
        <v>2.18E-2</v>
      </c>
      <c r="AB61" s="354">
        <f t="shared" si="8"/>
        <v>0</v>
      </c>
    </row>
    <row r="62" spans="2:28" ht="17.45" hidden="1" customHeight="1" outlineLevel="1">
      <c r="B62" s="203">
        <f t="shared" si="5"/>
        <v>47515</v>
      </c>
      <c r="C62" s="355">
        <v>294476.74166706565</v>
      </c>
      <c r="D62" s="356">
        <f>IF(ISNUMBER($F62),VLOOKUP($J62,'Table 1'!$B$13:$C$37,2,FALSE)/12*1000*Study_MW,"")</f>
        <v>0</v>
      </c>
      <c r="E62" s="356">
        <f t="shared" si="6"/>
        <v>294476.74166706565</v>
      </c>
      <c r="F62" s="355">
        <v>12914.511412739999</v>
      </c>
      <c r="G62" s="357">
        <f t="shared" si="2"/>
        <v>22.802004060065961</v>
      </c>
      <c r="I62" s="358">
        <f t="shared" si="20"/>
        <v>67</v>
      </c>
      <c r="J62" s="352">
        <f t="shared" si="7"/>
        <v>2030</v>
      </c>
      <c r="K62" s="203">
        <f t="shared" si="21"/>
        <v>47515</v>
      </c>
      <c r="V62" s="333" t="str">
        <f t="shared" si="0"/>
        <v>Winter</v>
      </c>
      <c r="AA62" s="353">
        <f t="shared" si="4"/>
        <v>2.18E-2</v>
      </c>
      <c r="AB62" s="354">
        <f t="shared" si="8"/>
        <v>0</v>
      </c>
    </row>
    <row r="63" spans="2:28" ht="17.45" hidden="1" customHeight="1" outlineLevel="1">
      <c r="B63" s="203">
        <f t="shared" si="5"/>
        <v>47543</v>
      </c>
      <c r="C63" s="355">
        <v>75534.754412408802</v>
      </c>
      <c r="D63" s="356">
        <f>IF(ISNUMBER($F63),VLOOKUP($J63,'Table 1'!$B$13:$C$37,2,FALSE)/12*1000*Study_MW,"")</f>
        <v>0</v>
      </c>
      <c r="E63" s="356">
        <f t="shared" si="6"/>
        <v>75534.754412408802</v>
      </c>
      <c r="F63" s="355">
        <v>16217.758536609999</v>
      </c>
      <c r="G63" s="357">
        <f t="shared" si="2"/>
        <v>4.6575335452119662</v>
      </c>
      <c r="I63" s="358">
        <f t="shared" si="20"/>
        <v>68</v>
      </c>
      <c r="J63" s="352">
        <f t="shared" si="7"/>
        <v>2030</v>
      </c>
      <c r="K63" s="203">
        <f t="shared" si="21"/>
        <v>47543</v>
      </c>
      <c r="V63" s="333" t="str">
        <f t="shared" si="0"/>
        <v>Winter</v>
      </c>
      <c r="AA63" s="353">
        <f t="shared" si="4"/>
        <v>2.18E-2</v>
      </c>
      <c r="AB63" s="354">
        <f t="shared" si="8"/>
        <v>0</v>
      </c>
    </row>
    <row r="64" spans="2:28" ht="17.45" hidden="1" customHeight="1" outlineLevel="1">
      <c r="B64" s="203">
        <f t="shared" si="5"/>
        <v>47574</v>
      </c>
      <c r="C64" s="355">
        <v>24861.427109164651</v>
      </c>
      <c r="D64" s="356">
        <f>IF(ISNUMBER($F64),VLOOKUP($J64,'Table 1'!$B$13:$C$37,2,FALSE)/12*1000*Study_MW,"")</f>
        <v>0</v>
      </c>
      <c r="E64" s="356">
        <f t="shared" si="6"/>
        <v>24861.427109164651</v>
      </c>
      <c r="F64" s="355">
        <v>19486.910512819992</v>
      </c>
      <c r="G64" s="357">
        <f t="shared" si="2"/>
        <v>1.2758013689655365</v>
      </c>
      <c r="I64" s="358">
        <f t="shared" si="20"/>
        <v>69</v>
      </c>
      <c r="J64" s="352">
        <f t="shared" si="7"/>
        <v>2030</v>
      </c>
      <c r="K64" s="203">
        <f t="shared" si="21"/>
        <v>47574</v>
      </c>
      <c r="V64" s="333" t="str">
        <f t="shared" si="0"/>
        <v>Winter</v>
      </c>
      <c r="AA64" s="353">
        <f t="shared" si="4"/>
        <v>2.18E-2</v>
      </c>
      <c r="AB64" s="354">
        <f t="shared" si="8"/>
        <v>0</v>
      </c>
    </row>
    <row r="65" spans="2:28" ht="17.45" hidden="1" customHeight="1" outlineLevel="1">
      <c r="B65" s="203">
        <f t="shared" si="5"/>
        <v>47604</v>
      </c>
      <c r="C65" s="355">
        <v>145262.93462948524</v>
      </c>
      <c r="D65" s="356">
        <f>IF(ISNUMBER($F65),VLOOKUP($J65,'Table 1'!$B$13:$C$37,2,FALSE)/12*1000*Study_MW,"")</f>
        <v>0</v>
      </c>
      <c r="E65" s="356">
        <f t="shared" si="6"/>
        <v>145262.93462948524</v>
      </c>
      <c r="F65" s="355">
        <v>24057.69410633</v>
      </c>
      <c r="G65" s="357">
        <f t="shared" si="2"/>
        <v>6.0381071430808504</v>
      </c>
      <c r="I65" s="358">
        <f t="shared" si="20"/>
        <v>70</v>
      </c>
      <c r="J65" s="352">
        <f t="shared" si="7"/>
        <v>2030</v>
      </c>
      <c r="K65" s="203">
        <f t="shared" si="21"/>
        <v>47604</v>
      </c>
      <c r="V65" s="333" t="str">
        <f t="shared" si="0"/>
        <v>Summer</v>
      </c>
      <c r="AA65" s="353">
        <f t="shared" si="4"/>
        <v>2.18E-2</v>
      </c>
      <c r="AB65" s="354">
        <f t="shared" si="8"/>
        <v>0</v>
      </c>
    </row>
    <row r="66" spans="2:28" ht="17.45" hidden="1" customHeight="1" outlineLevel="1">
      <c r="B66" s="203">
        <f t="shared" si="5"/>
        <v>47635</v>
      </c>
      <c r="C66" s="355">
        <v>671719.34281263384</v>
      </c>
      <c r="D66" s="356">
        <f>IF(ISNUMBER($F66),VLOOKUP($J66,'Table 1'!$B$13:$C$37,2,FALSE)/12*1000*Study_MW,"")</f>
        <v>0</v>
      </c>
      <c r="E66" s="356">
        <f t="shared" si="6"/>
        <v>671719.34281263384</v>
      </c>
      <c r="F66" s="355">
        <v>26899.499190419996</v>
      </c>
      <c r="G66" s="357">
        <f t="shared" si="2"/>
        <v>24.971444191491134</v>
      </c>
      <c r="I66" s="358">
        <f t="shared" si="20"/>
        <v>71</v>
      </c>
      <c r="J66" s="352">
        <f t="shared" si="7"/>
        <v>2030</v>
      </c>
      <c r="K66" s="203">
        <f t="shared" si="21"/>
        <v>47635</v>
      </c>
      <c r="V66" s="333" t="str">
        <f t="shared" si="0"/>
        <v>Summer</v>
      </c>
      <c r="AA66" s="353">
        <f t="shared" si="4"/>
        <v>2.18E-2</v>
      </c>
      <c r="AB66" s="354">
        <f t="shared" si="8"/>
        <v>0</v>
      </c>
    </row>
    <row r="67" spans="2:28" ht="17.45" hidden="1" customHeight="1" outlineLevel="1">
      <c r="B67" s="203">
        <f t="shared" si="5"/>
        <v>47665</v>
      </c>
      <c r="C67" s="355">
        <v>973689.8106053886</v>
      </c>
      <c r="D67" s="356">
        <f>IF(ISNUMBER($F67),VLOOKUP($J67,'Table 1'!$B$13:$C$37,2,FALSE)/12*1000*Study_MW,"")</f>
        <v>0</v>
      </c>
      <c r="E67" s="356">
        <f t="shared" si="6"/>
        <v>973689.8106053886</v>
      </c>
      <c r="F67" s="355">
        <v>25710.33417075</v>
      </c>
      <c r="G67" s="357">
        <f t="shared" si="2"/>
        <v>37.871534618679945</v>
      </c>
      <c r="I67" s="358">
        <f t="shared" si="20"/>
        <v>72</v>
      </c>
      <c r="J67" s="352">
        <f t="shared" si="7"/>
        <v>2030</v>
      </c>
      <c r="K67" s="203">
        <f t="shared" si="21"/>
        <v>47665</v>
      </c>
      <c r="V67" s="333" t="str">
        <f t="shared" si="0"/>
        <v>Summer</v>
      </c>
      <c r="AA67" s="353">
        <f t="shared" si="4"/>
        <v>2.18E-2</v>
      </c>
      <c r="AB67" s="354">
        <f t="shared" si="8"/>
        <v>0</v>
      </c>
    </row>
    <row r="68" spans="2:28" ht="17.45" hidden="1" customHeight="1" outlineLevel="1">
      <c r="B68" s="203">
        <f t="shared" si="5"/>
        <v>47696</v>
      </c>
      <c r="C68" s="355">
        <v>909292.30230281793</v>
      </c>
      <c r="D68" s="356">
        <f>IF(ISNUMBER($F68),VLOOKUP($J68,'Table 1'!$B$13:$C$37,2,FALSE)/12*1000*Study_MW,"")</f>
        <v>0</v>
      </c>
      <c r="E68" s="356">
        <f t="shared" si="6"/>
        <v>909292.30230281793</v>
      </c>
      <c r="F68" s="355">
        <v>23285.377905470003</v>
      </c>
      <c r="G68" s="357">
        <f t="shared" si="2"/>
        <v>39.049926782129432</v>
      </c>
      <c r="I68" s="358">
        <f t="shared" si="20"/>
        <v>73</v>
      </c>
      <c r="J68" s="352">
        <f t="shared" si="7"/>
        <v>2030</v>
      </c>
      <c r="K68" s="203">
        <f t="shared" si="21"/>
        <v>47696</v>
      </c>
      <c r="V68" s="333" t="str">
        <f t="shared" si="0"/>
        <v>Summer</v>
      </c>
      <c r="AA68" s="353">
        <f t="shared" si="4"/>
        <v>2.18E-2</v>
      </c>
      <c r="AB68" s="354">
        <f t="shared" si="8"/>
        <v>0</v>
      </c>
    </row>
    <row r="69" spans="2:28" ht="17.45" hidden="1" customHeight="1" outlineLevel="1">
      <c r="B69" s="203">
        <f t="shared" si="5"/>
        <v>47727</v>
      </c>
      <c r="C69" s="355">
        <v>603486.27121218853</v>
      </c>
      <c r="D69" s="356">
        <f>IF(ISNUMBER($F69),VLOOKUP($J69,'Table 1'!$B$13:$C$37,2,FALSE)/12*1000*Study_MW,"")</f>
        <v>0</v>
      </c>
      <c r="E69" s="356">
        <f t="shared" si="6"/>
        <v>603486.27121218853</v>
      </c>
      <c r="F69" s="355">
        <v>18641.611372980005</v>
      </c>
      <c r="G69" s="357">
        <f t="shared" si="2"/>
        <v>32.373074362386333</v>
      </c>
      <c r="I69" s="358">
        <f t="shared" si="20"/>
        <v>74</v>
      </c>
      <c r="J69" s="352">
        <f t="shared" si="7"/>
        <v>2030</v>
      </c>
      <c r="K69" s="203">
        <f t="shared" si="21"/>
        <v>47727</v>
      </c>
      <c r="V69" s="333" t="str">
        <f t="shared" si="0"/>
        <v>Winter</v>
      </c>
      <c r="AA69" s="353">
        <f t="shared" si="4"/>
        <v>2.18E-2</v>
      </c>
      <c r="AB69" s="354">
        <f t="shared" si="8"/>
        <v>0</v>
      </c>
    </row>
    <row r="70" spans="2:28" ht="17.45" hidden="1" customHeight="1" outlineLevel="1">
      <c r="B70" s="203">
        <f t="shared" si="5"/>
        <v>47757</v>
      </c>
      <c r="C70" s="355">
        <v>314326.54866854136</v>
      </c>
      <c r="D70" s="356">
        <f>IF(ISNUMBER($F70),VLOOKUP($J70,'Table 1'!$B$13:$C$37,2,FALSE)/12*1000*Study_MW,"")</f>
        <v>0</v>
      </c>
      <c r="E70" s="356">
        <f t="shared" si="6"/>
        <v>314326.54866854136</v>
      </c>
      <c r="F70" s="355">
        <v>14441.730791129998</v>
      </c>
      <c r="G70" s="357">
        <f t="shared" si="2"/>
        <v>21.765157737298246</v>
      </c>
      <c r="I70" s="358">
        <f t="shared" si="20"/>
        <v>75</v>
      </c>
      <c r="J70" s="352">
        <f t="shared" si="7"/>
        <v>2030</v>
      </c>
      <c r="K70" s="203">
        <f t="shared" si="21"/>
        <v>47757</v>
      </c>
      <c r="V70" s="333" t="str">
        <f t="shared" si="0"/>
        <v>Winter</v>
      </c>
      <c r="AA70" s="353">
        <f t="shared" si="4"/>
        <v>2.18E-2</v>
      </c>
      <c r="AB70" s="354">
        <f t="shared" si="8"/>
        <v>0</v>
      </c>
    </row>
    <row r="71" spans="2:28" ht="17.45" hidden="1" customHeight="1" outlineLevel="1">
      <c r="B71" s="203">
        <f t="shared" si="5"/>
        <v>47788</v>
      </c>
      <c r="C71" s="355">
        <v>342146.42729720072</v>
      </c>
      <c r="D71" s="356">
        <f>IF(ISNUMBER($F71),VLOOKUP($J71,'Table 1'!$B$13:$C$37,2,FALSE)/12*1000*Study_MW,"")</f>
        <v>0</v>
      </c>
      <c r="E71" s="356">
        <f t="shared" si="6"/>
        <v>342146.42729720072</v>
      </c>
      <c r="F71" s="355">
        <v>10304.05350296</v>
      </c>
      <c r="G71" s="357">
        <f t="shared" si="2"/>
        <v>33.20503209721435</v>
      </c>
      <c r="I71" s="358">
        <f t="shared" si="20"/>
        <v>76</v>
      </c>
      <c r="J71" s="352">
        <f t="shared" si="7"/>
        <v>2030</v>
      </c>
      <c r="K71" s="203">
        <f t="shared" si="21"/>
        <v>47788</v>
      </c>
      <c r="V71" s="333" t="str">
        <f t="shared" si="0"/>
        <v>Winter</v>
      </c>
      <c r="AA71" s="353">
        <f t="shared" si="4"/>
        <v>2.18E-2</v>
      </c>
      <c r="AB71" s="354">
        <f t="shared" si="8"/>
        <v>0</v>
      </c>
    </row>
    <row r="72" spans="2:28" ht="17.45" hidden="1" customHeight="1" outlineLevel="1">
      <c r="B72" s="204">
        <f t="shared" si="5"/>
        <v>47818</v>
      </c>
      <c r="C72" s="362">
        <v>346622.6246989069</v>
      </c>
      <c r="D72" s="363">
        <f>IF(ISNUMBER($F72),VLOOKUP($J72,'Table 1'!$B$13:$C$37,2,FALSE)/12*1000*Study_MW,"")</f>
        <v>0</v>
      </c>
      <c r="E72" s="363">
        <f t="shared" si="6"/>
        <v>346622.6246989069</v>
      </c>
      <c r="F72" s="362">
        <v>7490.1775416146693</v>
      </c>
      <c r="G72" s="364">
        <f t="shared" si="2"/>
        <v>46.276957091218016</v>
      </c>
      <c r="I72" s="365">
        <f t="shared" si="20"/>
        <v>77</v>
      </c>
      <c r="J72" s="352">
        <f t="shared" si="7"/>
        <v>2030</v>
      </c>
      <c r="K72" s="204">
        <f t="shared" si="21"/>
        <v>47818</v>
      </c>
      <c r="V72" s="333" t="str">
        <f t="shared" si="0"/>
        <v>Winter</v>
      </c>
      <c r="AA72" s="353">
        <f t="shared" si="4"/>
        <v>2.18E-2</v>
      </c>
      <c r="AB72" s="354">
        <f t="shared" si="8"/>
        <v>0</v>
      </c>
    </row>
    <row r="73" spans="2:28" ht="17.45" hidden="1" customHeight="1" outlineLevel="1">
      <c r="B73" s="202">
        <f t="shared" si="5"/>
        <v>47849</v>
      </c>
      <c r="C73" s="346">
        <v>250999.76239049647</v>
      </c>
      <c r="D73" s="347">
        <f>IF(ISNUMBER($F73),VLOOKUP($J73,'Table 1'!$B$13:$C$37,2,FALSE)/12*1000*Study_MW,"")</f>
        <v>0</v>
      </c>
      <c r="E73" s="348">
        <f t="shared" si="6"/>
        <v>250999.76239049647</v>
      </c>
      <c r="F73" s="349">
        <v>7874.0219573000004</v>
      </c>
      <c r="G73" s="350">
        <f t="shared" si="2"/>
        <v>31.876944686164453</v>
      </c>
      <c r="I73" s="366">
        <f>I61+13</f>
        <v>79</v>
      </c>
      <c r="J73" s="352">
        <f t="shared" si="7"/>
        <v>2031</v>
      </c>
      <c r="K73" s="202">
        <f t="shared" si="21"/>
        <v>47849</v>
      </c>
      <c r="V73" s="333" t="str">
        <f t="shared" si="0"/>
        <v>Winter</v>
      </c>
      <c r="AA73" s="353">
        <f t="shared" si="4"/>
        <v>2.18E-2</v>
      </c>
      <c r="AB73" s="354">
        <f t="shared" si="8"/>
        <v>0</v>
      </c>
    </row>
    <row r="74" spans="2:28" ht="17.45" hidden="1" customHeight="1" outlineLevel="1">
      <c r="B74" s="203">
        <f t="shared" si="5"/>
        <v>47880</v>
      </c>
      <c r="C74" s="355">
        <v>249299.84354528278</v>
      </c>
      <c r="D74" s="356">
        <f>IF(ISNUMBER($F74),VLOOKUP($J74,'Table 1'!$B$13:$C$37,2,FALSE)/12*1000*Study_MW,"")</f>
        <v>0</v>
      </c>
      <c r="E74" s="356">
        <f t="shared" si="6"/>
        <v>249299.84354528278</v>
      </c>
      <c r="F74" s="355">
        <v>12306.088372169999</v>
      </c>
      <c r="G74" s="357">
        <f t="shared" si="2"/>
        <v>20.258252338661077</v>
      </c>
      <c r="I74" s="358">
        <f t="shared" si="20"/>
        <v>80</v>
      </c>
      <c r="J74" s="352">
        <f t="shared" si="7"/>
        <v>2031</v>
      </c>
      <c r="K74" s="203">
        <f t="shared" si="21"/>
        <v>47880</v>
      </c>
      <c r="V74" s="333" t="str">
        <f t="shared" si="0"/>
        <v>Winter</v>
      </c>
      <c r="AA74" s="353">
        <f t="shared" si="4"/>
        <v>2.18E-2</v>
      </c>
      <c r="AB74" s="354">
        <f t="shared" si="8"/>
        <v>0</v>
      </c>
    </row>
    <row r="75" spans="2:28" ht="17.45" hidden="1" customHeight="1" outlineLevel="1">
      <c r="B75" s="203">
        <f t="shared" si="5"/>
        <v>47908</v>
      </c>
      <c r="C75" s="355">
        <v>52042.514447923168</v>
      </c>
      <c r="D75" s="356">
        <f>IF(ISNUMBER($F75),VLOOKUP($J75,'Table 1'!$B$13:$C$37,2,FALSE)/12*1000*Study_MW,"")</f>
        <v>0</v>
      </c>
      <c r="E75" s="356">
        <f t="shared" si="6"/>
        <v>52042.514447923168</v>
      </c>
      <c r="F75" s="355">
        <v>14703.637009960001</v>
      </c>
      <c r="G75" s="357">
        <f t="shared" si="2"/>
        <v>3.5394313946046427</v>
      </c>
      <c r="I75" s="358">
        <f t="shared" si="20"/>
        <v>81</v>
      </c>
      <c r="J75" s="352">
        <f t="shared" si="7"/>
        <v>2031</v>
      </c>
      <c r="K75" s="203">
        <f t="shared" si="21"/>
        <v>47908</v>
      </c>
      <c r="V75" s="333" t="str">
        <f t="shared" si="0"/>
        <v>Winter</v>
      </c>
      <c r="AA75" s="353">
        <f t="shared" si="4"/>
        <v>2.18E-2</v>
      </c>
      <c r="AB75" s="354">
        <f t="shared" si="8"/>
        <v>0</v>
      </c>
    </row>
    <row r="76" spans="2:28" ht="17.45" hidden="1" customHeight="1" outlineLevel="1">
      <c r="B76" s="203">
        <f t="shared" si="5"/>
        <v>47939</v>
      </c>
      <c r="C76" s="355">
        <v>152736.8936236453</v>
      </c>
      <c r="D76" s="356">
        <f>IF(ISNUMBER($F76),VLOOKUP($J76,'Table 1'!$B$13:$C$37,2,FALSE)/12*1000*Study_MW,"")</f>
        <v>0</v>
      </c>
      <c r="E76" s="356">
        <f t="shared" si="6"/>
        <v>152736.8936236453</v>
      </c>
      <c r="F76" s="355">
        <v>19117.644716080002</v>
      </c>
      <c r="G76" s="357">
        <f t="shared" si="2"/>
        <v>7.9893154147371037</v>
      </c>
      <c r="I76" s="358">
        <f t="shared" si="20"/>
        <v>82</v>
      </c>
      <c r="J76" s="352">
        <f t="shared" si="7"/>
        <v>2031</v>
      </c>
      <c r="K76" s="203">
        <f t="shared" si="21"/>
        <v>47939</v>
      </c>
      <c r="V76" s="333" t="str">
        <f t="shared" ref="V76:V139" si="25">IFERROR(IF(AND(MONTH(K77)&gt;=6,MONTH(K77)&lt;=9),"Summer","Winter"),"-")</f>
        <v>Winter</v>
      </c>
      <c r="AA76" s="353">
        <f t="shared" si="4"/>
        <v>2.18E-2</v>
      </c>
      <c r="AB76" s="354">
        <f t="shared" si="8"/>
        <v>0</v>
      </c>
    </row>
    <row r="77" spans="2:28" ht="17.45" hidden="1" customHeight="1" outlineLevel="1">
      <c r="B77" s="203">
        <f t="shared" si="5"/>
        <v>47969</v>
      </c>
      <c r="C77" s="355">
        <v>201703.46265216358</v>
      </c>
      <c r="D77" s="356">
        <f>IF(ISNUMBER($F77),VLOOKUP($J77,'Table 1'!$B$13:$C$37,2,FALSE)/12*1000*Study_MW,"")</f>
        <v>0</v>
      </c>
      <c r="E77" s="356">
        <f t="shared" si="6"/>
        <v>201703.46265216358</v>
      </c>
      <c r="F77" s="355">
        <v>22426.485018350002</v>
      </c>
      <c r="G77" s="357">
        <f t="shared" ref="G77:G140" si="26">IF(ISNUMBER($F77),E77/$F77,"")</f>
        <v>8.993984678701274</v>
      </c>
      <c r="I77" s="358">
        <f t="shared" si="20"/>
        <v>83</v>
      </c>
      <c r="J77" s="352">
        <f t="shared" si="7"/>
        <v>2031</v>
      </c>
      <c r="K77" s="203">
        <f t="shared" si="21"/>
        <v>47969</v>
      </c>
      <c r="V77" s="333" t="str">
        <f t="shared" si="25"/>
        <v>Summer</v>
      </c>
      <c r="AA77" s="353">
        <f t="shared" ref="AA77:AA140" si="27">Inflation</f>
        <v>2.18E-2</v>
      </c>
      <c r="AB77" s="354">
        <f t="shared" si="8"/>
        <v>0</v>
      </c>
    </row>
    <row r="78" spans="2:28" ht="17.45" hidden="1" customHeight="1" outlineLevel="1">
      <c r="B78" s="203">
        <f t="shared" ref="B78:B141" si="28">EDATE(B77,1)</f>
        <v>48000</v>
      </c>
      <c r="C78" s="355">
        <v>572167.03671911091</v>
      </c>
      <c r="D78" s="356">
        <f>IF(ISNUMBER($F78),VLOOKUP($J78,'Table 1'!$B$13:$C$37,2,FALSE)/12*1000*Study_MW,"")</f>
        <v>0</v>
      </c>
      <c r="E78" s="356">
        <f t="shared" ref="E78:E141" si="29">IF(ISNUMBER(C78+D78),C78+D78,"")</f>
        <v>572167.03671911091</v>
      </c>
      <c r="F78" s="355">
        <v>27172.500270800003</v>
      </c>
      <c r="G78" s="357">
        <f t="shared" si="26"/>
        <v>21.056841697190841</v>
      </c>
      <c r="I78" s="358">
        <f t="shared" si="20"/>
        <v>84</v>
      </c>
      <c r="J78" s="352">
        <f t="shared" ref="J78:J141" si="30">YEAR(B78)</f>
        <v>2031</v>
      </c>
      <c r="K78" s="203">
        <f t="shared" si="21"/>
        <v>48000</v>
      </c>
      <c r="V78" s="333" t="str">
        <f t="shared" si="25"/>
        <v>Summer</v>
      </c>
      <c r="AA78" s="353">
        <f t="shared" si="27"/>
        <v>2.18E-2</v>
      </c>
      <c r="AB78" s="354">
        <f t="shared" ref="AB78:AB141" si="31">IF($AB$8="Solar",IFERROR(IF(J78&gt;$AD$1,-0.005,0),AB66),0)</f>
        <v>0</v>
      </c>
    </row>
    <row r="79" spans="2:28" ht="17.45" hidden="1" customHeight="1" outlineLevel="1">
      <c r="B79" s="203">
        <f t="shared" si="28"/>
        <v>48030</v>
      </c>
      <c r="C79" s="355">
        <v>955042.31876752595</v>
      </c>
      <c r="D79" s="356">
        <f>IF(ISNUMBER($F79),VLOOKUP($J79,'Table 1'!$B$13:$C$37,2,FALSE)/12*1000*Study_MW,"")</f>
        <v>0</v>
      </c>
      <c r="E79" s="356">
        <f t="shared" si="29"/>
        <v>955042.31876752595</v>
      </c>
      <c r="F79" s="355">
        <v>26602.642152620007</v>
      </c>
      <c r="G79" s="357">
        <f t="shared" si="26"/>
        <v>35.900280629586526</v>
      </c>
      <c r="I79" s="358">
        <f t="shared" si="20"/>
        <v>85</v>
      </c>
      <c r="J79" s="352">
        <f t="shared" si="30"/>
        <v>2031</v>
      </c>
      <c r="K79" s="203">
        <f t="shared" si="21"/>
        <v>48030</v>
      </c>
      <c r="V79" s="333" t="str">
        <f t="shared" si="25"/>
        <v>Summer</v>
      </c>
      <c r="AA79" s="353">
        <f t="shared" si="27"/>
        <v>2.18E-2</v>
      </c>
      <c r="AB79" s="354">
        <f t="shared" si="31"/>
        <v>0</v>
      </c>
    </row>
    <row r="80" spans="2:28" ht="17.45" hidden="1" customHeight="1" outlineLevel="1">
      <c r="B80" s="203">
        <f t="shared" si="28"/>
        <v>48061</v>
      </c>
      <c r="C80" s="355">
        <v>838004.9340531677</v>
      </c>
      <c r="D80" s="356">
        <f>IF(ISNUMBER($F80),VLOOKUP($J80,'Table 1'!$B$13:$C$37,2,FALSE)/12*1000*Study_MW,"")</f>
        <v>0</v>
      </c>
      <c r="E80" s="356">
        <f t="shared" si="29"/>
        <v>838004.9340531677</v>
      </c>
      <c r="F80" s="355">
        <v>22991.679672239992</v>
      </c>
      <c r="G80" s="357">
        <f t="shared" si="26"/>
        <v>36.4481823859511</v>
      </c>
      <c r="I80" s="358">
        <f t="shared" si="20"/>
        <v>86</v>
      </c>
      <c r="J80" s="352">
        <f t="shared" si="30"/>
        <v>2031</v>
      </c>
      <c r="K80" s="203">
        <f t="shared" si="21"/>
        <v>48061</v>
      </c>
      <c r="V80" s="333" t="str">
        <f t="shared" si="25"/>
        <v>Summer</v>
      </c>
      <c r="AA80" s="353">
        <f t="shared" si="27"/>
        <v>2.18E-2</v>
      </c>
      <c r="AB80" s="354">
        <f t="shared" si="31"/>
        <v>0</v>
      </c>
    </row>
    <row r="81" spans="2:28" ht="17.45" hidden="1" customHeight="1" outlineLevel="1">
      <c r="B81" s="203">
        <f t="shared" si="28"/>
        <v>48092</v>
      </c>
      <c r="C81" s="355">
        <v>632062.79201249895</v>
      </c>
      <c r="D81" s="356">
        <f>IF(ISNUMBER($F81),VLOOKUP($J81,'Table 1'!$B$13:$C$37,2,FALSE)/12*1000*Study_MW,"")</f>
        <v>0</v>
      </c>
      <c r="E81" s="356">
        <f t="shared" si="29"/>
        <v>632062.79201249895</v>
      </c>
      <c r="F81" s="355">
        <v>19629.144393939998</v>
      </c>
      <c r="G81" s="357">
        <f t="shared" si="26"/>
        <v>32.200221228574399</v>
      </c>
      <c r="I81" s="358">
        <f t="shared" si="20"/>
        <v>87</v>
      </c>
      <c r="J81" s="352">
        <f t="shared" si="30"/>
        <v>2031</v>
      </c>
      <c r="K81" s="203">
        <f t="shared" si="21"/>
        <v>48092</v>
      </c>
      <c r="V81" s="333" t="str">
        <f t="shared" si="25"/>
        <v>Winter</v>
      </c>
      <c r="AA81" s="353">
        <f t="shared" si="27"/>
        <v>2.18E-2</v>
      </c>
      <c r="AB81" s="354">
        <f t="shared" si="31"/>
        <v>0</v>
      </c>
    </row>
    <row r="82" spans="2:28" ht="17.45" hidden="1" customHeight="1" outlineLevel="1">
      <c r="B82" s="203">
        <f t="shared" si="28"/>
        <v>48122</v>
      </c>
      <c r="C82" s="355">
        <v>223815.16117381398</v>
      </c>
      <c r="D82" s="356">
        <f>IF(ISNUMBER($F82),VLOOKUP($J82,'Table 1'!$B$13:$C$37,2,FALSE)/12*1000*Study_MW,"")</f>
        <v>0</v>
      </c>
      <c r="E82" s="356">
        <f t="shared" si="29"/>
        <v>223815.16117381398</v>
      </c>
      <c r="F82" s="355">
        <v>14603.382921399998</v>
      </c>
      <c r="G82" s="357">
        <f t="shared" si="26"/>
        <v>15.326254360271014</v>
      </c>
      <c r="I82" s="358">
        <f t="shared" si="20"/>
        <v>88</v>
      </c>
      <c r="J82" s="352">
        <f t="shared" si="30"/>
        <v>2031</v>
      </c>
      <c r="K82" s="203">
        <f t="shared" si="21"/>
        <v>48122</v>
      </c>
      <c r="V82" s="333" t="str">
        <f t="shared" si="25"/>
        <v>Winter</v>
      </c>
      <c r="AA82" s="353">
        <f t="shared" si="27"/>
        <v>2.18E-2</v>
      </c>
      <c r="AB82" s="354">
        <f t="shared" si="31"/>
        <v>0</v>
      </c>
    </row>
    <row r="83" spans="2:28" ht="17.45" hidden="1" customHeight="1" outlineLevel="1">
      <c r="B83" s="203">
        <f t="shared" si="28"/>
        <v>48153</v>
      </c>
      <c r="C83" s="355">
        <v>382239.4743145578</v>
      </c>
      <c r="D83" s="356">
        <f>IF(ISNUMBER($F83),VLOOKUP($J83,'Table 1'!$B$13:$C$37,2,FALSE)/12*1000*Study_MW,"")</f>
        <v>0</v>
      </c>
      <c r="E83" s="356">
        <f t="shared" si="29"/>
        <v>382239.4743145578</v>
      </c>
      <c r="F83" s="355">
        <v>11691.22883407</v>
      </c>
      <c r="G83" s="357">
        <f t="shared" si="26"/>
        <v>32.694550738811515</v>
      </c>
      <c r="I83" s="358">
        <f t="shared" si="20"/>
        <v>89</v>
      </c>
      <c r="J83" s="352">
        <f t="shared" si="30"/>
        <v>2031</v>
      </c>
      <c r="K83" s="203">
        <f t="shared" si="21"/>
        <v>48153</v>
      </c>
      <c r="V83" s="333" t="str">
        <f t="shared" si="25"/>
        <v>Winter</v>
      </c>
      <c r="AA83" s="353">
        <f t="shared" si="27"/>
        <v>2.18E-2</v>
      </c>
      <c r="AB83" s="354">
        <f t="shared" si="31"/>
        <v>0</v>
      </c>
    </row>
    <row r="84" spans="2:28" ht="17.45" hidden="1" customHeight="1" outlineLevel="1">
      <c r="B84" s="204">
        <f t="shared" si="28"/>
        <v>48183</v>
      </c>
      <c r="C84" s="362">
        <v>276230.16785312293</v>
      </c>
      <c r="D84" s="363">
        <f>IF(ISNUMBER($F84),VLOOKUP($J84,'Table 1'!$B$13:$C$37,2,FALSE)/12*1000*Study_MW,"")</f>
        <v>0</v>
      </c>
      <c r="E84" s="363">
        <f t="shared" si="29"/>
        <v>276230.16785312293</v>
      </c>
      <c r="F84" s="362">
        <v>7405.2146901920023</v>
      </c>
      <c r="G84" s="364">
        <f t="shared" si="26"/>
        <v>37.302114713700604</v>
      </c>
      <c r="I84" s="365">
        <f t="shared" si="20"/>
        <v>90</v>
      </c>
      <c r="J84" s="352">
        <f t="shared" si="30"/>
        <v>2031</v>
      </c>
      <c r="K84" s="204">
        <f t="shared" si="21"/>
        <v>48183</v>
      </c>
      <c r="V84" s="333" t="str">
        <f t="shared" si="25"/>
        <v>Winter</v>
      </c>
      <c r="AA84" s="353">
        <f t="shared" si="27"/>
        <v>2.18E-2</v>
      </c>
      <c r="AB84" s="354">
        <f t="shared" si="31"/>
        <v>0</v>
      </c>
    </row>
    <row r="85" spans="2:28" ht="17.45" hidden="1" customHeight="1" outlineLevel="1">
      <c r="B85" s="202">
        <f t="shared" si="28"/>
        <v>48214</v>
      </c>
      <c r="C85" s="346">
        <v>256581.71397939441</v>
      </c>
      <c r="D85" s="347">
        <f>IF(ISNUMBER($F85),VLOOKUP($J85,'Table 1'!$B$13:$C$37,2,FALSE)/12*1000*Study_MW,"")</f>
        <v>0</v>
      </c>
      <c r="E85" s="348">
        <f t="shared" si="29"/>
        <v>256581.71397939441</v>
      </c>
      <c r="F85" s="349">
        <v>7731.5858189300016</v>
      </c>
      <c r="G85" s="350">
        <f t="shared" si="26"/>
        <v>33.186169045835356</v>
      </c>
      <c r="I85" s="366">
        <f>I73+13</f>
        <v>92</v>
      </c>
      <c r="J85" s="352">
        <f t="shared" si="30"/>
        <v>2032</v>
      </c>
      <c r="K85" s="202">
        <f t="shared" si="21"/>
        <v>48214</v>
      </c>
      <c r="V85" s="333" t="str">
        <f t="shared" si="25"/>
        <v>Winter</v>
      </c>
      <c r="AA85" s="353">
        <f t="shared" si="27"/>
        <v>2.18E-2</v>
      </c>
      <c r="AB85" s="354">
        <f t="shared" si="31"/>
        <v>0</v>
      </c>
    </row>
    <row r="86" spans="2:28" ht="17.45" hidden="1" customHeight="1" outlineLevel="1">
      <c r="B86" s="203">
        <f t="shared" si="28"/>
        <v>48245</v>
      </c>
      <c r="C86" s="355">
        <v>255126.67231829255</v>
      </c>
      <c r="D86" s="356">
        <f>IF(ISNUMBER($F86),VLOOKUP($J86,'Table 1'!$B$13:$C$37,2,FALSE)/12*1000*Study_MW,"")</f>
        <v>0</v>
      </c>
      <c r="E86" s="356">
        <f t="shared" si="29"/>
        <v>255126.67231829255</v>
      </c>
      <c r="F86" s="355">
        <v>13203.257472239997</v>
      </c>
      <c r="G86" s="357">
        <f t="shared" si="26"/>
        <v>19.323009708376844</v>
      </c>
      <c r="I86" s="358">
        <f t="shared" si="20"/>
        <v>93</v>
      </c>
      <c r="J86" s="352">
        <f t="shared" si="30"/>
        <v>2032</v>
      </c>
      <c r="K86" s="203">
        <f t="shared" si="21"/>
        <v>48245</v>
      </c>
      <c r="V86" s="333" t="str">
        <f t="shared" si="25"/>
        <v>Winter</v>
      </c>
      <c r="AA86" s="353">
        <f t="shared" si="27"/>
        <v>2.18E-2</v>
      </c>
      <c r="AB86" s="354">
        <f t="shared" si="31"/>
        <v>0</v>
      </c>
    </row>
    <row r="87" spans="2:28" ht="17.45" hidden="1" customHeight="1" outlineLevel="1">
      <c r="B87" s="203">
        <f t="shared" si="28"/>
        <v>48274</v>
      </c>
      <c r="C87" s="355">
        <v>15308.846447442193</v>
      </c>
      <c r="D87" s="356">
        <f>IF(ISNUMBER($F87),VLOOKUP($J87,'Table 1'!$B$13:$C$37,2,FALSE)/12*1000*Study_MW,"")</f>
        <v>0</v>
      </c>
      <c r="E87" s="356">
        <f t="shared" si="29"/>
        <v>15308.846447442193</v>
      </c>
      <c r="F87" s="355">
        <v>14713.18381642</v>
      </c>
      <c r="G87" s="357">
        <f t="shared" si="26"/>
        <v>1.040484958147361</v>
      </c>
      <c r="I87" s="358">
        <f t="shared" si="20"/>
        <v>94</v>
      </c>
      <c r="J87" s="352">
        <f t="shared" si="30"/>
        <v>2032</v>
      </c>
      <c r="K87" s="203">
        <f t="shared" si="21"/>
        <v>48274</v>
      </c>
      <c r="V87" s="333" t="str">
        <f t="shared" si="25"/>
        <v>Winter</v>
      </c>
      <c r="AA87" s="353">
        <f t="shared" si="27"/>
        <v>2.18E-2</v>
      </c>
      <c r="AB87" s="354">
        <f t="shared" si="31"/>
        <v>0</v>
      </c>
    </row>
    <row r="88" spans="2:28" ht="17.45" hidden="1" customHeight="1" outlineLevel="1">
      <c r="B88" s="203">
        <f t="shared" si="28"/>
        <v>48305</v>
      </c>
      <c r="C88" s="355">
        <v>51703.377715253737</v>
      </c>
      <c r="D88" s="356">
        <f>IF(ISNUMBER($F88),VLOOKUP($J88,'Table 1'!$B$13:$C$37,2,FALSE)/12*1000*Study_MW,"")</f>
        <v>0</v>
      </c>
      <c r="E88" s="356">
        <f t="shared" si="29"/>
        <v>51703.377715253737</v>
      </c>
      <c r="F88" s="355">
        <v>18941.718479180003</v>
      </c>
      <c r="G88" s="357">
        <f t="shared" si="26"/>
        <v>2.7296033235888322</v>
      </c>
      <c r="I88" s="358">
        <f t="shared" si="20"/>
        <v>95</v>
      </c>
      <c r="J88" s="352">
        <f t="shared" si="30"/>
        <v>2032</v>
      </c>
      <c r="K88" s="203">
        <f t="shared" si="21"/>
        <v>48305</v>
      </c>
      <c r="V88" s="333" t="str">
        <f t="shared" si="25"/>
        <v>Winter</v>
      </c>
      <c r="AA88" s="353">
        <f t="shared" si="27"/>
        <v>2.18E-2</v>
      </c>
      <c r="AB88" s="354">
        <f t="shared" si="31"/>
        <v>0</v>
      </c>
    </row>
    <row r="89" spans="2:28" ht="17.45" hidden="1" customHeight="1" outlineLevel="1">
      <c r="B89" s="203">
        <f t="shared" si="28"/>
        <v>48335</v>
      </c>
      <c r="C89" s="355">
        <v>163700.29136164521</v>
      </c>
      <c r="D89" s="356">
        <f>IF(ISNUMBER($F89),VLOOKUP($J89,'Table 1'!$B$13:$C$37,2,FALSE)/12*1000*Study_MW,"")</f>
        <v>0</v>
      </c>
      <c r="E89" s="356">
        <f t="shared" si="29"/>
        <v>163700.29136164521</v>
      </c>
      <c r="F89" s="355">
        <v>23001.046366629998</v>
      </c>
      <c r="G89" s="357">
        <f t="shared" si="26"/>
        <v>7.1170801863667466</v>
      </c>
      <c r="I89" s="358">
        <f t="shared" si="20"/>
        <v>96</v>
      </c>
      <c r="J89" s="352">
        <f t="shared" si="30"/>
        <v>2032</v>
      </c>
      <c r="K89" s="203">
        <f t="shared" si="21"/>
        <v>48335</v>
      </c>
      <c r="V89" s="333" t="str">
        <f t="shared" si="25"/>
        <v>Summer</v>
      </c>
      <c r="AA89" s="353">
        <f t="shared" si="27"/>
        <v>2.18E-2</v>
      </c>
      <c r="AB89" s="354">
        <f t="shared" si="31"/>
        <v>0</v>
      </c>
    </row>
    <row r="90" spans="2:28" ht="17.45" hidden="1" customHeight="1" outlineLevel="1">
      <c r="B90" s="203">
        <f t="shared" si="28"/>
        <v>48366</v>
      </c>
      <c r="C90" s="355">
        <v>422772.69177077687</v>
      </c>
      <c r="D90" s="356">
        <f>IF(ISNUMBER($F90),VLOOKUP($J90,'Table 1'!$B$13:$C$37,2,FALSE)/12*1000*Study_MW,"")</f>
        <v>0</v>
      </c>
      <c r="E90" s="356">
        <f t="shared" si="29"/>
        <v>422772.69177077687</v>
      </c>
      <c r="F90" s="355">
        <v>27083.405512440007</v>
      </c>
      <c r="G90" s="357">
        <f t="shared" si="26"/>
        <v>15.61002701734049</v>
      </c>
      <c r="I90" s="358">
        <f t="shared" ref="I90:I96" si="32">I78+13</f>
        <v>97</v>
      </c>
      <c r="J90" s="352">
        <f t="shared" si="30"/>
        <v>2032</v>
      </c>
      <c r="K90" s="203">
        <f t="shared" ref="K90:K153" si="33">IF(ISNUMBER(F90),IF(F90&lt;&gt;0,B90,""),"")</f>
        <v>48366</v>
      </c>
      <c r="V90" s="333" t="str">
        <f t="shared" si="25"/>
        <v>Summer</v>
      </c>
      <c r="AA90" s="353">
        <f t="shared" si="27"/>
        <v>2.18E-2</v>
      </c>
      <c r="AB90" s="354">
        <f t="shared" si="31"/>
        <v>0</v>
      </c>
    </row>
    <row r="91" spans="2:28" ht="17.45" hidden="1" customHeight="1" outlineLevel="1">
      <c r="B91" s="203">
        <f t="shared" si="28"/>
        <v>48396</v>
      </c>
      <c r="C91" s="355">
        <v>834793.77843685506</v>
      </c>
      <c r="D91" s="356">
        <f>IF(ISNUMBER($F91),VLOOKUP($J91,'Table 1'!$B$13:$C$37,2,FALSE)/12*1000*Study_MW,"")</f>
        <v>0</v>
      </c>
      <c r="E91" s="356">
        <f t="shared" si="29"/>
        <v>834793.77843685506</v>
      </c>
      <c r="F91" s="355">
        <v>25579.170467540007</v>
      </c>
      <c r="G91" s="357">
        <f t="shared" si="26"/>
        <v>32.635686114067269</v>
      </c>
      <c r="I91" s="358">
        <f t="shared" si="32"/>
        <v>98</v>
      </c>
      <c r="J91" s="352">
        <f t="shared" si="30"/>
        <v>2032</v>
      </c>
      <c r="K91" s="203">
        <f t="shared" si="33"/>
        <v>48396</v>
      </c>
      <c r="V91" s="333" t="str">
        <f t="shared" si="25"/>
        <v>Summer</v>
      </c>
      <c r="AA91" s="353">
        <f t="shared" si="27"/>
        <v>2.18E-2</v>
      </c>
      <c r="AB91" s="354">
        <f t="shared" si="31"/>
        <v>0</v>
      </c>
    </row>
    <row r="92" spans="2:28" ht="17.45" hidden="1" customHeight="1" outlineLevel="1">
      <c r="B92" s="203">
        <f t="shared" si="28"/>
        <v>48427</v>
      </c>
      <c r="C92" s="355">
        <v>886850.55910037772</v>
      </c>
      <c r="D92" s="356">
        <f>IF(ISNUMBER($F92),VLOOKUP($J92,'Table 1'!$B$13:$C$37,2,FALSE)/12*1000*Study_MW,"")</f>
        <v>0</v>
      </c>
      <c r="E92" s="356">
        <f t="shared" si="29"/>
        <v>886850.55910037772</v>
      </c>
      <c r="F92" s="355">
        <v>22999.767899989994</v>
      </c>
      <c r="G92" s="357">
        <f t="shared" si="26"/>
        <v>38.559109072607797</v>
      </c>
      <c r="I92" s="358">
        <f t="shared" si="32"/>
        <v>99</v>
      </c>
      <c r="J92" s="352">
        <f t="shared" si="30"/>
        <v>2032</v>
      </c>
      <c r="K92" s="203">
        <f t="shared" si="33"/>
        <v>48427</v>
      </c>
      <c r="V92" s="333" t="str">
        <f t="shared" si="25"/>
        <v>Summer</v>
      </c>
      <c r="AA92" s="353">
        <f t="shared" si="27"/>
        <v>2.18E-2</v>
      </c>
      <c r="AB92" s="354">
        <f t="shared" si="31"/>
        <v>0</v>
      </c>
    </row>
    <row r="93" spans="2:28" ht="17.45" hidden="1" customHeight="1" outlineLevel="1">
      <c r="B93" s="203">
        <f t="shared" si="28"/>
        <v>48458</v>
      </c>
      <c r="C93" s="355">
        <v>600178.36607114435</v>
      </c>
      <c r="D93" s="356">
        <f>IF(ISNUMBER($F93),VLOOKUP($J93,'Table 1'!$B$13:$C$37,2,FALSE)/12*1000*Study_MW,"")</f>
        <v>0</v>
      </c>
      <c r="E93" s="356">
        <f t="shared" si="29"/>
        <v>600178.36607114435</v>
      </c>
      <c r="F93" s="355">
        <v>19391.958633639999</v>
      </c>
      <c r="G93" s="357">
        <f t="shared" si="26"/>
        <v>30.949858000934015</v>
      </c>
      <c r="I93" s="358">
        <f t="shared" si="32"/>
        <v>100</v>
      </c>
      <c r="J93" s="352">
        <f t="shared" si="30"/>
        <v>2032</v>
      </c>
      <c r="K93" s="203">
        <f t="shared" si="33"/>
        <v>48458</v>
      </c>
      <c r="V93" s="333" t="str">
        <f t="shared" si="25"/>
        <v>Winter</v>
      </c>
      <c r="AA93" s="353">
        <f t="shared" si="27"/>
        <v>2.18E-2</v>
      </c>
      <c r="AB93" s="354">
        <f t="shared" si="31"/>
        <v>0</v>
      </c>
    </row>
    <row r="94" spans="2:28" ht="17.45" hidden="1" customHeight="1" outlineLevel="1">
      <c r="B94" s="203">
        <f t="shared" si="28"/>
        <v>48488</v>
      </c>
      <c r="C94" s="355">
        <v>207859.22827998002</v>
      </c>
      <c r="D94" s="356">
        <f>IF(ISNUMBER($F94),VLOOKUP($J94,'Table 1'!$B$13:$C$37,2,FALSE)/12*1000*Study_MW,"")</f>
        <v>0</v>
      </c>
      <c r="E94" s="356">
        <f t="shared" si="29"/>
        <v>207859.22827998002</v>
      </c>
      <c r="F94" s="355">
        <v>14570.730720969999</v>
      </c>
      <c r="G94" s="357">
        <f t="shared" si="26"/>
        <v>14.265532200168369</v>
      </c>
      <c r="I94" s="358">
        <f t="shared" si="32"/>
        <v>101</v>
      </c>
      <c r="J94" s="352">
        <f t="shared" si="30"/>
        <v>2032</v>
      </c>
      <c r="K94" s="203">
        <f t="shared" si="33"/>
        <v>48488</v>
      </c>
      <c r="V94" s="333" t="str">
        <f t="shared" si="25"/>
        <v>Winter</v>
      </c>
      <c r="AA94" s="353">
        <f t="shared" si="27"/>
        <v>2.18E-2</v>
      </c>
      <c r="AB94" s="354">
        <f t="shared" si="31"/>
        <v>0</v>
      </c>
    </row>
    <row r="95" spans="2:28" ht="17.45" hidden="1" customHeight="1" outlineLevel="1">
      <c r="B95" s="203">
        <f t="shared" si="28"/>
        <v>48519</v>
      </c>
      <c r="C95" s="355">
        <v>360690.77753268264</v>
      </c>
      <c r="D95" s="356">
        <f>IF(ISNUMBER($F95),VLOOKUP($J95,'Table 1'!$B$13:$C$37,2,FALSE)/12*1000*Study_MW,"")</f>
        <v>0</v>
      </c>
      <c r="E95" s="356">
        <f t="shared" si="29"/>
        <v>360690.77753268264</v>
      </c>
      <c r="F95" s="355">
        <v>11010.674822270001</v>
      </c>
      <c r="G95" s="357">
        <f t="shared" si="26"/>
        <v>32.758280791578343</v>
      </c>
      <c r="I95" s="358">
        <f t="shared" si="32"/>
        <v>102</v>
      </c>
      <c r="J95" s="352">
        <f t="shared" si="30"/>
        <v>2032</v>
      </c>
      <c r="K95" s="203">
        <f t="shared" si="33"/>
        <v>48519</v>
      </c>
      <c r="V95" s="333" t="str">
        <f t="shared" si="25"/>
        <v>Winter</v>
      </c>
      <c r="AA95" s="353">
        <f t="shared" si="27"/>
        <v>2.18E-2</v>
      </c>
      <c r="AB95" s="354">
        <f t="shared" si="31"/>
        <v>0</v>
      </c>
    </row>
    <row r="96" spans="2:28" ht="17.45" hidden="1" customHeight="1" outlineLevel="1">
      <c r="B96" s="204">
        <f t="shared" si="28"/>
        <v>48549</v>
      </c>
      <c r="C96" s="362">
        <v>314856.09176363487</v>
      </c>
      <c r="D96" s="363">
        <f>IF(ISNUMBER($F96),VLOOKUP($J96,'Table 1'!$B$13:$C$37,2,FALSE)/12*1000*Study_MW,"")</f>
        <v>0</v>
      </c>
      <c r="E96" s="363">
        <f t="shared" si="29"/>
        <v>314856.09176363487</v>
      </c>
      <c r="F96" s="362">
        <v>7464.9010396682743</v>
      </c>
      <c r="G96" s="364">
        <f t="shared" si="26"/>
        <v>42.178200366019382</v>
      </c>
      <c r="I96" s="365">
        <f t="shared" si="32"/>
        <v>103</v>
      </c>
      <c r="J96" s="352">
        <f t="shared" si="30"/>
        <v>2032</v>
      </c>
      <c r="K96" s="204">
        <f t="shared" si="33"/>
        <v>48549</v>
      </c>
      <c r="V96" s="333" t="str">
        <f t="shared" si="25"/>
        <v>Winter</v>
      </c>
      <c r="AA96" s="353">
        <f t="shared" si="27"/>
        <v>2.18E-2</v>
      </c>
      <c r="AB96" s="354">
        <f t="shared" si="31"/>
        <v>0</v>
      </c>
    </row>
    <row r="97" spans="2:28" ht="17.45" hidden="1" customHeight="1" outlineLevel="1">
      <c r="B97" s="202">
        <f t="shared" si="28"/>
        <v>48580</v>
      </c>
      <c r="C97" s="346">
        <v>272100.98706337158</v>
      </c>
      <c r="D97" s="347">
        <f>IF(ISNUMBER($F97),VLOOKUP($J97,'Table 1'!$B$13:$C$37,2,FALSE)/12*1000*Study_MW,"")</f>
        <v>0</v>
      </c>
      <c r="E97" s="348">
        <f t="shared" si="29"/>
        <v>272100.98706337158</v>
      </c>
      <c r="F97" s="349">
        <v>7784.1732523199989</v>
      </c>
      <c r="G97" s="350">
        <f t="shared" si="26"/>
        <v>34.955669438918832</v>
      </c>
      <c r="I97" s="366">
        <f>I85+13</f>
        <v>105</v>
      </c>
      <c r="J97" s="352">
        <f t="shared" si="30"/>
        <v>2033</v>
      </c>
      <c r="K97" s="202">
        <f t="shared" si="33"/>
        <v>48580</v>
      </c>
      <c r="V97" s="333" t="str">
        <f t="shared" si="25"/>
        <v>Winter</v>
      </c>
      <c r="AA97" s="353">
        <f t="shared" si="27"/>
        <v>2.18E-2</v>
      </c>
      <c r="AB97" s="354">
        <f t="shared" si="31"/>
        <v>0</v>
      </c>
    </row>
    <row r="98" spans="2:28" ht="17.45" hidden="1" customHeight="1" outlineLevel="1">
      <c r="B98" s="203">
        <f t="shared" si="28"/>
        <v>48611</v>
      </c>
      <c r="C98" s="355">
        <v>243736.5402880896</v>
      </c>
      <c r="D98" s="356">
        <f>IF(ISNUMBER($F98),VLOOKUP($J98,'Table 1'!$B$13:$C$37,2,FALSE)/12*1000*Study_MW,"")</f>
        <v>0</v>
      </c>
      <c r="E98" s="356">
        <f t="shared" si="29"/>
        <v>243736.5402880896</v>
      </c>
      <c r="F98" s="355">
        <v>12689.477986069998</v>
      </c>
      <c r="G98" s="357">
        <f t="shared" si="26"/>
        <v>19.207767297886786</v>
      </c>
      <c r="I98" s="358">
        <f t="shared" ref="I98:I120" si="34">I86+13</f>
        <v>106</v>
      </c>
      <c r="J98" s="352">
        <f t="shared" si="30"/>
        <v>2033</v>
      </c>
      <c r="K98" s="203">
        <f t="shared" si="33"/>
        <v>48611</v>
      </c>
      <c r="V98" s="333" t="str">
        <f t="shared" si="25"/>
        <v>Winter</v>
      </c>
      <c r="AA98" s="353">
        <f t="shared" si="27"/>
        <v>2.18E-2</v>
      </c>
      <c r="AB98" s="354">
        <f t="shared" si="31"/>
        <v>0</v>
      </c>
    </row>
    <row r="99" spans="2:28" ht="17.45" hidden="1" customHeight="1" outlineLevel="1">
      <c r="B99" s="203">
        <f t="shared" si="28"/>
        <v>48639</v>
      </c>
      <c r="C99" s="355">
        <v>-25679.117391744512</v>
      </c>
      <c r="D99" s="356">
        <f>IF(ISNUMBER($F99),VLOOKUP($J99,'Table 1'!$B$13:$C$37,2,FALSE)/12*1000*Study_MW,"")</f>
        <v>0</v>
      </c>
      <c r="E99" s="356">
        <f t="shared" si="29"/>
        <v>-25679.117391744512</v>
      </c>
      <c r="F99" s="355">
        <v>15055.4788799</v>
      </c>
      <c r="G99" s="357">
        <f t="shared" si="26"/>
        <v>-1.7056327199281407</v>
      </c>
      <c r="I99" s="358">
        <f t="shared" si="34"/>
        <v>107</v>
      </c>
      <c r="J99" s="352">
        <f t="shared" si="30"/>
        <v>2033</v>
      </c>
      <c r="K99" s="203">
        <f t="shared" si="33"/>
        <v>48639</v>
      </c>
      <c r="V99" s="333" t="str">
        <f t="shared" si="25"/>
        <v>Winter</v>
      </c>
      <c r="AA99" s="353">
        <f t="shared" si="27"/>
        <v>2.18E-2</v>
      </c>
      <c r="AB99" s="354">
        <f t="shared" si="31"/>
        <v>0</v>
      </c>
    </row>
    <row r="100" spans="2:28" ht="17.45" hidden="1" customHeight="1" outlineLevel="1">
      <c r="B100" s="203">
        <f t="shared" si="28"/>
        <v>48670</v>
      </c>
      <c r="C100" s="355">
        <v>79730.017490386672</v>
      </c>
      <c r="D100" s="356">
        <f>IF(ISNUMBER($F100),VLOOKUP($J100,'Table 1'!$B$13:$C$37,2,FALSE)/12*1000*Study_MW,"")</f>
        <v>0</v>
      </c>
      <c r="E100" s="356">
        <f t="shared" si="29"/>
        <v>79730.017490386672</v>
      </c>
      <c r="F100" s="355">
        <v>18429.618559909995</v>
      </c>
      <c r="G100" s="357">
        <f t="shared" si="26"/>
        <v>4.3261892388713683</v>
      </c>
      <c r="I100" s="358">
        <f t="shared" si="34"/>
        <v>108</v>
      </c>
      <c r="J100" s="352">
        <f t="shared" si="30"/>
        <v>2033</v>
      </c>
      <c r="K100" s="203">
        <f t="shared" si="33"/>
        <v>48670</v>
      </c>
      <c r="V100" s="333" t="str">
        <f t="shared" si="25"/>
        <v>Winter</v>
      </c>
      <c r="AA100" s="353">
        <f t="shared" si="27"/>
        <v>2.18E-2</v>
      </c>
      <c r="AB100" s="354">
        <f t="shared" si="31"/>
        <v>0</v>
      </c>
    </row>
    <row r="101" spans="2:28" ht="17.45" hidden="1" customHeight="1" outlineLevel="1">
      <c r="B101" s="203">
        <f t="shared" si="28"/>
        <v>48700</v>
      </c>
      <c r="C101" s="355">
        <v>133373.73934904463</v>
      </c>
      <c r="D101" s="356">
        <f>IF(ISNUMBER($F101),VLOOKUP($J101,'Table 1'!$B$13:$C$37,2,FALSE)/12*1000*Study_MW,"")</f>
        <v>0</v>
      </c>
      <c r="E101" s="356">
        <f t="shared" si="29"/>
        <v>133373.73934904463</v>
      </c>
      <c r="F101" s="355">
        <v>23540.748923399999</v>
      </c>
      <c r="G101" s="357">
        <f t="shared" si="26"/>
        <v>5.6656540445265247</v>
      </c>
      <c r="I101" s="358">
        <f t="shared" si="34"/>
        <v>109</v>
      </c>
      <c r="J101" s="352">
        <f t="shared" si="30"/>
        <v>2033</v>
      </c>
      <c r="K101" s="203">
        <f t="shared" si="33"/>
        <v>48700</v>
      </c>
      <c r="V101" s="333" t="str">
        <f t="shared" si="25"/>
        <v>Summer</v>
      </c>
      <c r="AA101" s="353">
        <f t="shared" si="27"/>
        <v>2.18E-2</v>
      </c>
      <c r="AB101" s="354">
        <f t="shared" si="31"/>
        <v>0</v>
      </c>
    </row>
    <row r="102" spans="2:28" ht="17.45" hidden="1" customHeight="1" outlineLevel="1">
      <c r="B102" s="203">
        <f t="shared" si="28"/>
        <v>48731</v>
      </c>
      <c r="C102" s="355">
        <v>392861.9856700243</v>
      </c>
      <c r="D102" s="356">
        <f>IF(ISNUMBER($F102),VLOOKUP($J102,'Table 1'!$B$13:$C$37,2,FALSE)/12*1000*Study_MW,"")</f>
        <v>0</v>
      </c>
      <c r="E102" s="356">
        <f t="shared" si="29"/>
        <v>392861.9856700243</v>
      </c>
      <c r="F102" s="355">
        <v>27034.811675930003</v>
      </c>
      <c r="G102" s="357">
        <f t="shared" si="26"/>
        <v>14.531707872772143</v>
      </c>
      <c r="I102" s="358">
        <f t="shared" si="34"/>
        <v>110</v>
      </c>
      <c r="J102" s="352">
        <f t="shared" si="30"/>
        <v>2033</v>
      </c>
      <c r="K102" s="203">
        <f t="shared" si="33"/>
        <v>48731</v>
      </c>
      <c r="V102" s="333" t="str">
        <f t="shared" si="25"/>
        <v>Summer</v>
      </c>
      <c r="AA102" s="353">
        <f t="shared" si="27"/>
        <v>2.18E-2</v>
      </c>
      <c r="AB102" s="354">
        <f t="shared" si="31"/>
        <v>0</v>
      </c>
    </row>
    <row r="103" spans="2:28" ht="17.45" hidden="1" customHeight="1" outlineLevel="1">
      <c r="B103" s="203">
        <f t="shared" si="28"/>
        <v>48761</v>
      </c>
      <c r="C103" s="355">
        <v>799932.1236759352</v>
      </c>
      <c r="D103" s="356">
        <f>IF(ISNUMBER($F103),VLOOKUP($J103,'Table 1'!$B$13:$C$37,2,FALSE)/12*1000*Study_MW,"")</f>
        <v>0</v>
      </c>
      <c r="E103" s="356">
        <f t="shared" si="29"/>
        <v>799932.1236759352</v>
      </c>
      <c r="F103" s="355">
        <v>25413.513433180004</v>
      </c>
      <c r="G103" s="357">
        <f t="shared" si="26"/>
        <v>31.476644336455266</v>
      </c>
      <c r="I103" s="358">
        <f t="shared" si="34"/>
        <v>111</v>
      </c>
      <c r="J103" s="352">
        <f t="shared" si="30"/>
        <v>2033</v>
      </c>
      <c r="K103" s="203">
        <f t="shared" si="33"/>
        <v>48761</v>
      </c>
      <c r="V103" s="333" t="str">
        <f t="shared" si="25"/>
        <v>Summer</v>
      </c>
      <c r="AA103" s="353">
        <f t="shared" si="27"/>
        <v>2.18E-2</v>
      </c>
      <c r="AB103" s="354">
        <f t="shared" si="31"/>
        <v>0</v>
      </c>
    </row>
    <row r="104" spans="2:28" ht="17.45" hidden="1" customHeight="1" outlineLevel="1">
      <c r="B104" s="203">
        <f t="shared" si="28"/>
        <v>48792</v>
      </c>
      <c r="C104" s="355">
        <v>721943.83620788716</v>
      </c>
      <c r="D104" s="356">
        <f>IF(ISNUMBER($F104),VLOOKUP($J104,'Table 1'!$B$13:$C$37,2,FALSE)/12*1000*Study_MW,"")</f>
        <v>0</v>
      </c>
      <c r="E104" s="356">
        <f t="shared" si="29"/>
        <v>721943.83620788716</v>
      </c>
      <c r="F104" s="355">
        <v>22782.495094049998</v>
      </c>
      <c r="G104" s="357">
        <f t="shared" si="26"/>
        <v>31.688532499516874</v>
      </c>
      <c r="I104" s="358">
        <f t="shared" si="34"/>
        <v>112</v>
      </c>
      <c r="J104" s="352">
        <f t="shared" si="30"/>
        <v>2033</v>
      </c>
      <c r="K104" s="203">
        <f t="shared" si="33"/>
        <v>48792</v>
      </c>
      <c r="V104" s="333" t="str">
        <f t="shared" si="25"/>
        <v>Summer</v>
      </c>
      <c r="AA104" s="353">
        <f t="shared" si="27"/>
        <v>2.18E-2</v>
      </c>
      <c r="AB104" s="354">
        <f t="shared" si="31"/>
        <v>0</v>
      </c>
    </row>
    <row r="105" spans="2:28" ht="17.45" hidden="1" customHeight="1" outlineLevel="1">
      <c r="B105" s="203">
        <f t="shared" si="28"/>
        <v>48823</v>
      </c>
      <c r="C105" s="355">
        <v>628524.09878266184</v>
      </c>
      <c r="D105" s="356">
        <f>IF(ISNUMBER($F105),VLOOKUP($J105,'Table 1'!$B$13:$C$37,2,FALSE)/12*1000*Study_MW,"")</f>
        <v>0</v>
      </c>
      <c r="E105" s="356">
        <f t="shared" si="29"/>
        <v>628524.09878266184</v>
      </c>
      <c r="F105" s="355">
        <v>18883.759869760001</v>
      </c>
      <c r="G105" s="357">
        <f t="shared" si="26"/>
        <v>33.283843001475844</v>
      </c>
      <c r="I105" s="358">
        <f t="shared" si="34"/>
        <v>113</v>
      </c>
      <c r="J105" s="352">
        <f t="shared" si="30"/>
        <v>2033</v>
      </c>
      <c r="K105" s="203">
        <f t="shared" si="33"/>
        <v>48823</v>
      </c>
      <c r="V105" s="333" t="str">
        <f t="shared" si="25"/>
        <v>Winter</v>
      </c>
      <c r="AA105" s="353">
        <f t="shared" si="27"/>
        <v>2.18E-2</v>
      </c>
      <c r="AB105" s="354">
        <f t="shared" si="31"/>
        <v>0</v>
      </c>
    </row>
    <row r="106" spans="2:28" ht="17.45" hidden="1" customHeight="1" outlineLevel="1">
      <c r="B106" s="203">
        <f t="shared" si="28"/>
        <v>48853</v>
      </c>
      <c r="C106" s="355">
        <v>241779.42258708936</v>
      </c>
      <c r="D106" s="356">
        <f>IF(ISNUMBER($F106),VLOOKUP($J106,'Table 1'!$B$13:$C$37,2,FALSE)/12*1000*Study_MW,"")</f>
        <v>0</v>
      </c>
      <c r="E106" s="356">
        <f t="shared" si="29"/>
        <v>241779.42258708936</v>
      </c>
      <c r="F106" s="355">
        <v>14576.235939870003</v>
      </c>
      <c r="G106" s="357">
        <f t="shared" si="26"/>
        <v>16.58723305416293</v>
      </c>
      <c r="I106" s="358">
        <f t="shared" si="34"/>
        <v>114</v>
      </c>
      <c r="J106" s="352">
        <f t="shared" si="30"/>
        <v>2033</v>
      </c>
      <c r="K106" s="203">
        <f t="shared" si="33"/>
        <v>48853</v>
      </c>
      <c r="V106" s="333" t="str">
        <f t="shared" si="25"/>
        <v>Winter</v>
      </c>
      <c r="AA106" s="353">
        <f t="shared" si="27"/>
        <v>2.18E-2</v>
      </c>
      <c r="AB106" s="354">
        <f t="shared" si="31"/>
        <v>0</v>
      </c>
    </row>
    <row r="107" spans="2:28" ht="17.45" hidden="1" customHeight="1" outlineLevel="1">
      <c r="B107" s="203">
        <f t="shared" si="28"/>
        <v>48884</v>
      </c>
      <c r="C107" s="355">
        <v>381788.18652090739</v>
      </c>
      <c r="D107" s="356">
        <f>IF(ISNUMBER($F107),VLOOKUP($J107,'Table 1'!$B$13:$C$37,2,FALSE)/12*1000*Study_MW,"")</f>
        <v>0</v>
      </c>
      <c r="E107" s="356">
        <f t="shared" si="29"/>
        <v>381788.18652090739</v>
      </c>
      <c r="F107" s="355">
        <v>10701.272208260001</v>
      </c>
      <c r="G107" s="357">
        <f t="shared" si="26"/>
        <v>35.676897016619776</v>
      </c>
      <c r="I107" s="358">
        <f t="shared" si="34"/>
        <v>115</v>
      </c>
      <c r="J107" s="352">
        <f t="shared" si="30"/>
        <v>2033</v>
      </c>
      <c r="K107" s="203">
        <f t="shared" si="33"/>
        <v>48884</v>
      </c>
      <c r="V107" s="333" t="str">
        <f t="shared" si="25"/>
        <v>Winter</v>
      </c>
      <c r="AA107" s="353">
        <f t="shared" si="27"/>
        <v>2.18E-2</v>
      </c>
      <c r="AB107" s="354">
        <f t="shared" si="31"/>
        <v>0</v>
      </c>
    </row>
    <row r="108" spans="2:28" ht="17.45" hidden="1" customHeight="1" outlineLevel="1">
      <c r="B108" s="204">
        <f t="shared" si="28"/>
        <v>48914</v>
      </c>
      <c r="C108" s="362">
        <v>283720.48846762767</v>
      </c>
      <c r="D108" s="363">
        <f>IF(ISNUMBER($F108),VLOOKUP($J108,'Table 1'!$B$13:$C$37,2,FALSE)/12*1000*Study_MW,"")</f>
        <v>0</v>
      </c>
      <c r="E108" s="363">
        <f t="shared" si="29"/>
        <v>283720.48846762767</v>
      </c>
      <c r="F108" s="362">
        <v>7392.4360736863355</v>
      </c>
      <c r="G108" s="364">
        <f t="shared" si="26"/>
        <v>38.379836584254249</v>
      </c>
      <c r="I108" s="365">
        <f t="shared" si="34"/>
        <v>116</v>
      </c>
      <c r="J108" s="352">
        <f t="shared" si="30"/>
        <v>2033</v>
      </c>
      <c r="K108" s="204">
        <f t="shared" si="33"/>
        <v>48914</v>
      </c>
      <c r="V108" s="333" t="str">
        <f t="shared" si="25"/>
        <v>Winter</v>
      </c>
      <c r="AA108" s="353">
        <f t="shared" si="27"/>
        <v>2.18E-2</v>
      </c>
      <c r="AB108" s="354">
        <f t="shared" si="31"/>
        <v>0</v>
      </c>
    </row>
    <row r="109" spans="2:28" ht="17.45" hidden="1" customHeight="1" outlineLevel="1">
      <c r="B109" s="202">
        <f t="shared" si="28"/>
        <v>48945</v>
      </c>
      <c r="C109" s="346">
        <v>309045.40889767668</v>
      </c>
      <c r="D109" s="347">
        <f>IF(ISNUMBER($F109),VLOOKUP($J109,'Table 1'!$B$13:$C$37,2,FALSE)/12*1000*Study_MW,"")</f>
        <v>0</v>
      </c>
      <c r="E109" s="348">
        <f t="shared" si="29"/>
        <v>309045.40889767668</v>
      </c>
      <c r="F109" s="349">
        <v>7860.5579803300025</v>
      </c>
      <c r="G109" s="350">
        <f t="shared" si="26"/>
        <v>39.315963277800584</v>
      </c>
      <c r="I109" s="366">
        <f>I97+13</f>
        <v>118</v>
      </c>
      <c r="J109" s="352">
        <f t="shared" si="30"/>
        <v>2034</v>
      </c>
      <c r="K109" s="202">
        <f t="shared" si="33"/>
        <v>48945</v>
      </c>
      <c r="V109" s="333" t="str">
        <f t="shared" si="25"/>
        <v>Winter</v>
      </c>
      <c r="AA109" s="353">
        <f t="shared" si="27"/>
        <v>2.18E-2</v>
      </c>
      <c r="AB109" s="354">
        <f t="shared" si="31"/>
        <v>0</v>
      </c>
    </row>
    <row r="110" spans="2:28" ht="17.45" hidden="1" customHeight="1" outlineLevel="1">
      <c r="B110" s="203">
        <f t="shared" si="28"/>
        <v>48976</v>
      </c>
      <c r="C110" s="355">
        <v>228001.96492714895</v>
      </c>
      <c r="D110" s="356">
        <f>IF(ISNUMBER($F110),VLOOKUP($J110,'Table 1'!$B$13:$C$37,2,FALSE)/12*1000*Study_MW,"")</f>
        <v>0</v>
      </c>
      <c r="E110" s="356">
        <f t="shared" si="29"/>
        <v>228001.96492714895</v>
      </c>
      <c r="F110" s="355">
        <v>12697.858418940001</v>
      </c>
      <c r="G110" s="357">
        <f t="shared" si="26"/>
        <v>17.955938505902967</v>
      </c>
      <c r="I110" s="358">
        <f t="shared" si="34"/>
        <v>119</v>
      </c>
      <c r="J110" s="352">
        <f t="shared" si="30"/>
        <v>2034</v>
      </c>
      <c r="K110" s="203">
        <f t="shared" si="33"/>
        <v>48976</v>
      </c>
      <c r="V110" s="333" t="str">
        <f t="shared" si="25"/>
        <v>Winter</v>
      </c>
      <c r="AA110" s="353">
        <f t="shared" si="27"/>
        <v>2.18E-2</v>
      </c>
      <c r="AB110" s="354">
        <f t="shared" si="31"/>
        <v>0</v>
      </c>
    </row>
    <row r="111" spans="2:28" ht="17.45" hidden="1" customHeight="1" outlineLevel="1">
      <c r="B111" s="203">
        <f t="shared" si="28"/>
        <v>49004</v>
      </c>
      <c r="C111" s="355">
        <v>14445.974562622723</v>
      </c>
      <c r="D111" s="356">
        <f>IF(ISNUMBER($F111),VLOOKUP($J111,'Table 1'!$B$13:$C$37,2,FALSE)/12*1000*Study_MW,"")</f>
        <v>0</v>
      </c>
      <c r="E111" s="356">
        <f t="shared" si="29"/>
        <v>14445.974562622723</v>
      </c>
      <c r="F111" s="355">
        <v>15340.214276940002</v>
      </c>
      <c r="G111" s="357">
        <f t="shared" si="26"/>
        <v>0.9417061784031574</v>
      </c>
      <c r="I111" s="358">
        <f t="shared" si="34"/>
        <v>120</v>
      </c>
      <c r="J111" s="352">
        <f t="shared" si="30"/>
        <v>2034</v>
      </c>
      <c r="K111" s="203">
        <f t="shared" si="33"/>
        <v>49004</v>
      </c>
      <c r="V111" s="333" t="str">
        <f t="shared" si="25"/>
        <v>Winter</v>
      </c>
      <c r="AA111" s="353">
        <f t="shared" si="27"/>
        <v>2.18E-2</v>
      </c>
      <c r="AB111" s="354">
        <f t="shared" si="31"/>
        <v>0</v>
      </c>
    </row>
    <row r="112" spans="2:28" ht="17.45" hidden="1" customHeight="1" outlineLevel="1">
      <c r="B112" s="203">
        <f t="shared" si="28"/>
        <v>49035</v>
      </c>
      <c r="C112" s="355">
        <v>-30554.914419582929</v>
      </c>
      <c r="D112" s="356">
        <f>IF(ISNUMBER($F112),VLOOKUP($J112,'Table 1'!$B$13:$C$37,2,FALSE)/12*1000*Study_MW,"")</f>
        <v>0</v>
      </c>
      <c r="E112" s="356">
        <f t="shared" si="29"/>
        <v>-30554.914419582929</v>
      </c>
      <c r="F112" s="355">
        <v>18440.652452579998</v>
      </c>
      <c r="G112" s="357">
        <f t="shared" si="26"/>
        <v>-1.6569323942390144</v>
      </c>
      <c r="I112" s="358">
        <f t="shared" si="34"/>
        <v>121</v>
      </c>
      <c r="J112" s="352">
        <f t="shared" si="30"/>
        <v>2034</v>
      </c>
      <c r="K112" s="203">
        <f t="shared" si="33"/>
        <v>49035</v>
      </c>
      <c r="V112" s="333" t="str">
        <f t="shared" si="25"/>
        <v>Winter</v>
      </c>
      <c r="AA112" s="353">
        <f t="shared" si="27"/>
        <v>2.18E-2</v>
      </c>
      <c r="AB112" s="354">
        <f t="shared" si="31"/>
        <v>0</v>
      </c>
    </row>
    <row r="113" spans="2:28" ht="17.45" hidden="1" customHeight="1" outlineLevel="1">
      <c r="B113" s="203">
        <f t="shared" si="28"/>
        <v>49065</v>
      </c>
      <c r="C113" s="355">
        <v>213968.30018299806</v>
      </c>
      <c r="D113" s="356">
        <f>IF(ISNUMBER($F113),VLOOKUP($J113,'Table 1'!$B$13:$C$37,2,FALSE)/12*1000*Study_MW,"")</f>
        <v>0</v>
      </c>
      <c r="E113" s="356">
        <f t="shared" si="29"/>
        <v>213968.30018299806</v>
      </c>
      <c r="F113" s="355">
        <v>23589.816312430001</v>
      </c>
      <c r="G113" s="357">
        <f t="shared" si="26"/>
        <v>9.0703673716294855</v>
      </c>
      <c r="I113" s="358">
        <f t="shared" si="34"/>
        <v>122</v>
      </c>
      <c r="J113" s="352">
        <f t="shared" si="30"/>
        <v>2034</v>
      </c>
      <c r="K113" s="203">
        <f t="shared" si="33"/>
        <v>49065</v>
      </c>
      <c r="V113" s="333" t="str">
        <f t="shared" si="25"/>
        <v>Summer</v>
      </c>
      <c r="AA113" s="353">
        <f t="shared" si="27"/>
        <v>2.18E-2</v>
      </c>
      <c r="AB113" s="354">
        <f t="shared" si="31"/>
        <v>0</v>
      </c>
    </row>
    <row r="114" spans="2:28" ht="17.45" hidden="1" customHeight="1" outlineLevel="1">
      <c r="B114" s="203">
        <f t="shared" si="28"/>
        <v>49096</v>
      </c>
      <c r="C114" s="355">
        <v>427717.70832536276</v>
      </c>
      <c r="D114" s="356">
        <f>IF(ISNUMBER($F114),VLOOKUP($J114,'Table 1'!$B$13:$C$37,2,FALSE)/12*1000*Study_MW,"")</f>
        <v>0</v>
      </c>
      <c r="E114" s="356">
        <f t="shared" si="29"/>
        <v>427717.70832536276</v>
      </c>
      <c r="F114" s="355">
        <v>26753.026461529997</v>
      </c>
      <c r="G114" s="357">
        <f t="shared" si="26"/>
        <v>15.987638218816373</v>
      </c>
      <c r="I114" s="358">
        <f t="shared" si="34"/>
        <v>123</v>
      </c>
      <c r="J114" s="352">
        <f t="shared" si="30"/>
        <v>2034</v>
      </c>
      <c r="K114" s="203">
        <f t="shared" si="33"/>
        <v>49096</v>
      </c>
      <c r="V114" s="333" t="str">
        <f t="shared" si="25"/>
        <v>Summer</v>
      </c>
      <c r="AA114" s="353">
        <f t="shared" si="27"/>
        <v>2.18E-2</v>
      </c>
      <c r="AB114" s="354">
        <f t="shared" si="31"/>
        <v>0</v>
      </c>
    </row>
    <row r="115" spans="2:28" ht="17.45" hidden="1" customHeight="1" outlineLevel="1">
      <c r="B115" s="203">
        <f t="shared" si="28"/>
        <v>49126</v>
      </c>
      <c r="C115" s="355">
        <v>774112.56567739474</v>
      </c>
      <c r="D115" s="356">
        <f>IF(ISNUMBER($F115),VLOOKUP($J115,'Table 1'!$B$13:$C$37,2,FALSE)/12*1000*Study_MW,"")</f>
        <v>0</v>
      </c>
      <c r="E115" s="356">
        <f t="shared" si="29"/>
        <v>774112.56567739474</v>
      </c>
      <c r="F115" s="355">
        <v>24975.836557259994</v>
      </c>
      <c r="G115" s="357">
        <f t="shared" si="26"/>
        <v>30.994459941417865</v>
      </c>
      <c r="I115" s="358">
        <f t="shared" si="34"/>
        <v>124</v>
      </c>
      <c r="J115" s="352">
        <f t="shared" si="30"/>
        <v>2034</v>
      </c>
      <c r="K115" s="203">
        <f t="shared" si="33"/>
        <v>49126</v>
      </c>
      <c r="V115" s="333" t="str">
        <f t="shared" si="25"/>
        <v>Summer</v>
      </c>
      <c r="AA115" s="353">
        <f t="shared" si="27"/>
        <v>2.18E-2</v>
      </c>
      <c r="AB115" s="354">
        <f t="shared" si="31"/>
        <v>0</v>
      </c>
    </row>
    <row r="116" spans="2:28" ht="17.45" hidden="1" customHeight="1" outlineLevel="1">
      <c r="B116" s="203">
        <f t="shared" si="28"/>
        <v>49157</v>
      </c>
      <c r="C116" s="355">
        <v>771754.82868833933</v>
      </c>
      <c r="D116" s="356">
        <f>IF(ISNUMBER($F116),VLOOKUP($J116,'Table 1'!$B$13:$C$37,2,FALSE)/12*1000*Study_MW,"")</f>
        <v>0</v>
      </c>
      <c r="E116" s="356">
        <f t="shared" si="29"/>
        <v>771754.82868833933</v>
      </c>
      <c r="F116" s="355">
        <v>23013.554047219997</v>
      </c>
      <c r="G116" s="357">
        <f t="shared" si="26"/>
        <v>33.534795499418578</v>
      </c>
      <c r="I116" s="358">
        <f t="shared" si="34"/>
        <v>125</v>
      </c>
      <c r="J116" s="352">
        <f t="shared" si="30"/>
        <v>2034</v>
      </c>
      <c r="K116" s="203">
        <f t="shared" si="33"/>
        <v>49157</v>
      </c>
      <c r="V116" s="333" t="str">
        <f t="shared" si="25"/>
        <v>Summer</v>
      </c>
      <c r="AA116" s="353">
        <f t="shared" si="27"/>
        <v>2.18E-2</v>
      </c>
      <c r="AB116" s="354">
        <f t="shared" si="31"/>
        <v>0</v>
      </c>
    </row>
    <row r="117" spans="2:28" ht="17.45" hidden="1" customHeight="1" outlineLevel="1">
      <c r="B117" s="203">
        <f t="shared" si="28"/>
        <v>49188</v>
      </c>
      <c r="C117" s="355">
        <v>586552.55054309964</v>
      </c>
      <c r="D117" s="356">
        <f>IF(ISNUMBER($F117),VLOOKUP($J117,'Table 1'!$B$13:$C$37,2,FALSE)/12*1000*Study_MW,"")</f>
        <v>0</v>
      </c>
      <c r="E117" s="356">
        <f t="shared" si="29"/>
        <v>586552.55054309964</v>
      </c>
      <c r="F117" s="355">
        <v>18296.255054229994</v>
      </c>
      <c r="G117" s="357">
        <f t="shared" si="26"/>
        <v>32.058612475862482</v>
      </c>
      <c r="I117" s="358">
        <f t="shared" si="34"/>
        <v>126</v>
      </c>
      <c r="J117" s="352">
        <f t="shared" si="30"/>
        <v>2034</v>
      </c>
      <c r="K117" s="203">
        <f t="shared" si="33"/>
        <v>49188</v>
      </c>
      <c r="V117" s="333" t="str">
        <f t="shared" si="25"/>
        <v>Winter</v>
      </c>
      <c r="AA117" s="353">
        <f t="shared" si="27"/>
        <v>2.18E-2</v>
      </c>
      <c r="AB117" s="354">
        <f t="shared" si="31"/>
        <v>0</v>
      </c>
    </row>
    <row r="118" spans="2:28" ht="17.45" hidden="1" customHeight="1" outlineLevel="1">
      <c r="B118" s="203">
        <f t="shared" si="28"/>
        <v>49218</v>
      </c>
      <c r="C118" s="355">
        <v>274731.26160631364</v>
      </c>
      <c r="D118" s="356">
        <f>IF(ISNUMBER($F118),VLOOKUP($J118,'Table 1'!$B$13:$C$37,2,FALSE)/12*1000*Study_MW,"")</f>
        <v>0</v>
      </c>
      <c r="E118" s="356">
        <f t="shared" si="29"/>
        <v>274731.26160631364</v>
      </c>
      <c r="F118" s="355">
        <v>14685.00953299</v>
      </c>
      <c r="G118" s="357">
        <f t="shared" si="26"/>
        <v>18.708279418486416</v>
      </c>
      <c r="I118" s="358">
        <f t="shared" si="34"/>
        <v>127</v>
      </c>
      <c r="J118" s="352">
        <f t="shared" si="30"/>
        <v>2034</v>
      </c>
      <c r="K118" s="203">
        <f t="shared" si="33"/>
        <v>49218</v>
      </c>
      <c r="V118" s="333" t="str">
        <f t="shared" si="25"/>
        <v>Winter</v>
      </c>
      <c r="AA118" s="353">
        <f t="shared" si="27"/>
        <v>2.18E-2</v>
      </c>
      <c r="AB118" s="354">
        <f t="shared" si="31"/>
        <v>0</v>
      </c>
    </row>
    <row r="119" spans="2:28" ht="17.45" hidden="1" customHeight="1" outlineLevel="1">
      <c r="B119" s="203">
        <f t="shared" si="28"/>
        <v>49249</v>
      </c>
      <c r="C119" s="355">
        <v>269957.29704530642</v>
      </c>
      <c r="D119" s="356">
        <f>IF(ISNUMBER($F119),VLOOKUP($J119,'Table 1'!$B$13:$C$37,2,FALSE)/12*1000*Study_MW,"")</f>
        <v>0</v>
      </c>
      <c r="E119" s="356">
        <f t="shared" si="29"/>
        <v>269957.29704530642</v>
      </c>
      <c r="F119" s="355">
        <v>10535.578609</v>
      </c>
      <c r="G119" s="357">
        <f t="shared" si="26"/>
        <v>25.623395454967785</v>
      </c>
      <c r="I119" s="358">
        <f t="shared" si="34"/>
        <v>128</v>
      </c>
      <c r="J119" s="352">
        <f t="shared" si="30"/>
        <v>2034</v>
      </c>
      <c r="K119" s="203">
        <f t="shared" si="33"/>
        <v>49249</v>
      </c>
      <c r="V119" s="333" t="str">
        <f t="shared" si="25"/>
        <v>Winter</v>
      </c>
      <c r="AA119" s="353">
        <f t="shared" si="27"/>
        <v>2.18E-2</v>
      </c>
      <c r="AB119" s="354">
        <f t="shared" si="31"/>
        <v>0</v>
      </c>
    </row>
    <row r="120" spans="2:28" ht="17.45" hidden="1" customHeight="1" outlineLevel="1">
      <c r="B120" s="204">
        <f t="shared" si="28"/>
        <v>49279</v>
      </c>
      <c r="C120" s="362">
        <v>353376.41026204819</v>
      </c>
      <c r="D120" s="363">
        <f>IF(ISNUMBER($F120),VLOOKUP($J120,'Table 1'!$B$13:$C$37,2,FALSE)/12*1000*Study_MW,"")</f>
        <v>0</v>
      </c>
      <c r="E120" s="363">
        <f t="shared" si="29"/>
        <v>353376.41026204819</v>
      </c>
      <c r="F120" s="362">
        <v>7318.4821966806676</v>
      </c>
      <c r="G120" s="364">
        <f t="shared" si="26"/>
        <v>48.285477885335808</v>
      </c>
      <c r="I120" s="365">
        <f t="shared" si="34"/>
        <v>129</v>
      </c>
      <c r="J120" s="352">
        <f t="shared" si="30"/>
        <v>2034</v>
      </c>
      <c r="K120" s="204">
        <f t="shared" si="33"/>
        <v>49279</v>
      </c>
      <c r="V120" s="333" t="str">
        <f t="shared" si="25"/>
        <v>Winter</v>
      </c>
      <c r="AA120" s="353">
        <f t="shared" si="27"/>
        <v>2.18E-2</v>
      </c>
      <c r="AB120" s="354">
        <f t="shared" si="31"/>
        <v>0</v>
      </c>
    </row>
    <row r="121" spans="2:28" ht="17.45" hidden="1" customHeight="1" outlineLevel="1">
      <c r="B121" s="202">
        <f t="shared" si="28"/>
        <v>49310</v>
      </c>
      <c r="C121" s="346">
        <v>291265.90108837991</v>
      </c>
      <c r="D121" s="347">
        <f>IF(ISNUMBER($F121),VLOOKUP($J121,'Table 1'!$B$13:$C$37,2,FALSE)/12*1000*Study_MW,"")</f>
        <v>0</v>
      </c>
      <c r="E121" s="348">
        <f t="shared" si="29"/>
        <v>291265.90108837991</v>
      </c>
      <c r="F121" s="349">
        <v>7646.8428332099993</v>
      </c>
      <c r="G121" s="350">
        <f t="shared" si="26"/>
        <v>38.089693673763136</v>
      </c>
      <c r="I121" s="366">
        <f>I109+13</f>
        <v>131</v>
      </c>
      <c r="J121" s="352">
        <f t="shared" si="30"/>
        <v>2035</v>
      </c>
      <c r="K121" s="202">
        <f t="shared" si="33"/>
        <v>49310</v>
      </c>
      <c r="V121" s="333" t="str">
        <f t="shared" si="25"/>
        <v>Winter</v>
      </c>
      <c r="AA121" s="353">
        <f t="shared" si="27"/>
        <v>2.18E-2</v>
      </c>
      <c r="AB121" s="354">
        <f t="shared" si="31"/>
        <v>0</v>
      </c>
    </row>
    <row r="122" spans="2:28" ht="17.45" hidden="1" customHeight="1" outlineLevel="1">
      <c r="B122" s="203">
        <f t="shared" si="28"/>
        <v>49341</v>
      </c>
      <c r="C122" s="355">
        <v>238335.93931644282</v>
      </c>
      <c r="D122" s="356">
        <f>IF(ISNUMBER($F122),VLOOKUP($J122,'Table 1'!$B$13:$C$37,2,FALSE)/12*1000*Study_MW,"")</f>
        <v>0</v>
      </c>
      <c r="E122" s="356">
        <f t="shared" si="29"/>
        <v>238335.93931644282</v>
      </c>
      <c r="F122" s="355">
        <v>12759.288557919997</v>
      </c>
      <c r="G122" s="357">
        <f t="shared" si="26"/>
        <v>18.67940663262937</v>
      </c>
      <c r="I122" s="358">
        <f t="shared" ref="I122:I185" si="35">I110+13</f>
        <v>132</v>
      </c>
      <c r="J122" s="352">
        <f t="shared" si="30"/>
        <v>2035</v>
      </c>
      <c r="K122" s="203">
        <f t="shared" si="33"/>
        <v>49341</v>
      </c>
      <c r="V122" s="333" t="str">
        <f t="shared" si="25"/>
        <v>Winter</v>
      </c>
      <c r="AA122" s="353">
        <f t="shared" si="27"/>
        <v>2.18E-2</v>
      </c>
      <c r="AB122" s="354">
        <f t="shared" si="31"/>
        <v>0</v>
      </c>
    </row>
    <row r="123" spans="2:28" ht="17.45" hidden="1" customHeight="1" outlineLevel="1">
      <c r="B123" s="203">
        <f t="shared" si="28"/>
        <v>49369</v>
      </c>
      <c r="C123" s="355">
        <v>142308.59122524271</v>
      </c>
      <c r="D123" s="356">
        <f>IF(ISNUMBER($F123),VLOOKUP($J123,'Table 1'!$B$13:$C$37,2,FALSE)/12*1000*Study_MW,"")</f>
        <v>0</v>
      </c>
      <c r="E123" s="356">
        <f t="shared" si="29"/>
        <v>142308.59122524271</v>
      </c>
      <c r="F123" s="355">
        <v>15495.196357900004</v>
      </c>
      <c r="G123" s="357">
        <f t="shared" si="26"/>
        <v>9.1840456834668451</v>
      </c>
      <c r="I123" s="358">
        <f t="shared" si="35"/>
        <v>133</v>
      </c>
      <c r="J123" s="352">
        <f t="shared" si="30"/>
        <v>2035</v>
      </c>
      <c r="K123" s="203">
        <f t="shared" si="33"/>
        <v>49369</v>
      </c>
      <c r="V123" s="333" t="str">
        <f t="shared" si="25"/>
        <v>Winter</v>
      </c>
      <c r="AA123" s="353">
        <f t="shared" si="27"/>
        <v>2.18E-2</v>
      </c>
      <c r="AB123" s="354">
        <f t="shared" si="31"/>
        <v>0</v>
      </c>
    </row>
    <row r="124" spans="2:28" ht="17.45" hidden="1" customHeight="1" outlineLevel="1">
      <c r="B124" s="203">
        <f t="shared" si="28"/>
        <v>49400</v>
      </c>
      <c r="C124" s="355">
        <v>96655.556733734556</v>
      </c>
      <c r="D124" s="356">
        <f>IF(ISNUMBER($F124),VLOOKUP($J124,'Table 1'!$B$13:$C$37,2,FALSE)/12*1000*Study_MW,"")</f>
        <v>0</v>
      </c>
      <c r="E124" s="356">
        <f t="shared" si="29"/>
        <v>96655.556733734556</v>
      </c>
      <c r="F124" s="355">
        <v>18714.974504180002</v>
      </c>
      <c r="G124" s="357">
        <f t="shared" si="26"/>
        <v>5.1646106550744415</v>
      </c>
      <c r="I124" s="358">
        <f t="shared" si="35"/>
        <v>134</v>
      </c>
      <c r="J124" s="352">
        <f t="shared" si="30"/>
        <v>2035</v>
      </c>
      <c r="K124" s="203">
        <f t="shared" si="33"/>
        <v>49400</v>
      </c>
      <c r="V124" s="333" t="str">
        <f t="shared" si="25"/>
        <v>Winter</v>
      </c>
      <c r="AA124" s="353">
        <f t="shared" si="27"/>
        <v>2.18E-2</v>
      </c>
      <c r="AB124" s="354">
        <f t="shared" si="31"/>
        <v>0</v>
      </c>
    </row>
    <row r="125" spans="2:28" ht="17.45" hidden="1" customHeight="1" outlineLevel="1">
      <c r="B125" s="203">
        <f t="shared" si="28"/>
        <v>49430</v>
      </c>
      <c r="C125" s="355">
        <v>240902.88481845346</v>
      </c>
      <c r="D125" s="356">
        <f>IF(ISNUMBER($F125),VLOOKUP($J125,'Table 1'!$B$13:$C$37,2,FALSE)/12*1000*Study_MW,"")</f>
        <v>0</v>
      </c>
      <c r="E125" s="356">
        <f t="shared" si="29"/>
        <v>240902.88481845346</v>
      </c>
      <c r="F125" s="355">
        <v>23394.603474249998</v>
      </c>
      <c r="G125" s="357">
        <f t="shared" si="26"/>
        <v>10.297369864960984</v>
      </c>
      <c r="I125" s="358">
        <f t="shared" si="35"/>
        <v>135</v>
      </c>
      <c r="J125" s="352">
        <f t="shared" si="30"/>
        <v>2035</v>
      </c>
      <c r="K125" s="203">
        <f t="shared" si="33"/>
        <v>49430</v>
      </c>
      <c r="V125" s="333" t="str">
        <f t="shared" si="25"/>
        <v>Summer</v>
      </c>
      <c r="AA125" s="353">
        <f t="shared" si="27"/>
        <v>2.18E-2</v>
      </c>
      <c r="AB125" s="354">
        <f t="shared" si="31"/>
        <v>0</v>
      </c>
    </row>
    <row r="126" spans="2:28" ht="17.45" hidden="1" customHeight="1" outlineLevel="1">
      <c r="B126" s="203">
        <f t="shared" si="28"/>
        <v>49461</v>
      </c>
      <c r="C126" s="355">
        <v>478204.9961387529</v>
      </c>
      <c r="D126" s="356">
        <f>IF(ISNUMBER($F126),VLOOKUP($J126,'Table 1'!$B$13:$C$37,2,FALSE)/12*1000*Study_MW,"")</f>
        <v>0</v>
      </c>
      <c r="E126" s="356">
        <f t="shared" si="29"/>
        <v>478204.9961387529</v>
      </c>
      <c r="F126" s="355">
        <v>26739.788066469999</v>
      </c>
      <c r="G126" s="357">
        <f t="shared" si="26"/>
        <v>17.883649449652584</v>
      </c>
      <c r="I126" s="358">
        <f t="shared" si="35"/>
        <v>136</v>
      </c>
      <c r="J126" s="352">
        <f t="shared" si="30"/>
        <v>2035</v>
      </c>
      <c r="K126" s="203">
        <f t="shared" si="33"/>
        <v>49461</v>
      </c>
      <c r="V126" s="333" t="str">
        <f t="shared" si="25"/>
        <v>Summer</v>
      </c>
      <c r="AA126" s="353">
        <f t="shared" si="27"/>
        <v>2.18E-2</v>
      </c>
      <c r="AB126" s="354">
        <f t="shared" si="31"/>
        <v>0</v>
      </c>
    </row>
    <row r="127" spans="2:28" ht="17.45" hidden="1" customHeight="1" outlineLevel="1">
      <c r="B127" s="203">
        <f t="shared" si="28"/>
        <v>49491</v>
      </c>
      <c r="C127" s="355">
        <v>874220.29849299719</v>
      </c>
      <c r="D127" s="356">
        <f>IF(ISNUMBER($F127),VLOOKUP($J127,'Table 1'!$B$13:$C$37,2,FALSE)/12*1000*Study_MW,"")</f>
        <v>0</v>
      </c>
      <c r="E127" s="356">
        <f t="shared" si="29"/>
        <v>874220.29849299719</v>
      </c>
      <c r="F127" s="355">
        <v>24794.332414159991</v>
      </c>
      <c r="G127" s="357">
        <f t="shared" si="26"/>
        <v>35.258876258097267</v>
      </c>
      <c r="I127" s="358">
        <f t="shared" si="35"/>
        <v>137</v>
      </c>
      <c r="J127" s="352">
        <f t="shared" si="30"/>
        <v>2035</v>
      </c>
      <c r="K127" s="203">
        <f t="shared" si="33"/>
        <v>49491</v>
      </c>
      <c r="V127" s="333" t="str">
        <f t="shared" si="25"/>
        <v>Summer</v>
      </c>
      <c r="AA127" s="353">
        <f t="shared" si="27"/>
        <v>2.18E-2</v>
      </c>
      <c r="AB127" s="354">
        <f t="shared" si="31"/>
        <v>0</v>
      </c>
    </row>
    <row r="128" spans="2:28" ht="17.45" hidden="1" customHeight="1" outlineLevel="1">
      <c r="B128" s="203">
        <f t="shared" si="28"/>
        <v>49522</v>
      </c>
      <c r="C128" s="355">
        <v>711669.38472507894</v>
      </c>
      <c r="D128" s="356">
        <f>IF(ISNUMBER($F128),VLOOKUP($J128,'Table 1'!$B$13:$C$37,2,FALSE)/12*1000*Study_MW,"")</f>
        <v>0</v>
      </c>
      <c r="E128" s="356">
        <f t="shared" si="29"/>
        <v>711669.38472507894</v>
      </c>
      <c r="F128" s="355">
        <v>22622.27805085</v>
      </c>
      <c r="G128" s="357">
        <f t="shared" si="26"/>
        <v>31.458785146456062</v>
      </c>
      <c r="I128" s="358">
        <f t="shared" si="35"/>
        <v>138</v>
      </c>
      <c r="J128" s="352">
        <f t="shared" si="30"/>
        <v>2035</v>
      </c>
      <c r="K128" s="203">
        <f t="shared" si="33"/>
        <v>49522</v>
      </c>
      <c r="V128" s="333" t="str">
        <f t="shared" si="25"/>
        <v>Summer</v>
      </c>
      <c r="AA128" s="353">
        <f t="shared" si="27"/>
        <v>2.18E-2</v>
      </c>
      <c r="AB128" s="354">
        <f t="shared" si="31"/>
        <v>0</v>
      </c>
    </row>
    <row r="129" spans="2:28" ht="17.45" hidden="1" customHeight="1" outlineLevel="1">
      <c r="B129" s="203">
        <f t="shared" si="28"/>
        <v>49553</v>
      </c>
      <c r="C129" s="355">
        <v>548962.73157688114</v>
      </c>
      <c r="D129" s="356">
        <f>IF(ISNUMBER($F129),VLOOKUP($J129,'Table 1'!$B$13:$C$37,2,FALSE)/12*1000*Study_MW,"")</f>
        <v>0</v>
      </c>
      <c r="E129" s="356">
        <f t="shared" si="29"/>
        <v>548962.73157688114</v>
      </c>
      <c r="F129" s="355">
        <v>18290.237560609996</v>
      </c>
      <c r="G129" s="357">
        <f t="shared" si="26"/>
        <v>30.013974928304471</v>
      </c>
      <c r="I129" s="358">
        <f t="shared" si="35"/>
        <v>139</v>
      </c>
      <c r="J129" s="352">
        <f t="shared" si="30"/>
        <v>2035</v>
      </c>
      <c r="K129" s="203">
        <f t="shared" si="33"/>
        <v>49553</v>
      </c>
      <c r="V129" s="333" t="str">
        <f t="shared" si="25"/>
        <v>Winter</v>
      </c>
      <c r="AA129" s="353">
        <f t="shared" si="27"/>
        <v>2.18E-2</v>
      </c>
      <c r="AB129" s="354">
        <f t="shared" si="31"/>
        <v>0</v>
      </c>
    </row>
    <row r="130" spans="2:28" ht="17.45" hidden="1" customHeight="1" outlineLevel="1">
      <c r="B130" s="203">
        <f t="shared" si="28"/>
        <v>49583</v>
      </c>
      <c r="C130" s="355">
        <v>202224.5450966293</v>
      </c>
      <c r="D130" s="356">
        <f>IF(ISNUMBER($F130),VLOOKUP($J130,'Table 1'!$B$13:$C$37,2,FALSE)/12*1000*Study_MW,"")</f>
        <v>0</v>
      </c>
      <c r="E130" s="356">
        <f t="shared" si="29"/>
        <v>202224.5450966293</v>
      </c>
      <c r="F130" s="355">
        <v>14270.265580369998</v>
      </c>
      <c r="G130" s="357">
        <f t="shared" si="26"/>
        <v>14.171042855348599</v>
      </c>
      <c r="I130" s="358">
        <f t="shared" si="35"/>
        <v>140</v>
      </c>
      <c r="J130" s="352">
        <f t="shared" si="30"/>
        <v>2035</v>
      </c>
      <c r="K130" s="203">
        <f t="shared" si="33"/>
        <v>49583</v>
      </c>
      <c r="V130" s="333" t="str">
        <f t="shared" si="25"/>
        <v>Winter</v>
      </c>
      <c r="AA130" s="353">
        <f t="shared" si="27"/>
        <v>2.18E-2</v>
      </c>
      <c r="AB130" s="354">
        <f t="shared" si="31"/>
        <v>0</v>
      </c>
    </row>
    <row r="131" spans="2:28" ht="17.45" hidden="1" customHeight="1" outlineLevel="1">
      <c r="B131" s="203">
        <f t="shared" si="28"/>
        <v>49614</v>
      </c>
      <c r="C131" s="355">
        <v>377059.18661058421</v>
      </c>
      <c r="D131" s="356">
        <f>IF(ISNUMBER($F131),VLOOKUP($J131,'Table 1'!$B$13:$C$37,2,FALSE)/12*1000*Study_MW,"")</f>
        <v>0</v>
      </c>
      <c r="E131" s="356">
        <f t="shared" si="29"/>
        <v>377059.18661058421</v>
      </c>
      <c r="F131" s="355">
        <v>10339.412692370001</v>
      </c>
      <c r="G131" s="357">
        <f t="shared" si="26"/>
        <v>36.468143581195491</v>
      </c>
      <c r="I131" s="358">
        <f t="shared" si="35"/>
        <v>141</v>
      </c>
      <c r="J131" s="352">
        <f t="shared" si="30"/>
        <v>2035</v>
      </c>
      <c r="K131" s="203">
        <f t="shared" si="33"/>
        <v>49614</v>
      </c>
      <c r="V131" s="333" t="str">
        <f t="shared" si="25"/>
        <v>Winter</v>
      </c>
      <c r="AA131" s="353">
        <f t="shared" si="27"/>
        <v>2.18E-2</v>
      </c>
      <c r="AB131" s="354">
        <f t="shared" si="31"/>
        <v>0</v>
      </c>
    </row>
    <row r="132" spans="2:28" ht="17.45" hidden="1" customHeight="1" outlineLevel="1">
      <c r="B132" s="204">
        <f t="shared" si="28"/>
        <v>49644</v>
      </c>
      <c r="C132" s="362">
        <v>359479.45272381819</v>
      </c>
      <c r="D132" s="363">
        <f>IF(ISNUMBER($F132),VLOOKUP($J132,'Table 1'!$B$13:$C$37,2,FALSE)/12*1000*Study_MW,"")</f>
        <v>0</v>
      </c>
      <c r="E132" s="363">
        <f t="shared" si="29"/>
        <v>359479.45272381819</v>
      </c>
      <c r="F132" s="362">
        <v>7175.6733908073347</v>
      </c>
      <c r="G132" s="364">
        <f t="shared" si="26"/>
        <v>50.096964165668801</v>
      </c>
      <c r="I132" s="365">
        <f t="shared" si="35"/>
        <v>142</v>
      </c>
      <c r="J132" s="352">
        <f t="shared" si="30"/>
        <v>2035</v>
      </c>
      <c r="K132" s="204">
        <f t="shared" si="33"/>
        <v>49644</v>
      </c>
      <c r="V132" s="333" t="str">
        <f t="shared" si="25"/>
        <v>Winter</v>
      </c>
      <c r="AA132" s="353">
        <f t="shared" si="27"/>
        <v>2.18E-2</v>
      </c>
      <c r="AB132" s="354">
        <f t="shared" si="31"/>
        <v>0</v>
      </c>
    </row>
    <row r="133" spans="2:28" ht="17.45" hidden="1" customHeight="1" outlineLevel="1">
      <c r="B133" s="202">
        <f t="shared" si="28"/>
        <v>49675</v>
      </c>
      <c r="C133" s="346">
        <v>242238.21664149</v>
      </c>
      <c r="D133" s="347">
        <f>IF(ISNUMBER($F133),VLOOKUP($J133,'Table 1'!$B$13:$C$37,2,FALSE)/12*1000*Study_MW,"")</f>
        <v>0</v>
      </c>
      <c r="E133" s="348">
        <f t="shared" si="29"/>
        <v>242238.21664149</v>
      </c>
      <c r="F133" s="349">
        <v>7716.3421909200006</v>
      </c>
      <c r="G133" s="350">
        <f t="shared" si="26"/>
        <v>31.392881581448961</v>
      </c>
      <c r="I133" s="366">
        <f t="shared" si="35"/>
        <v>144</v>
      </c>
      <c r="J133" s="352">
        <f t="shared" si="30"/>
        <v>2036</v>
      </c>
      <c r="K133" s="202">
        <f t="shared" si="33"/>
        <v>49675</v>
      </c>
      <c r="V133" s="333" t="str">
        <f t="shared" si="25"/>
        <v>Winter</v>
      </c>
      <c r="AA133" s="353">
        <f t="shared" si="27"/>
        <v>2.18E-2</v>
      </c>
      <c r="AB133" s="354">
        <f t="shared" si="31"/>
        <v>0</v>
      </c>
    </row>
    <row r="134" spans="2:28" ht="17.45" hidden="1" customHeight="1" outlineLevel="1">
      <c r="B134" s="203">
        <f t="shared" si="28"/>
        <v>49706</v>
      </c>
      <c r="C134" s="355">
        <v>250637.34537907294</v>
      </c>
      <c r="D134" s="356">
        <f>IF(ISNUMBER($F134),VLOOKUP($J134,'Table 1'!$B$13:$C$37,2,FALSE)/12*1000*Study_MW,"")</f>
        <v>0</v>
      </c>
      <c r="E134" s="356">
        <f t="shared" si="29"/>
        <v>250637.34537907294</v>
      </c>
      <c r="F134" s="355">
        <v>12701.320669059998</v>
      </c>
      <c r="G134" s="357">
        <f t="shared" si="26"/>
        <v>19.73317199916205</v>
      </c>
      <c r="I134" s="358">
        <f t="shared" si="35"/>
        <v>145</v>
      </c>
      <c r="J134" s="352">
        <f t="shared" si="30"/>
        <v>2036</v>
      </c>
      <c r="K134" s="203">
        <f t="shared" si="33"/>
        <v>49706</v>
      </c>
      <c r="V134" s="333" t="str">
        <f t="shared" si="25"/>
        <v>Winter</v>
      </c>
      <c r="AA134" s="353">
        <f t="shared" si="27"/>
        <v>2.18E-2</v>
      </c>
      <c r="AB134" s="354">
        <f t="shared" si="31"/>
        <v>0</v>
      </c>
    </row>
    <row r="135" spans="2:28" ht="17.45" hidden="1" customHeight="1" outlineLevel="1">
      <c r="B135" s="203">
        <f t="shared" si="28"/>
        <v>49735</v>
      </c>
      <c r="C135" s="355">
        <v>122901.56081026362</v>
      </c>
      <c r="D135" s="356">
        <f>IF(ISNUMBER($F135),VLOOKUP($J135,'Table 1'!$B$13:$C$37,2,FALSE)/12*1000*Study_MW,"")</f>
        <v>0</v>
      </c>
      <c r="E135" s="356">
        <f t="shared" si="29"/>
        <v>122901.56081026362</v>
      </c>
      <c r="F135" s="355">
        <v>16355.297889749998</v>
      </c>
      <c r="G135" s="357">
        <f t="shared" si="26"/>
        <v>7.5144801176190779</v>
      </c>
      <c r="I135" s="358">
        <f t="shared" si="35"/>
        <v>146</v>
      </c>
      <c r="J135" s="352">
        <f t="shared" si="30"/>
        <v>2036</v>
      </c>
      <c r="K135" s="203">
        <f t="shared" si="33"/>
        <v>49735</v>
      </c>
      <c r="V135" s="333" t="str">
        <f t="shared" si="25"/>
        <v>Winter</v>
      </c>
      <c r="AA135" s="353">
        <f t="shared" si="27"/>
        <v>2.18E-2</v>
      </c>
      <c r="AB135" s="354">
        <f t="shared" si="31"/>
        <v>0</v>
      </c>
    </row>
    <row r="136" spans="2:28" ht="17.45" hidden="1" customHeight="1" outlineLevel="1">
      <c r="B136" s="203">
        <f t="shared" si="28"/>
        <v>49766</v>
      </c>
      <c r="C136" s="355">
        <v>121465.79733749968</v>
      </c>
      <c r="D136" s="356">
        <f>IF(ISNUMBER($F136),VLOOKUP($J136,'Table 1'!$B$13:$C$37,2,FALSE)/12*1000*Study_MW,"")</f>
        <v>0</v>
      </c>
      <c r="E136" s="356">
        <f t="shared" si="29"/>
        <v>121465.79733749968</v>
      </c>
      <c r="F136" s="355">
        <v>18844.34932514</v>
      </c>
      <c r="G136" s="357">
        <f t="shared" si="26"/>
        <v>6.4457411206792772</v>
      </c>
      <c r="I136" s="358">
        <f t="shared" si="35"/>
        <v>147</v>
      </c>
      <c r="J136" s="352">
        <f t="shared" si="30"/>
        <v>2036</v>
      </c>
      <c r="K136" s="203">
        <f t="shared" si="33"/>
        <v>49766</v>
      </c>
      <c r="V136" s="333" t="str">
        <f t="shared" si="25"/>
        <v>Winter</v>
      </c>
      <c r="AA136" s="353">
        <f t="shared" si="27"/>
        <v>2.18E-2</v>
      </c>
      <c r="AB136" s="354">
        <f t="shared" si="31"/>
        <v>0</v>
      </c>
    </row>
    <row r="137" spans="2:28" ht="17.45" hidden="1" customHeight="1" outlineLevel="1">
      <c r="B137" s="203">
        <f t="shared" si="28"/>
        <v>49796</v>
      </c>
      <c r="C137" s="355">
        <v>253838.60280569934</v>
      </c>
      <c r="D137" s="356">
        <f>IF(ISNUMBER($F137),VLOOKUP($J137,'Table 1'!$B$13:$C$37,2,FALSE)/12*1000*Study_MW,"")</f>
        <v>0</v>
      </c>
      <c r="E137" s="356">
        <f t="shared" si="29"/>
        <v>253838.60280569934</v>
      </c>
      <c r="F137" s="355">
        <v>23559.963965020008</v>
      </c>
      <c r="G137" s="357">
        <f t="shared" si="26"/>
        <v>10.774150723769317</v>
      </c>
      <c r="I137" s="358">
        <f t="shared" si="35"/>
        <v>148</v>
      </c>
      <c r="J137" s="352">
        <f t="shared" si="30"/>
        <v>2036</v>
      </c>
      <c r="K137" s="203">
        <f t="shared" si="33"/>
        <v>49796</v>
      </c>
      <c r="V137" s="333" t="str">
        <f t="shared" si="25"/>
        <v>Summer</v>
      </c>
      <c r="AA137" s="353">
        <f t="shared" si="27"/>
        <v>2.18E-2</v>
      </c>
      <c r="AB137" s="354">
        <f t="shared" si="31"/>
        <v>0</v>
      </c>
    </row>
    <row r="138" spans="2:28" ht="17.45" hidden="1" customHeight="1" outlineLevel="1">
      <c r="B138" s="203">
        <f t="shared" si="28"/>
        <v>49827</v>
      </c>
      <c r="C138" s="355">
        <v>490558.82037639094</v>
      </c>
      <c r="D138" s="356">
        <f>IF(ISNUMBER($F138),VLOOKUP($J138,'Table 1'!$B$13:$C$37,2,FALSE)/12*1000*Study_MW,"")</f>
        <v>0</v>
      </c>
      <c r="E138" s="356">
        <f t="shared" si="29"/>
        <v>490558.82037639094</v>
      </c>
      <c r="F138" s="355">
        <v>26102.379508470007</v>
      </c>
      <c r="G138" s="357">
        <f t="shared" si="26"/>
        <v>18.793643706590377</v>
      </c>
      <c r="I138" s="358">
        <f t="shared" si="35"/>
        <v>149</v>
      </c>
      <c r="J138" s="352">
        <f t="shared" si="30"/>
        <v>2036</v>
      </c>
      <c r="K138" s="203">
        <f t="shared" si="33"/>
        <v>49827</v>
      </c>
      <c r="V138" s="333" t="str">
        <f t="shared" si="25"/>
        <v>Summer</v>
      </c>
      <c r="AA138" s="353">
        <f t="shared" si="27"/>
        <v>2.18E-2</v>
      </c>
      <c r="AB138" s="354">
        <f t="shared" si="31"/>
        <v>0</v>
      </c>
    </row>
    <row r="139" spans="2:28" ht="17.45" hidden="1" customHeight="1" outlineLevel="1">
      <c r="B139" s="203">
        <f t="shared" si="28"/>
        <v>49857</v>
      </c>
      <c r="C139" s="355">
        <v>911082.90772603138</v>
      </c>
      <c r="D139" s="356">
        <f>IF(ISNUMBER($F139),VLOOKUP($J139,'Table 1'!$B$13:$C$37,2,FALSE)/12*1000*Study_MW,"")</f>
        <v>0</v>
      </c>
      <c r="E139" s="356">
        <f t="shared" si="29"/>
        <v>911082.90772603138</v>
      </c>
      <c r="F139" s="355">
        <v>24891.637666679999</v>
      </c>
      <c r="G139" s="357">
        <f t="shared" si="26"/>
        <v>36.601967292236822</v>
      </c>
      <c r="I139" s="358">
        <f t="shared" si="35"/>
        <v>150</v>
      </c>
      <c r="J139" s="352">
        <f t="shared" si="30"/>
        <v>2036</v>
      </c>
      <c r="K139" s="203">
        <f t="shared" si="33"/>
        <v>49857</v>
      </c>
      <c r="V139" s="333" t="str">
        <f t="shared" si="25"/>
        <v>Summer</v>
      </c>
      <c r="AA139" s="353">
        <f t="shared" si="27"/>
        <v>2.18E-2</v>
      </c>
      <c r="AB139" s="354">
        <f t="shared" si="31"/>
        <v>0</v>
      </c>
    </row>
    <row r="140" spans="2:28" ht="17.45" hidden="1" customHeight="1" outlineLevel="1">
      <c r="B140" s="203">
        <f t="shared" si="28"/>
        <v>49888</v>
      </c>
      <c r="C140" s="355">
        <v>824105.17333418829</v>
      </c>
      <c r="D140" s="356">
        <f>IF(ISNUMBER($F140),VLOOKUP($J140,'Table 1'!$B$13:$C$37,2,FALSE)/12*1000*Study_MW,"")</f>
        <v>0</v>
      </c>
      <c r="E140" s="356">
        <f t="shared" si="29"/>
        <v>824105.17333418829</v>
      </c>
      <c r="F140" s="355">
        <v>22536.343237880003</v>
      </c>
      <c r="G140" s="357">
        <f t="shared" si="26"/>
        <v>36.567830221408713</v>
      </c>
      <c r="I140" s="358">
        <f t="shared" si="35"/>
        <v>151</v>
      </c>
      <c r="J140" s="352">
        <f t="shared" si="30"/>
        <v>2036</v>
      </c>
      <c r="K140" s="203">
        <f t="shared" si="33"/>
        <v>49888</v>
      </c>
      <c r="V140" s="333" t="str">
        <f t="shared" ref="V140:V203" si="36">IFERROR(IF(AND(MONTH(K141)&gt;=6,MONTH(K141)&lt;=9),"Summer","Winter"),"-")</f>
        <v>Summer</v>
      </c>
      <c r="AA140" s="353">
        <f t="shared" si="27"/>
        <v>2.18E-2</v>
      </c>
      <c r="AB140" s="354">
        <f t="shared" si="31"/>
        <v>0</v>
      </c>
    </row>
    <row r="141" spans="2:28" ht="17.45" hidden="1" customHeight="1" outlineLevel="1">
      <c r="B141" s="203">
        <f t="shared" si="28"/>
        <v>49919</v>
      </c>
      <c r="C141" s="355">
        <v>555381.64654446521</v>
      </c>
      <c r="D141" s="356">
        <f>IF(ISNUMBER($F141),VLOOKUP($J141,'Table 1'!$B$13:$C$37,2,FALSE)/12*1000*Study_MW,"")</f>
        <v>0</v>
      </c>
      <c r="E141" s="356">
        <f t="shared" si="29"/>
        <v>555381.64654446521</v>
      </c>
      <c r="F141" s="355">
        <v>17886.132610019999</v>
      </c>
      <c r="G141" s="357">
        <f t="shared" ref="G141:G204" si="37">IF(ISNUMBER($F141),E141/$F141,"")</f>
        <v>31.050963260405137</v>
      </c>
      <c r="I141" s="358">
        <f t="shared" si="35"/>
        <v>152</v>
      </c>
      <c r="J141" s="352">
        <f t="shared" si="30"/>
        <v>2036</v>
      </c>
      <c r="K141" s="203">
        <f t="shared" si="33"/>
        <v>49919</v>
      </c>
      <c r="V141" s="333" t="str">
        <f t="shared" si="36"/>
        <v>Winter</v>
      </c>
      <c r="AA141" s="353">
        <f t="shared" ref="AA141:AA204" si="38">Inflation</f>
        <v>2.18E-2</v>
      </c>
      <c r="AB141" s="354">
        <f t="shared" si="31"/>
        <v>0</v>
      </c>
    </row>
    <row r="142" spans="2:28" ht="17.45" hidden="1" customHeight="1" outlineLevel="1">
      <c r="B142" s="203">
        <f t="shared" ref="B142:B205" si="39">EDATE(B141,1)</f>
        <v>49949</v>
      </c>
      <c r="C142" s="355">
        <v>261753.93700692803</v>
      </c>
      <c r="D142" s="356">
        <f>IF(ISNUMBER($F142),VLOOKUP($J142,'Table 1'!$B$13:$C$37,2,FALSE)/12*1000*Study_MW,"")</f>
        <v>0</v>
      </c>
      <c r="E142" s="356">
        <f t="shared" ref="E142:E205" si="40">IF(ISNUMBER(C142+D142),C142+D142,"")</f>
        <v>261753.93700692803</v>
      </c>
      <c r="F142" s="355">
        <v>13877.004678060004</v>
      </c>
      <c r="G142" s="357">
        <f t="shared" si="37"/>
        <v>18.862423345635207</v>
      </c>
      <c r="I142" s="358">
        <f t="shared" si="35"/>
        <v>153</v>
      </c>
      <c r="J142" s="352">
        <f t="shared" ref="J142:J192" si="41">YEAR(B142)</f>
        <v>2036</v>
      </c>
      <c r="K142" s="203">
        <f t="shared" si="33"/>
        <v>49949</v>
      </c>
      <c r="V142" s="333" t="str">
        <f t="shared" si="36"/>
        <v>Winter</v>
      </c>
      <c r="AA142" s="353">
        <f t="shared" si="38"/>
        <v>2.18E-2</v>
      </c>
      <c r="AB142" s="354">
        <f t="shared" ref="AB142:AB205" si="42">IF($AB$8="Solar",IFERROR(IF(J142&gt;$AD$1,-0.005,0),AB130),0)</f>
        <v>0</v>
      </c>
    </row>
    <row r="143" spans="2:28" ht="17.45" hidden="1" customHeight="1" outlineLevel="1">
      <c r="B143" s="203">
        <f t="shared" si="39"/>
        <v>49980</v>
      </c>
      <c r="C143" s="355">
        <v>281819.05910952808</v>
      </c>
      <c r="D143" s="356">
        <f>IF(ISNUMBER($F143),VLOOKUP($J143,'Table 1'!$B$13:$C$37,2,FALSE)/12*1000*Study_MW,"")</f>
        <v>0</v>
      </c>
      <c r="E143" s="356">
        <f t="shared" si="40"/>
        <v>281819.05910952808</v>
      </c>
      <c r="F143" s="355">
        <v>9684.1820242100002</v>
      </c>
      <c r="G143" s="357">
        <f t="shared" si="37"/>
        <v>29.10096675227641</v>
      </c>
      <c r="I143" s="358">
        <f t="shared" si="35"/>
        <v>154</v>
      </c>
      <c r="J143" s="352">
        <f t="shared" si="41"/>
        <v>2036</v>
      </c>
      <c r="K143" s="203">
        <f t="shared" si="33"/>
        <v>49980</v>
      </c>
      <c r="V143" s="333" t="str">
        <f t="shared" si="36"/>
        <v>Winter</v>
      </c>
      <c r="AA143" s="353">
        <f t="shared" si="38"/>
        <v>2.18E-2</v>
      </c>
      <c r="AB143" s="354">
        <f t="shared" si="42"/>
        <v>0</v>
      </c>
    </row>
    <row r="144" spans="2:28" ht="17.45" hidden="1" customHeight="1" outlineLevel="1">
      <c r="B144" s="204">
        <f t="shared" si="39"/>
        <v>50010</v>
      </c>
      <c r="C144" s="362">
        <v>359919.948788432</v>
      </c>
      <c r="D144" s="363">
        <f>IF(ISNUMBER($F144),VLOOKUP($J144,'Table 1'!$B$13:$C$37,2,FALSE)/12*1000*Study_MW,"")</f>
        <v>0</v>
      </c>
      <c r="E144" s="363">
        <f t="shared" si="40"/>
        <v>359919.948788432</v>
      </c>
      <c r="F144" s="362">
        <v>7223.6981485413799</v>
      </c>
      <c r="G144" s="364">
        <f t="shared" si="37"/>
        <v>49.824887666590499</v>
      </c>
      <c r="I144" s="365">
        <f t="shared" si="35"/>
        <v>155</v>
      </c>
      <c r="J144" s="352">
        <f t="shared" si="41"/>
        <v>2036</v>
      </c>
      <c r="K144" s="204">
        <f t="shared" si="33"/>
        <v>50010</v>
      </c>
      <c r="V144" s="333" t="str">
        <f t="shared" si="36"/>
        <v>Winter</v>
      </c>
      <c r="AA144" s="353">
        <f t="shared" si="38"/>
        <v>2.18E-2</v>
      </c>
      <c r="AB144" s="354">
        <f t="shared" si="42"/>
        <v>0</v>
      </c>
    </row>
    <row r="145" spans="2:28" ht="17.45" hidden="1" customHeight="1" outlineLevel="1">
      <c r="B145" s="202">
        <f t="shared" si="39"/>
        <v>50041</v>
      </c>
      <c r="C145" s="346">
        <v>296105.81223976624</v>
      </c>
      <c r="D145" s="347">
        <f>IF(ISNUMBER($F145),VLOOKUP($J145,'Table 1'!$B$13:$C$37,2,FALSE)/12*1000*Study_MW,"")</f>
        <v>0</v>
      </c>
      <c r="E145" s="348">
        <f t="shared" si="40"/>
        <v>296105.81223976624</v>
      </c>
      <c r="F145" s="349">
        <v>7540.3627766799991</v>
      </c>
      <c r="G145" s="350">
        <f t="shared" si="37"/>
        <v>39.26943848849416</v>
      </c>
      <c r="I145" s="366">
        <f t="shared" si="35"/>
        <v>157</v>
      </c>
      <c r="J145" s="352">
        <f t="shared" si="41"/>
        <v>2037</v>
      </c>
      <c r="K145" s="202">
        <f t="shared" si="33"/>
        <v>50041</v>
      </c>
      <c r="V145" s="333" t="str">
        <f t="shared" si="36"/>
        <v>Winter</v>
      </c>
      <c r="AA145" s="353">
        <f t="shared" si="38"/>
        <v>2.18E-2</v>
      </c>
      <c r="AB145" s="354">
        <f t="shared" si="42"/>
        <v>0</v>
      </c>
    </row>
    <row r="146" spans="2:28" ht="17.45" hidden="1" customHeight="1" outlineLevel="1">
      <c r="B146" s="203">
        <f t="shared" si="39"/>
        <v>50072</v>
      </c>
      <c r="C146" s="355">
        <v>289458.35062189872</v>
      </c>
      <c r="D146" s="356">
        <f>IF(ISNUMBER($F146),VLOOKUP($J146,'Table 1'!$B$13:$C$37,2,FALSE)/12*1000*Study_MW,"")</f>
        <v>0</v>
      </c>
      <c r="E146" s="356">
        <f t="shared" si="40"/>
        <v>289458.35062189872</v>
      </c>
      <c r="F146" s="355">
        <v>12267.862997509999</v>
      </c>
      <c r="G146" s="357">
        <f t="shared" si="37"/>
        <v>23.594847014565609</v>
      </c>
      <c r="I146" s="358">
        <f t="shared" si="35"/>
        <v>158</v>
      </c>
      <c r="J146" s="352">
        <f t="shared" si="41"/>
        <v>2037</v>
      </c>
      <c r="K146" s="203">
        <f t="shared" si="33"/>
        <v>50072</v>
      </c>
      <c r="V146" s="333" t="str">
        <f t="shared" si="36"/>
        <v>Winter</v>
      </c>
      <c r="AA146" s="353">
        <f t="shared" si="38"/>
        <v>2.18E-2</v>
      </c>
      <c r="AB146" s="354">
        <f t="shared" si="42"/>
        <v>0</v>
      </c>
    </row>
    <row r="147" spans="2:28" ht="17.45" hidden="1" customHeight="1" outlineLevel="1">
      <c r="B147" s="203">
        <f t="shared" si="39"/>
        <v>50100</v>
      </c>
      <c r="C147" s="355">
        <v>117400.8001280381</v>
      </c>
      <c r="D147" s="356">
        <f>IF(ISNUMBER($F147),VLOOKUP($J147,'Table 1'!$B$13:$C$37,2,FALSE)/12*1000*Study_MW,"")</f>
        <v>0</v>
      </c>
      <c r="E147" s="356">
        <f t="shared" si="40"/>
        <v>117400.8001280381</v>
      </c>
      <c r="F147" s="355">
        <v>14269.26586021</v>
      </c>
      <c r="G147" s="357">
        <f t="shared" si="37"/>
        <v>8.2275291019288872</v>
      </c>
      <c r="I147" s="358">
        <f t="shared" si="35"/>
        <v>159</v>
      </c>
      <c r="J147" s="352">
        <f t="shared" si="41"/>
        <v>2037</v>
      </c>
      <c r="K147" s="203">
        <f t="shared" si="33"/>
        <v>50100</v>
      </c>
      <c r="V147" s="333" t="str">
        <f t="shared" si="36"/>
        <v>Winter</v>
      </c>
      <c r="AA147" s="353">
        <f t="shared" si="38"/>
        <v>2.18E-2</v>
      </c>
      <c r="AB147" s="354">
        <f t="shared" si="42"/>
        <v>0</v>
      </c>
    </row>
    <row r="148" spans="2:28" ht="17.45" hidden="1" customHeight="1" outlineLevel="1">
      <c r="B148" s="203">
        <f t="shared" si="39"/>
        <v>50131</v>
      </c>
      <c r="C148" s="355">
        <v>174800.98772876227</v>
      </c>
      <c r="D148" s="356">
        <f>IF(ISNUMBER($F148),VLOOKUP($J148,'Table 1'!$B$13:$C$37,2,FALSE)/12*1000*Study_MW,"")</f>
        <v>0</v>
      </c>
      <c r="E148" s="356">
        <f t="shared" si="40"/>
        <v>174800.98772876227</v>
      </c>
      <c r="F148" s="355">
        <v>18610.958954419995</v>
      </c>
      <c r="G148" s="357">
        <f t="shared" si="37"/>
        <v>9.3923686660567292</v>
      </c>
      <c r="I148" s="358">
        <f t="shared" si="35"/>
        <v>160</v>
      </c>
      <c r="J148" s="352">
        <f t="shared" si="41"/>
        <v>2037</v>
      </c>
      <c r="K148" s="203">
        <f t="shared" si="33"/>
        <v>50131</v>
      </c>
      <c r="V148" s="333" t="str">
        <f t="shared" si="36"/>
        <v>Winter</v>
      </c>
      <c r="AA148" s="353">
        <f t="shared" si="38"/>
        <v>2.18E-2</v>
      </c>
      <c r="AB148" s="354">
        <f t="shared" si="42"/>
        <v>0</v>
      </c>
    </row>
    <row r="149" spans="2:28" ht="17.45" hidden="1" customHeight="1" outlineLevel="1">
      <c r="B149" s="203">
        <f t="shared" si="39"/>
        <v>50161</v>
      </c>
      <c r="C149" s="355">
        <v>373437.30241223238</v>
      </c>
      <c r="D149" s="356">
        <f>IF(ISNUMBER($F149),VLOOKUP($J149,'Table 1'!$B$13:$C$37,2,FALSE)/12*1000*Study_MW,"")</f>
        <v>0</v>
      </c>
      <c r="E149" s="356">
        <f t="shared" si="40"/>
        <v>373437.30241223238</v>
      </c>
      <c r="F149" s="355">
        <v>22116.409408580006</v>
      </c>
      <c r="G149" s="357">
        <f t="shared" si="37"/>
        <v>16.885078202041164</v>
      </c>
      <c r="I149" s="358">
        <f t="shared" si="35"/>
        <v>161</v>
      </c>
      <c r="J149" s="352">
        <f t="shared" si="41"/>
        <v>2037</v>
      </c>
      <c r="K149" s="203">
        <f t="shared" si="33"/>
        <v>50161</v>
      </c>
      <c r="V149" s="333" t="str">
        <f t="shared" si="36"/>
        <v>Summer</v>
      </c>
      <c r="AA149" s="353">
        <f t="shared" si="38"/>
        <v>2.18E-2</v>
      </c>
      <c r="AB149" s="354">
        <f t="shared" si="42"/>
        <v>0</v>
      </c>
    </row>
    <row r="150" spans="2:28" ht="17.45" hidden="1" customHeight="1" outlineLevel="1">
      <c r="B150" s="203">
        <f t="shared" si="39"/>
        <v>50192</v>
      </c>
      <c r="C150" s="355">
        <v>542745.35316904075</v>
      </c>
      <c r="D150" s="356">
        <f>IF(ISNUMBER($F150),VLOOKUP($J150,'Table 1'!$B$13:$C$37,2,FALSE)/12*1000*Study_MW,"")</f>
        <v>0</v>
      </c>
      <c r="E150" s="356">
        <f t="shared" si="40"/>
        <v>542745.35316904075</v>
      </c>
      <c r="F150" s="355">
        <v>26345.886287470006</v>
      </c>
      <c r="G150" s="357">
        <f t="shared" si="37"/>
        <v>20.600762762236933</v>
      </c>
      <c r="I150" s="358">
        <f t="shared" si="35"/>
        <v>162</v>
      </c>
      <c r="J150" s="352">
        <f t="shared" si="41"/>
        <v>2037</v>
      </c>
      <c r="K150" s="203">
        <f t="shared" si="33"/>
        <v>50192</v>
      </c>
      <c r="V150" s="333" t="str">
        <f t="shared" si="36"/>
        <v>Summer</v>
      </c>
      <c r="AA150" s="353">
        <f t="shared" si="38"/>
        <v>2.18E-2</v>
      </c>
      <c r="AB150" s="354">
        <f t="shared" si="42"/>
        <v>0</v>
      </c>
    </row>
    <row r="151" spans="2:28" ht="17.45" hidden="1" customHeight="1" outlineLevel="1">
      <c r="B151" s="203">
        <f t="shared" si="39"/>
        <v>50222</v>
      </c>
      <c r="C151" s="355">
        <v>972933.55416227854</v>
      </c>
      <c r="D151" s="356">
        <f>IF(ISNUMBER($F151),VLOOKUP($J151,'Table 1'!$B$13:$C$37,2,FALSE)/12*1000*Study_MW,"")</f>
        <v>0</v>
      </c>
      <c r="E151" s="356">
        <f t="shared" si="40"/>
        <v>972933.55416227854</v>
      </c>
      <c r="F151" s="355">
        <v>25268.992954510006</v>
      </c>
      <c r="G151" s="357">
        <f t="shared" si="37"/>
        <v>38.503060090830786</v>
      </c>
      <c r="I151" s="358">
        <f t="shared" si="35"/>
        <v>163</v>
      </c>
      <c r="J151" s="352">
        <f t="shared" si="41"/>
        <v>2037</v>
      </c>
      <c r="K151" s="203">
        <f t="shared" si="33"/>
        <v>50222</v>
      </c>
      <c r="V151" s="333" t="str">
        <f t="shared" si="36"/>
        <v>Summer</v>
      </c>
      <c r="AA151" s="353">
        <f t="shared" si="38"/>
        <v>2.18E-2</v>
      </c>
      <c r="AB151" s="354">
        <f t="shared" si="42"/>
        <v>0</v>
      </c>
    </row>
    <row r="152" spans="2:28" ht="17.45" hidden="1" customHeight="1" outlineLevel="1">
      <c r="B152" s="203">
        <f t="shared" si="39"/>
        <v>50253</v>
      </c>
      <c r="C152" s="355">
        <v>871849.19138100673</v>
      </c>
      <c r="D152" s="356">
        <f>IF(ISNUMBER($F152),VLOOKUP($J152,'Table 1'!$B$13:$C$37,2,FALSE)/12*1000*Study_MW,"")</f>
        <v>0</v>
      </c>
      <c r="E152" s="356">
        <f t="shared" si="40"/>
        <v>871849.19138100673</v>
      </c>
      <c r="F152" s="355">
        <v>22240.57691819</v>
      </c>
      <c r="G152" s="357">
        <f t="shared" si="37"/>
        <v>39.20083523858338</v>
      </c>
      <c r="I152" s="358">
        <f t="shared" si="35"/>
        <v>164</v>
      </c>
      <c r="J152" s="352">
        <f t="shared" si="41"/>
        <v>2037</v>
      </c>
      <c r="K152" s="203">
        <f t="shared" si="33"/>
        <v>50253</v>
      </c>
      <c r="V152" s="333" t="str">
        <f t="shared" si="36"/>
        <v>Summer</v>
      </c>
      <c r="AA152" s="353">
        <f t="shared" si="38"/>
        <v>2.18E-2</v>
      </c>
      <c r="AB152" s="354">
        <f t="shared" si="42"/>
        <v>0</v>
      </c>
    </row>
    <row r="153" spans="2:28" ht="17.45" hidden="1" customHeight="1" outlineLevel="1">
      <c r="B153" s="203">
        <f t="shared" si="39"/>
        <v>50284</v>
      </c>
      <c r="C153" s="355">
        <v>699392.69210923521</v>
      </c>
      <c r="D153" s="356">
        <f>IF(ISNUMBER($F153),VLOOKUP($J153,'Table 1'!$B$13:$C$37,2,FALSE)/12*1000*Study_MW,"")</f>
        <v>0</v>
      </c>
      <c r="E153" s="356">
        <f t="shared" si="40"/>
        <v>699392.69210923521</v>
      </c>
      <c r="F153" s="355">
        <v>19362.13162964</v>
      </c>
      <c r="G153" s="357">
        <f t="shared" si="37"/>
        <v>36.121678412648983</v>
      </c>
      <c r="I153" s="358">
        <f t="shared" si="35"/>
        <v>165</v>
      </c>
      <c r="J153" s="352">
        <f t="shared" si="41"/>
        <v>2037</v>
      </c>
      <c r="K153" s="203">
        <f t="shared" si="33"/>
        <v>50284</v>
      </c>
      <c r="V153" s="333" t="str">
        <f t="shared" si="36"/>
        <v>Winter</v>
      </c>
      <c r="AA153" s="353">
        <f t="shared" si="38"/>
        <v>2.18E-2</v>
      </c>
      <c r="AB153" s="354">
        <f t="shared" si="42"/>
        <v>0</v>
      </c>
    </row>
    <row r="154" spans="2:28" ht="17.45" hidden="1" customHeight="1" outlineLevel="1">
      <c r="B154" s="203">
        <f t="shared" si="39"/>
        <v>50314</v>
      </c>
      <c r="C154" s="355">
        <v>192154.66791033396</v>
      </c>
      <c r="D154" s="356">
        <f>IF(ISNUMBER($F154),VLOOKUP($J154,'Table 1'!$B$13:$C$37,2,FALSE)/12*1000*Study_MW,"")</f>
        <v>0</v>
      </c>
      <c r="E154" s="356">
        <f t="shared" si="40"/>
        <v>192154.66791033396</v>
      </c>
      <c r="F154" s="355">
        <v>14113.780396550001</v>
      </c>
      <c r="G154" s="357">
        <f t="shared" si="37"/>
        <v>13.614684550236067</v>
      </c>
      <c r="I154" s="358">
        <f t="shared" si="35"/>
        <v>166</v>
      </c>
      <c r="J154" s="352">
        <f t="shared" si="41"/>
        <v>2037</v>
      </c>
      <c r="K154" s="203">
        <f t="shared" ref="K154:K192" si="43">IF(ISNUMBER(F154),IF(F154&lt;&gt;0,B154,""),"")</f>
        <v>50314</v>
      </c>
      <c r="V154" s="333" t="str">
        <f t="shared" si="36"/>
        <v>Winter</v>
      </c>
      <c r="AA154" s="353">
        <f t="shared" si="38"/>
        <v>2.18E-2</v>
      </c>
      <c r="AB154" s="354">
        <f t="shared" si="42"/>
        <v>0</v>
      </c>
    </row>
    <row r="155" spans="2:28" ht="17.45" hidden="1" customHeight="1" outlineLevel="1">
      <c r="B155" s="203">
        <f t="shared" si="39"/>
        <v>50345</v>
      </c>
      <c r="C155" s="355">
        <v>351267.24775997899</v>
      </c>
      <c r="D155" s="356">
        <f>IF(ISNUMBER($F155),VLOOKUP($J155,'Table 1'!$B$13:$C$37,2,FALSE)/12*1000*Study_MW,"")</f>
        <v>0</v>
      </c>
      <c r="E155" s="356">
        <f t="shared" si="40"/>
        <v>351267.24775997899</v>
      </c>
      <c r="F155" s="355">
        <v>10940.067274840003</v>
      </c>
      <c r="G155" s="357">
        <f t="shared" si="37"/>
        <v>32.108326113114899</v>
      </c>
      <c r="I155" s="358">
        <f t="shared" si="35"/>
        <v>167</v>
      </c>
      <c r="J155" s="352">
        <f t="shared" si="41"/>
        <v>2037</v>
      </c>
      <c r="K155" s="203">
        <f t="shared" si="43"/>
        <v>50345</v>
      </c>
      <c r="V155" s="333" t="str">
        <f t="shared" si="36"/>
        <v>Winter</v>
      </c>
      <c r="AA155" s="353">
        <f t="shared" si="38"/>
        <v>2.18E-2</v>
      </c>
      <c r="AB155" s="354">
        <f t="shared" si="42"/>
        <v>0</v>
      </c>
    </row>
    <row r="156" spans="2:28" ht="17.45" hidden="1" customHeight="1" outlineLevel="1">
      <c r="B156" s="204">
        <f t="shared" si="39"/>
        <v>50375</v>
      </c>
      <c r="C156" s="362">
        <v>370198.57168479968</v>
      </c>
      <c r="D156" s="363">
        <f>IF(ISNUMBER($F156),VLOOKUP($J156,'Table 1'!$B$13:$C$37,2,FALSE)/12*1000*Study_MW,"")</f>
        <v>0</v>
      </c>
      <c r="E156" s="363">
        <f t="shared" si="40"/>
        <v>370198.57168479968</v>
      </c>
      <c r="F156" s="362">
        <v>7293.3756507523349</v>
      </c>
      <c r="G156" s="364">
        <f t="shared" si="37"/>
        <v>50.758193381498529</v>
      </c>
      <c r="I156" s="365">
        <f t="shared" si="35"/>
        <v>168</v>
      </c>
      <c r="J156" s="352">
        <f t="shared" si="41"/>
        <v>2037</v>
      </c>
      <c r="K156" s="204">
        <f t="shared" si="43"/>
        <v>50375</v>
      </c>
      <c r="V156" s="333" t="str">
        <f t="shared" si="36"/>
        <v>Winter</v>
      </c>
      <c r="AA156" s="353">
        <f t="shared" si="38"/>
        <v>2.18E-2</v>
      </c>
      <c r="AB156" s="354">
        <f t="shared" si="42"/>
        <v>0</v>
      </c>
    </row>
    <row r="157" spans="2:28" ht="17.45" hidden="1" customHeight="1" outlineLevel="1">
      <c r="B157" s="202">
        <f t="shared" si="39"/>
        <v>50406</v>
      </c>
      <c r="C157" s="346">
        <v>308216.01780776109</v>
      </c>
      <c r="D157" s="347">
        <f>IF(ISNUMBER($F157),VLOOKUP($J157,'Table 1'!$B$13:$C$37,2,FALSE)/12*1000*Study_MW,"")</f>
        <v>0</v>
      </c>
      <c r="E157" s="348">
        <f t="shared" si="40"/>
        <v>308216.01780776109</v>
      </c>
      <c r="F157" s="349">
        <v>7426.6498901600016</v>
      </c>
      <c r="G157" s="350">
        <f t="shared" si="37"/>
        <v>41.501352880002372</v>
      </c>
      <c r="I157" s="366">
        <f t="shared" si="35"/>
        <v>170</v>
      </c>
      <c r="J157" s="352">
        <f t="shared" si="41"/>
        <v>2038</v>
      </c>
      <c r="K157" s="202">
        <f t="shared" si="43"/>
        <v>50406</v>
      </c>
      <c r="V157" s="333" t="str">
        <f t="shared" si="36"/>
        <v>Winter</v>
      </c>
      <c r="AA157" s="353">
        <f t="shared" si="38"/>
        <v>2.18E-2</v>
      </c>
      <c r="AB157" s="354">
        <f t="shared" si="42"/>
        <v>0</v>
      </c>
    </row>
    <row r="158" spans="2:28" ht="17.45" hidden="1" customHeight="1" outlineLevel="1">
      <c r="B158" s="203">
        <f t="shared" si="39"/>
        <v>50437</v>
      </c>
      <c r="C158" s="355">
        <v>291207.59274265583</v>
      </c>
      <c r="D158" s="356">
        <f>IF(ISNUMBER($F158),VLOOKUP($J158,'Table 1'!$B$13:$C$37,2,FALSE)/12*1000*Study_MW,"")</f>
        <v>0</v>
      </c>
      <c r="E158" s="356">
        <f t="shared" si="40"/>
        <v>291207.59274265583</v>
      </c>
      <c r="F158" s="355">
        <v>12552.615077099999</v>
      </c>
      <c r="G158" s="357">
        <f t="shared" si="37"/>
        <v>23.198958221375879</v>
      </c>
      <c r="I158" s="358">
        <f t="shared" si="35"/>
        <v>171</v>
      </c>
      <c r="J158" s="352">
        <f t="shared" si="41"/>
        <v>2038</v>
      </c>
      <c r="K158" s="203">
        <f t="shared" si="43"/>
        <v>50437</v>
      </c>
      <c r="V158" s="333" t="str">
        <f t="shared" si="36"/>
        <v>Winter</v>
      </c>
      <c r="AA158" s="353">
        <f t="shared" si="38"/>
        <v>2.18E-2</v>
      </c>
      <c r="AB158" s="354">
        <f t="shared" si="42"/>
        <v>0</v>
      </c>
    </row>
    <row r="159" spans="2:28" ht="17.45" hidden="1" customHeight="1" outlineLevel="1">
      <c r="B159" s="203">
        <f t="shared" si="39"/>
        <v>50465</v>
      </c>
      <c r="C159" s="355">
        <v>166601.8906221143</v>
      </c>
      <c r="D159" s="356">
        <f>IF(ISNUMBER($F159),VLOOKUP($J159,'Table 1'!$B$13:$C$37,2,FALSE)/12*1000*Study_MW,"")</f>
        <v>0</v>
      </c>
      <c r="E159" s="356">
        <f t="shared" si="40"/>
        <v>166601.8906221143</v>
      </c>
      <c r="F159" s="355">
        <v>14277.265707710001</v>
      </c>
      <c r="G159" s="357">
        <f t="shared" si="37"/>
        <v>11.669033415281053</v>
      </c>
      <c r="I159" s="358">
        <f t="shared" si="35"/>
        <v>172</v>
      </c>
      <c r="J159" s="352">
        <f t="shared" si="41"/>
        <v>2038</v>
      </c>
      <c r="K159" s="203">
        <f t="shared" si="43"/>
        <v>50465</v>
      </c>
      <c r="V159" s="333" t="str">
        <f t="shared" si="36"/>
        <v>Winter</v>
      </c>
      <c r="AA159" s="353">
        <f t="shared" si="38"/>
        <v>2.18E-2</v>
      </c>
      <c r="AB159" s="354">
        <f t="shared" si="42"/>
        <v>0</v>
      </c>
    </row>
    <row r="160" spans="2:28" ht="17.45" hidden="1" customHeight="1" outlineLevel="1">
      <c r="B160" s="203">
        <f t="shared" si="39"/>
        <v>50496</v>
      </c>
      <c r="C160" s="355">
        <v>163647.86836683925</v>
      </c>
      <c r="D160" s="356">
        <f>IF(ISNUMBER($F160),VLOOKUP($J160,'Table 1'!$B$13:$C$37,2,FALSE)/12*1000*Study_MW,"")</f>
        <v>0</v>
      </c>
      <c r="E160" s="356">
        <f t="shared" si="40"/>
        <v>163647.86836683925</v>
      </c>
      <c r="F160" s="355">
        <v>18380.518524239997</v>
      </c>
      <c r="G160" s="357">
        <f t="shared" si="37"/>
        <v>8.9033325230200937</v>
      </c>
      <c r="I160" s="358">
        <f t="shared" si="35"/>
        <v>173</v>
      </c>
      <c r="J160" s="352">
        <f t="shared" si="41"/>
        <v>2038</v>
      </c>
      <c r="K160" s="203">
        <f t="shared" si="43"/>
        <v>50496</v>
      </c>
      <c r="V160" s="333" t="str">
        <f t="shared" si="36"/>
        <v>Winter</v>
      </c>
      <c r="AA160" s="353">
        <f t="shared" si="38"/>
        <v>2.18E-2</v>
      </c>
      <c r="AB160" s="354">
        <f t="shared" si="42"/>
        <v>0</v>
      </c>
    </row>
    <row r="161" spans="2:28" ht="17.45" hidden="1" customHeight="1" outlineLevel="1">
      <c r="B161" s="203">
        <f t="shared" si="39"/>
        <v>50526</v>
      </c>
      <c r="C161" s="355">
        <v>184658.29905000282</v>
      </c>
      <c r="D161" s="356">
        <f>IF(ISNUMBER($F161),VLOOKUP($J161,'Table 1'!$B$13:$C$37,2,FALSE)/12*1000*Study_MW,"")</f>
        <v>0</v>
      </c>
      <c r="E161" s="356">
        <f t="shared" si="40"/>
        <v>184658.29905000282</v>
      </c>
      <c r="F161" s="355">
        <v>22319.577776629991</v>
      </c>
      <c r="G161" s="357">
        <f t="shared" si="37"/>
        <v>8.2733777895812946</v>
      </c>
      <c r="I161" s="358">
        <f t="shared" si="35"/>
        <v>174</v>
      </c>
      <c r="J161" s="352">
        <f t="shared" si="41"/>
        <v>2038</v>
      </c>
      <c r="K161" s="203">
        <f t="shared" si="43"/>
        <v>50526</v>
      </c>
      <c r="V161" s="333" t="str">
        <f t="shared" si="36"/>
        <v>Summer</v>
      </c>
      <c r="AA161" s="353">
        <f t="shared" si="38"/>
        <v>2.18E-2</v>
      </c>
      <c r="AB161" s="354">
        <f t="shared" si="42"/>
        <v>0</v>
      </c>
    </row>
    <row r="162" spans="2:28" ht="17.45" hidden="1" customHeight="1" outlineLevel="1">
      <c r="B162" s="203">
        <f t="shared" si="39"/>
        <v>50557</v>
      </c>
      <c r="C162" s="355">
        <v>551249.63170586852</v>
      </c>
      <c r="D162" s="356">
        <f>IF(ISNUMBER($F162),VLOOKUP($J162,'Table 1'!$B$13:$C$37,2,FALSE)/12*1000*Study_MW,"")</f>
        <v>0</v>
      </c>
      <c r="E162" s="356">
        <f t="shared" si="40"/>
        <v>551249.63170586852</v>
      </c>
      <c r="F162" s="355">
        <v>26280.985923680004</v>
      </c>
      <c r="G162" s="357">
        <f t="shared" si="37"/>
        <v>20.975226473873459</v>
      </c>
      <c r="I162" s="358">
        <f t="shared" si="35"/>
        <v>175</v>
      </c>
      <c r="J162" s="352">
        <f t="shared" si="41"/>
        <v>2038</v>
      </c>
      <c r="K162" s="203">
        <f t="shared" si="43"/>
        <v>50557</v>
      </c>
      <c r="V162" s="333" t="str">
        <f t="shared" si="36"/>
        <v>Summer</v>
      </c>
      <c r="AA162" s="353">
        <f t="shared" si="38"/>
        <v>2.18E-2</v>
      </c>
      <c r="AB162" s="354">
        <f t="shared" si="42"/>
        <v>0</v>
      </c>
    </row>
    <row r="163" spans="2:28" ht="17.45" hidden="1" customHeight="1" outlineLevel="1">
      <c r="B163" s="203">
        <f t="shared" si="39"/>
        <v>50587</v>
      </c>
      <c r="C163" s="355">
        <v>1009606.146922506</v>
      </c>
      <c r="D163" s="356">
        <f>IF(ISNUMBER($F163),VLOOKUP($J163,'Table 1'!$B$13:$C$37,2,FALSE)/12*1000*Study_MW,"")</f>
        <v>0</v>
      </c>
      <c r="E163" s="356">
        <f t="shared" si="40"/>
        <v>1009606.146922506</v>
      </c>
      <c r="F163" s="355">
        <v>24821.31793533</v>
      </c>
      <c r="G163" s="357">
        <f t="shared" si="37"/>
        <v>40.674961319659005</v>
      </c>
      <c r="I163" s="358">
        <f t="shared" si="35"/>
        <v>176</v>
      </c>
      <c r="J163" s="352">
        <f t="shared" si="41"/>
        <v>2038</v>
      </c>
      <c r="K163" s="203">
        <f t="shared" si="43"/>
        <v>50587</v>
      </c>
      <c r="V163" s="333" t="str">
        <f t="shared" si="36"/>
        <v>Summer</v>
      </c>
      <c r="AA163" s="353">
        <f t="shared" si="38"/>
        <v>2.18E-2</v>
      </c>
      <c r="AB163" s="354">
        <f t="shared" si="42"/>
        <v>0</v>
      </c>
    </row>
    <row r="164" spans="2:28" ht="17.45" hidden="1" customHeight="1" outlineLevel="1">
      <c r="B164" s="203">
        <f t="shared" si="39"/>
        <v>50618</v>
      </c>
      <c r="C164" s="355">
        <v>869203.1017778354</v>
      </c>
      <c r="D164" s="356">
        <f>IF(ISNUMBER($F164),VLOOKUP($J164,'Table 1'!$B$13:$C$37,2,FALSE)/12*1000*Study_MW,"")</f>
        <v>0</v>
      </c>
      <c r="E164" s="356">
        <f t="shared" si="40"/>
        <v>869203.1017778354</v>
      </c>
      <c r="F164" s="355">
        <v>22318.33718807</v>
      </c>
      <c r="G164" s="357">
        <f t="shared" si="37"/>
        <v>38.945692703417777</v>
      </c>
      <c r="I164" s="358">
        <f t="shared" si="35"/>
        <v>177</v>
      </c>
      <c r="J164" s="352">
        <f t="shared" si="41"/>
        <v>2038</v>
      </c>
      <c r="K164" s="203">
        <f t="shared" si="43"/>
        <v>50618</v>
      </c>
      <c r="V164" s="333" t="str">
        <f t="shared" si="36"/>
        <v>Summer</v>
      </c>
      <c r="AA164" s="353">
        <f t="shared" si="38"/>
        <v>2.18E-2</v>
      </c>
      <c r="AB164" s="354">
        <f t="shared" si="42"/>
        <v>0</v>
      </c>
    </row>
    <row r="165" spans="2:28" ht="17.45" hidden="1" customHeight="1" outlineLevel="1">
      <c r="B165" s="203">
        <f t="shared" si="39"/>
        <v>50649</v>
      </c>
      <c r="C165" s="355">
        <v>639809.32476994349</v>
      </c>
      <c r="D165" s="356">
        <f>IF(ISNUMBER($F165),VLOOKUP($J165,'Table 1'!$B$13:$C$37,2,FALSE)/12*1000*Study_MW,"")</f>
        <v>0</v>
      </c>
      <c r="E165" s="356">
        <f t="shared" si="40"/>
        <v>639809.32476994349</v>
      </c>
      <c r="F165" s="355">
        <v>18817.419088919996</v>
      </c>
      <c r="G165" s="357">
        <f t="shared" si="37"/>
        <v>34.000907443607595</v>
      </c>
      <c r="I165" s="358">
        <f t="shared" si="35"/>
        <v>178</v>
      </c>
      <c r="J165" s="352">
        <f t="shared" si="41"/>
        <v>2038</v>
      </c>
      <c r="K165" s="203">
        <f t="shared" si="43"/>
        <v>50649</v>
      </c>
      <c r="V165" s="333" t="str">
        <f t="shared" si="36"/>
        <v>Winter</v>
      </c>
      <c r="AA165" s="353">
        <f t="shared" si="38"/>
        <v>2.18E-2</v>
      </c>
      <c r="AB165" s="354">
        <f t="shared" si="42"/>
        <v>0</v>
      </c>
    </row>
    <row r="166" spans="2:28" ht="17.45" hidden="1" customHeight="1" outlineLevel="1">
      <c r="B166" s="203">
        <f t="shared" si="39"/>
        <v>50679</v>
      </c>
      <c r="C166" s="355">
        <v>194664.23546335136</v>
      </c>
      <c r="D166" s="356">
        <f>IF(ISNUMBER($F166),VLOOKUP($J166,'Table 1'!$B$13:$C$37,2,FALSE)/12*1000*Study_MW,"")</f>
        <v>0</v>
      </c>
      <c r="E166" s="356">
        <f t="shared" si="40"/>
        <v>194664.23546335136</v>
      </c>
      <c r="F166" s="355">
        <v>14139.033172889998</v>
      </c>
      <c r="G166" s="357">
        <f t="shared" si="37"/>
        <v>13.767860438760273</v>
      </c>
      <c r="I166" s="358">
        <f t="shared" si="35"/>
        <v>179</v>
      </c>
      <c r="J166" s="352">
        <f t="shared" si="41"/>
        <v>2038</v>
      </c>
      <c r="K166" s="203">
        <f t="shared" si="43"/>
        <v>50679</v>
      </c>
      <c r="V166" s="333" t="str">
        <f t="shared" si="36"/>
        <v>Winter</v>
      </c>
      <c r="AA166" s="353">
        <f t="shared" si="38"/>
        <v>2.18E-2</v>
      </c>
      <c r="AB166" s="354">
        <f t="shared" si="42"/>
        <v>0</v>
      </c>
    </row>
    <row r="167" spans="2:28" ht="17.45" hidden="1" customHeight="1" outlineLevel="1">
      <c r="B167" s="203">
        <f t="shared" si="39"/>
        <v>50710</v>
      </c>
      <c r="C167" s="355">
        <v>434122.55386638932</v>
      </c>
      <c r="D167" s="356">
        <f>IF(ISNUMBER($F167),VLOOKUP($J167,'Table 1'!$B$13:$C$37,2,FALSE)/12*1000*Study_MW,"")</f>
        <v>0</v>
      </c>
      <c r="E167" s="356">
        <f t="shared" si="40"/>
        <v>434122.55386638932</v>
      </c>
      <c r="F167" s="355">
        <v>10684.453617970003</v>
      </c>
      <c r="G167" s="357">
        <f t="shared" si="37"/>
        <v>40.6312357551205</v>
      </c>
      <c r="I167" s="358">
        <f t="shared" si="35"/>
        <v>180</v>
      </c>
      <c r="J167" s="352">
        <f t="shared" si="41"/>
        <v>2038</v>
      </c>
      <c r="K167" s="203">
        <f t="shared" si="43"/>
        <v>50710</v>
      </c>
      <c r="V167" s="333" t="str">
        <f t="shared" si="36"/>
        <v>Winter</v>
      </c>
      <c r="AA167" s="353">
        <f t="shared" si="38"/>
        <v>2.18E-2</v>
      </c>
      <c r="AB167" s="354">
        <f t="shared" si="42"/>
        <v>0</v>
      </c>
    </row>
    <row r="168" spans="2:28" ht="17.45" hidden="1" customHeight="1" outlineLevel="1">
      <c r="B168" s="204">
        <f t="shared" si="39"/>
        <v>50740</v>
      </c>
      <c r="C168" s="362">
        <v>425874.84616488079</v>
      </c>
      <c r="D168" s="363">
        <f>IF(ISNUMBER($F168),VLOOKUP($J168,'Table 1'!$B$13:$C$37,2,FALSE)/12*1000*Study_MW,"")</f>
        <v>0</v>
      </c>
      <c r="E168" s="363">
        <f t="shared" si="40"/>
        <v>425874.84616488079</v>
      </c>
      <c r="F168" s="362">
        <v>7180.0655575556675</v>
      </c>
      <c r="G168" s="364">
        <f t="shared" si="37"/>
        <v>59.313503860243685</v>
      </c>
      <c r="I168" s="365">
        <f t="shared" si="35"/>
        <v>181</v>
      </c>
      <c r="J168" s="352">
        <f t="shared" si="41"/>
        <v>2038</v>
      </c>
      <c r="K168" s="204">
        <f t="shared" si="43"/>
        <v>50740</v>
      </c>
      <c r="V168" s="333" t="str">
        <f t="shared" si="36"/>
        <v>Winter</v>
      </c>
      <c r="AA168" s="353">
        <f t="shared" si="38"/>
        <v>2.18E-2</v>
      </c>
      <c r="AB168" s="354">
        <f t="shared" si="42"/>
        <v>0</v>
      </c>
    </row>
    <row r="169" spans="2:28" ht="17.45" hidden="1" customHeight="1" outlineLevel="1">
      <c r="B169" s="202">
        <f t="shared" si="39"/>
        <v>50771</v>
      </c>
      <c r="C169" s="346">
        <v>324886.18794761715</v>
      </c>
      <c r="D169" s="347">
        <f>IF(ISNUMBER($F169),VLOOKUP($J169,'Table 1'!$B$13:$C$37,2,FALSE)/12*1000*Study_MW,"")</f>
        <v>0</v>
      </c>
      <c r="E169" s="348">
        <f t="shared" si="40"/>
        <v>324886.18794761715</v>
      </c>
      <c r="F169" s="349">
        <v>7553.3892447099997</v>
      </c>
      <c r="G169" s="350">
        <f t="shared" si="37"/>
        <v>43.011974813180785</v>
      </c>
      <c r="I169" s="366">
        <f t="shared" si="35"/>
        <v>183</v>
      </c>
      <c r="J169" s="352">
        <f t="shared" si="41"/>
        <v>2039</v>
      </c>
      <c r="K169" s="202">
        <f t="shared" si="43"/>
        <v>50771</v>
      </c>
      <c r="V169" s="333" t="str">
        <f t="shared" si="36"/>
        <v>Winter</v>
      </c>
      <c r="AA169" s="353">
        <f t="shared" si="38"/>
        <v>2.18E-2</v>
      </c>
      <c r="AB169" s="354">
        <f t="shared" si="42"/>
        <v>0</v>
      </c>
    </row>
    <row r="170" spans="2:28" ht="17.45" hidden="1" customHeight="1" outlineLevel="1">
      <c r="B170" s="203">
        <f t="shared" si="39"/>
        <v>50802</v>
      </c>
      <c r="C170" s="355">
        <v>300556.47590468649</v>
      </c>
      <c r="D170" s="356">
        <f>IF(ISNUMBER($F170),VLOOKUP($J170,'Table 1'!$B$13:$C$37,2,FALSE)/12*1000*Study_MW,"")</f>
        <v>0</v>
      </c>
      <c r="E170" s="356">
        <f t="shared" si="40"/>
        <v>300556.47590468649</v>
      </c>
      <c r="F170" s="355">
        <v>12313.262235320004</v>
      </c>
      <c r="G170" s="357">
        <f t="shared" si="37"/>
        <v>24.409167137085298</v>
      </c>
      <c r="I170" s="358">
        <f t="shared" si="35"/>
        <v>184</v>
      </c>
      <c r="J170" s="352">
        <f t="shared" si="41"/>
        <v>2039</v>
      </c>
      <c r="K170" s="203">
        <f t="shared" si="43"/>
        <v>50802</v>
      </c>
      <c r="V170" s="333" t="str">
        <f t="shared" si="36"/>
        <v>Winter</v>
      </c>
      <c r="AA170" s="353">
        <f t="shared" si="38"/>
        <v>2.18E-2</v>
      </c>
      <c r="AB170" s="354">
        <f t="shared" si="42"/>
        <v>0</v>
      </c>
    </row>
    <row r="171" spans="2:28" ht="17.45" hidden="1" customHeight="1" outlineLevel="1">
      <c r="B171" s="203">
        <f t="shared" si="39"/>
        <v>50830</v>
      </c>
      <c r="C171" s="355">
        <v>169454.99901230505</v>
      </c>
      <c r="D171" s="356">
        <f>IF(ISNUMBER($F171),VLOOKUP($J171,'Table 1'!$B$13:$C$37,2,FALSE)/12*1000*Study_MW,"")</f>
        <v>0</v>
      </c>
      <c r="E171" s="356">
        <f t="shared" si="40"/>
        <v>169454.99901230505</v>
      </c>
      <c r="F171" s="355">
        <v>14609.116287520001</v>
      </c>
      <c r="G171" s="357">
        <f t="shared" si="37"/>
        <v>11.5992641633679</v>
      </c>
      <c r="I171" s="358">
        <f t="shared" si="35"/>
        <v>185</v>
      </c>
      <c r="J171" s="352">
        <f t="shared" si="41"/>
        <v>2039</v>
      </c>
      <c r="K171" s="203">
        <f t="shared" si="43"/>
        <v>50830</v>
      </c>
      <c r="V171" s="333" t="str">
        <f t="shared" si="36"/>
        <v>Winter</v>
      </c>
      <c r="AA171" s="353">
        <f t="shared" si="38"/>
        <v>2.18E-2</v>
      </c>
      <c r="AB171" s="354">
        <f t="shared" si="42"/>
        <v>0</v>
      </c>
    </row>
    <row r="172" spans="2:28" ht="17.45" hidden="1" customHeight="1" outlineLevel="1">
      <c r="B172" s="203">
        <f t="shared" si="39"/>
        <v>50861</v>
      </c>
      <c r="C172" s="355">
        <v>142739.19792482047</v>
      </c>
      <c r="D172" s="356">
        <f>IF(ISNUMBER($F172),VLOOKUP($J172,'Table 1'!$B$13:$C$37,2,FALSE)/12*1000*Study_MW,"")</f>
        <v>0</v>
      </c>
      <c r="E172" s="356">
        <f t="shared" si="40"/>
        <v>142739.19792482047</v>
      </c>
      <c r="F172" s="355">
        <v>17883.219977579996</v>
      </c>
      <c r="G172" s="357">
        <f t="shared" si="37"/>
        <v>7.9817392004220213</v>
      </c>
      <c r="I172" s="358">
        <f t="shared" si="35"/>
        <v>186</v>
      </c>
      <c r="J172" s="352">
        <f t="shared" si="41"/>
        <v>2039</v>
      </c>
      <c r="K172" s="203">
        <f t="shared" si="43"/>
        <v>50861</v>
      </c>
      <c r="V172" s="333" t="str">
        <f t="shared" si="36"/>
        <v>Winter</v>
      </c>
      <c r="AA172" s="353">
        <f t="shared" si="38"/>
        <v>2.18E-2</v>
      </c>
      <c r="AB172" s="354">
        <f t="shared" si="42"/>
        <v>0</v>
      </c>
    </row>
    <row r="173" spans="2:28" ht="17.45" hidden="1" customHeight="1" outlineLevel="1">
      <c r="B173" s="203">
        <f t="shared" si="39"/>
        <v>50891</v>
      </c>
      <c r="C173" s="355">
        <v>247571.9729194825</v>
      </c>
      <c r="D173" s="356">
        <f>IF(ISNUMBER($F173),VLOOKUP($J173,'Table 1'!$B$13:$C$37,2,FALSE)/12*1000*Study_MW,"")</f>
        <v>0</v>
      </c>
      <c r="E173" s="356">
        <f t="shared" si="40"/>
        <v>247571.9729194825</v>
      </c>
      <c r="F173" s="355">
        <v>22842.81631029</v>
      </c>
      <c r="G173" s="357">
        <f t="shared" si="37"/>
        <v>10.838066968474408</v>
      </c>
      <c r="I173" s="358">
        <f t="shared" si="35"/>
        <v>187</v>
      </c>
      <c r="J173" s="352">
        <f t="shared" si="41"/>
        <v>2039</v>
      </c>
      <c r="K173" s="203">
        <f t="shared" si="43"/>
        <v>50891</v>
      </c>
      <c r="V173" s="333" t="str">
        <f t="shared" si="36"/>
        <v>Summer</v>
      </c>
      <c r="AA173" s="353">
        <f t="shared" si="38"/>
        <v>2.18E-2</v>
      </c>
      <c r="AB173" s="354">
        <f t="shared" si="42"/>
        <v>0</v>
      </c>
    </row>
    <row r="174" spans="2:28" ht="17.45" hidden="1" customHeight="1" outlineLevel="1">
      <c r="B174" s="203">
        <f t="shared" si="39"/>
        <v>50922</v>
      </c>
      <c r="C174" s="355">
        <v>593287.93517072336</v>
      </c>
      <c r="D174" s="356">
        <f>IF(ISNUMBER($F174),VLOOKUP($J174,'Table 1'!$B$13:$C$37,2,FALSE)/12*1000*Study_MW,"")</f>
        <v>0</v>
      </c>
      <c r="E174" s="356">
        <f t="shared" si="40"/>
        <v>593287.93517072336</v>
      </c>
      <c r="F174" s="355">
        <v>26233.287611470005</v>
      </c>
      <c r="G174" s="357">
        <f t="shared" si="37"/>
        <v>22.615843807213835</v>
      </c>
      <c r="I174" s="358">
        <f t="shared" si="35"/>
        <v>188</v>
      </c>
      <c r="J174" s="352">
        <f t="shared" si="41"/>
        <v>2039</v>
      </c>
      <c r="K174" s="203">
        <f t="shared" si="43"/>
        <v>50922</v>
      </c>
      <c r="V174" s="333" t="str">
        <f t="shared" si="36"/>
        <v>Summer</v>
      </c>
      <c r="AA174" s="353">
        <f t="shared" si="38"/>
        <v>2.18E-2</v>
      </c>
      <c r="AB174" s="354">
        <f t="shared" si="42"/>
        <v>0</v>
      </c>
    </row>
    <row r="175" spans="2:28" ht="17.45" hidden="1" customHeight="1" outlineLevel="1">
      <c r="B175" s="203">
        <f t="shared" si="39"/>
        <v>50952</v>
      </c>
      <c r="C175" s="355">
        <v>932885.85625200719</v>
      </c>
      <c r="D175" s="356">
        <f>IF(ISNUMBER($F175),VLOOKUP($J175,'Table 1'!$B$13:$C$37,2,FALSE)/12*1000*Study_MW,"")</f>
        <v>0</v>
      </c>
      <c r="E175" s="356">
        <f t="shared" si="40"/>
        <v>932885.85625200719</v>
      </c>
      <c r="F175" s="355">
        <v>24660.057377250007</v>
      </c>
      <c r="G175" s="357">
        <f t="shared" si="37"/>
        <v>37.829833158159467</v>
      </c>
      <c r="I175" s="358">
        <f t="shared" si="35"/>
        <v>189</v>
      </c>
      <c r="J175" s="352">
        <f t="shared" si="41"/>
        <v>2039</v>
      </c>
      <c r="K175" s="203">
        <f t="shared" si="43"/>
        <v>50952</v>
      </c>
      <c r="V175" s="333" t="str">
        <f t="shared" si="36"/>
        <v>Summer</v>
      </c>
      <c r="AA175" s="353">
        <f t="shared" si="38"/>
        <v>2.18E-2</v>
      </c>
      <c r="AB175" s="354">
        <f t="shared" si="42"/>
        <v>0</v>
      </c>
    </row>
    <row r="176" spans="2:28" ht="17.45" hidden="1" customHeight="1" outlineLevel="1">
      <c r="B176" s="203">
        <f t="shared" si="39"/>
        <v>50983</v>
      </c>
      <c r="C176" s="355">
        <v>891766.2729586045</v>
      </c>
      <c r="D176" s="356">
        <f>IF(ISNUMBER($F176),VLOOKUP($J176,'Table 1'!$B$13:$C$37,2,FALSE)/12*1000*Study_MW,"")</f>
        <v>0</v>
      </c>
      <c r="E176" s="356">
        <f t="shared" si="40"/>
        <v>891766.2729586045</v>
      </c>
      <c r="F176" s="355">
        <v>22107.043077400005</v>
      </c>
      <c r="G176" s="357">
        <f t="shared" si="37"/>
        <v>40.338559518629417</v>
      </c>
      <c r="I176" s="358">
        <f t="shared" si="35"/>
        <v>190</v>
      </c>
      <c r="J176" s="352">
        <f t="shared" si="41"/>
        <v>2039</v>
      </c>
      <c r="K176" s="203">
        <f t="shared" si="43"/>
        <v>50983</v>
      </c>
      <c r="V176" s="333" t="str">
        <f t="shared" si="36"/>
        <v>Summer</v>
      </c>
      <c r="AA176" s="353">
        <f t="shared" si="38"/>
        <v>2.18E-2</v>
      </c>
      <c r="AB176" s="354">
        <f t="shared" si="42"/>
        <v>0</v>
      </c>
    </row>
    <row r="177" spans="2:28" ht="17.45" hidden="1" customHeight="1" outlineLevel="1">
      <c r="B177" s="203">
        <f t="shared" si="39"/>
        <v>51014</v>
      </c>
      <c r="C177" s="355">
        <v>627057.16737026162</v>
      </c>
      <c r="D177" s="356">
        <f>IF(ISNUMBER($F177),VLOOKUP($J177,'Table 1'!$B$13:$C$37,2,FALSE)/12*1000*Study_MW,"")</f>
        <v>0</v>
      </c>
      <c r="E177" s="356">
        <f t="shared" si="40"/>
        <v>627057.16737026162</v>
      </c>
      <c r="F177" s="355">
        <v>18323.89697356</v>
      </c>
      <c r="G177" s="357">
        <f t="shared" si="37"/>
        <v>34.220731991402147</v>
      </c>
      <c r="I177" s="358">
        <f t="shared" si="35"/>
        <v>191</v>
      </c>
      <c r="J177" s="352">
        <f t="shared" si="41"/>
        <v>2039</v>
      </c>
      <c r="K177" s="203">
        <f t="shared" si="43"/>
        <v>51014</v>
      </c>
      <c r="V177" s="333" t="str">
        <f t="shared" si="36"/>
        <v>Winter</v>
      </c>
      <c r="AA177" s="353">
        <f t="shared" si="38"/>
        <v>2.18E-2</v>
      </c>
      <c r="AB177" s="354">
        <f t="shared" si="42"/>
        <v>0</v>
      </c>
    </row>
    <row r="178" spans="2:28" ht="17.45" hidden="1" customHeight="1" outlineLevel="1">
      <c r="B178" s="203">
        <f t="shared" si="39"/>
        <v>51044</v>
      </c>
      <c r="C178" s="355">
        <v>240446.77602221782</v>
      </c>
      <c r="D178" s="356">
        <f>IF(ISNUMBER($F178),VLOOKUP($J178,'Table 1'!$B$13:$C$37,2,FALSE)/12*1000*Study_MW,"")</f>
        <v>0</v>
      </c>
      <c r="E178" s="356">
        <f t="shared" si="40"/>
        <v>240446.77602221782</v>
      </c>
      <c r="F178" s="355">
        <v>14144.081870669999</v>
      </c>
      <c r="G178" s="357">
        <f t="shared" si="37"/>
        <v>16.999815061932186</v>
      </c>
      <c r="I178" s="358">
        <f t="shared" si="35"/>
        <v>192</v>
      </c>
      <c r="J178" s="352">
        <f t="shared" si="41"/>
        <v>2039</v>
      </c>
      <c r="K178" s="203">
        <f t="shared" si="43"/>
        <v>51044</v>
      </c>
      <c r="V178" s="333" t="str">
        <f t="shared" si="36"/>
        <v>Winter</v>
      </c>
      <c r="AA178" s="353">
        <f t="shared" si="38"/>
        <v>2.18E-2</v>
      </c>
      <c r="AB178" s="354">
        <f t="shared" si="42"/>
        <v>0</v>
      </c>
    </row>
    <row r="179" spans="2:28" ht="17.45" hidden="1" customHeight="1" outlineLevel="1">
      <c r="B179" s="203">
        <f t="shared" si="39"/>
        <v>51075</v>
      </c>
      <c r="C179" s="355">
        <v>407711.04507683776</v>
      </c>
      <c r="D179" s="356">
        <f>IF(ISNUMBER($F179),VLOOKUP($J179,'Table 1'!$B$13:$C$37,2,FALSE)/12*1000*Study_MW,"")</f>
        <v>0</v>
      </c>
      <c r="E179" s="356">
        <f t="shared" si="40"/>
        <v>407711.04507683776</v>
      </c>
      <c r="F179" s="355">
        <v>10384.002485880001</v>
      </c>
      <c r="G179" s="357">
        <f t="shared" si="37"/>
        <v>39.263380919952269</v>
      </c>
      <c r="I179" s="358">
        <f t="shared" si="35"/>
        <v>193</v>
      </c>
      <c r="J179" s="352">
        <f t="shared" si="41"/>
        <v>2039</v>
      </c>
      <c r="K179" s="203">
        <f t="shared" si="43"/>
        <v>51075</v>
      </c>
      <c r="V179" s="333" t="str">
        <f t="shared" si="36"/>
        <v>Winter</v>
      </c>
      <c r="AA179" s="353">
        <f t="shared" si="38"/>
        <v>2.18E-2</v>
      </c>
      <c r="AB179" s="354">
        <f t="shared" si="42"/>
        <v>0</v>
      </c>
    </row>
    <row r="180" spans="2:28" ht="17.45" hidden="1" customHeight="1" outlineLevel="1">
      <c r="B180" s="204">
        <f t="shared" si="39"/>
        <v>51105</v>
      </c>
      <c r="C180" s="362">
        <v>351119.08617455023</v>
      </c>
      <c r="D180" s="363">
        <f>IF(ISNUMBER($F180),VLOOKUP($J180,'Table 1'!$B$13:$C$37,2,FALSE)/12*1000*Study_MW,"")</f>
        <v>0</v>
      </c>
      <c r="E180" s="363">
        <f t="shared" si="40"/>
        <v>351119.08617455023</v>
      </c>
      <c r="F180" s="362">
        <v>7173.2662315073349</v>
      </c>
      <c r="G180" s="364">
        <f t="shared" si="37"/>
        <v>48.948285877404103</v>
      </c>
      <c r="I180" s="365">
        <f t="shared" si="35"/>
        <v>194</v>
      </c>
      <c r="J180" s="352">
        <f t="shared" si="41"/>
        <v>2039</v>
      </c>
      <c r="K180" s="204">
        <f t="shared" si="43"/>
        <v>51105</v>
      </c>
      <c r="V180" s="333" t="str">
        <f t="shared" si="36"/>
        <v>Winter</v>
      </c>
      <c r="AA180" s="353">
        <f t="shared" si="38"/>
        <v>2.18E-2</v>
      </c>
      <c r="AB180" s="354">
        <f t="shared" si="42"/>
        <v>0</v>
      </c>
    </row>
    <row r="181" spans="2:28" ht="17.45" hidden="1" customHeight="1" outlineLevel="1">
      <c r="B181" s="202">
        <f t="shared" si="39"/>
        <v>51136</v>
      </c>
      <c r="C181" s="346">
        <v>292852.90867519687</v>
      </c>
      <c r="D181" s="347">
        <f>IF(ISNUMBER($F181),VLOOKUP($J181,'Table 1'!$B$13:$C$37,2,FALSE)/12*1000*Study_MW,"")</f>
        <v>0</v>
      </c>
      <c r="E181" s="348">
        <f t="shared" si="40"/>
        <v>292852.90867519687</v>
      </c>
      <c r="F181" s="349">
        <v>7627.3798357299993</v>
      </c>
      <c r="G181" s="350">
        <f t="shared" si="37"/>
        <v>38.394955408323199</v>
      </c>
      <c r="I181" s="366">
        <f t="shared" si="35"/>
        <v>196</v>
      </c>
      <c r="J181" s="352">
        <f t="shared" si="41"/>
        <v>2040</v>
      </c>
      <c r="K181" s="202">
        <f t="shared" si="43"/>
        <v>51136</v>
      </c>
      <c r="V181" s="333" t="str">
        <f t="shared" si="36"/>
        <v>Winter</v>
      </c>
      <c r="AA181" s="353">
        <f t="shared" si="38"/>
        <v>2.18E-2</v>
      </c>
      <c r="AB181" s="354">
        <f t="shared" si="42"/>
        <v>0</v>
      </c>
    </row>
    <row r="182" spans="2:28" ht="17.45" hidden="1" customHeight="1" outlineLevel="1">
      <c r="B182" s="203">
        <f t="shared" si="39"/>
        <v>51167</v>
      </c>
      <c r="C182" s="355">
        <v>346489.8154492621</v>
      </c>
      <c r="D182" s="356">
        <f>IF(ISNUMBER($F182),VLOOKUP($J182,'Table 1'!$B$13:$C$37,2,FALSE)/12*1000*Study_MW,"")</f>
        <v>0</v>
      </c>
      <c r="E182" s="356">
        <f t="shared" si="40"/>
        <v>346489.8154492621</v>
      </c>
      <c r="F182" s="355">
        <v>12606.410433370002</v>
      </c>
      <c r="G182" s="357">
        <f t="shared" si="37"/>
        <v>27.485208202652252</v>
      </c>
      <c r="I182" s="358">
        <f t="shared" si="35"/>
        <v>197</v>
      </c>
      <c r="J182" s="352">
        <f t="shared" si="41"/>
        <v>2040</v>
      </c>
      <c r="K182" s="203">
        <f t="shared" si="43"/>
        <v>51167</v>
      </c>
      <c r="V182" s="333" t="str">
        <f t="shared" si="36"/>
        <v>Winter</v>
      </c>
      <c r="AA182" s="353">
        <f t="shared" si="38"/>
        <v>2.18E-2</v>
      </c>
      <c r="AB182" s="354">
        <f t="shared" si="42"/>
        <v>0</v>
      </c>
    </row>
    <row r="183" spans="2:28" ht="17.45" hidden="1" customHeight="1" outlineLevel="1">
      <c r="B183" s="203">
        <f t="shared" si="39"/>
        <v>51196</v>
      </c>
      <c r="C183" s="355">
        <v>251016.35881814582</v>
      </c>
      <c r="D183" s="356">
        <f>IF(ISNUMBER($F183),VLOOKUP($J183,'Table 1'!$B$13:$C$37,2,FALSE)/12*1000*Study_MW,"")</f>
        <v>0</v>
      </c>
      <c r="E183" s="356">
        <f t="shared" si="40"/>
        <v>251016.35881814582</v>
      </c>
      <c r="F183" s="355">
        <v>15112.22367429</v>
      </c>
      <c r="G183" s="357">
        <f t="shared" si="37"/>
        <v>16.610153755545113</v>
      </c>
      <c r="I183" s="358">
        <f t="shared" si="35"/>
        <v>198</v>
      </c>
      <c r="J183" s="352">
        <f t="shared" si="41"/>
        <v>2040</v>
      </c>
      <c r="K183" s="203">
        <f t="shared" si="43"/>
        <v>51196</v>
      </c>
      <c r="V183" s="333" t="str">
        <f t="shared" si="36"/>
        <v>Winter</v>
      </c>
      <c r="AA183" s="353">
        <f t="shared" si="38"/>
        <v>2.18E-2</v>
      </c>
      <c r="AB183" s="354">
        <f t="shared" si="42"/>
        <v>0</v>
      </c>
    </row>
    <row r="184" spans="2:28" ht="17.45" hidden="1" customHeight="1" outlineLevel="1">
      <c r="B184" s="203">
        <f t="shared" si="39"/>
        <v>51227</v>
      </c>
      <c r="C184" s="355">
        <v>171139.66591956705</v>
      </c>
      <c r="D184" s="356">
        <f>IF(ISNUMBER($F184),VLOOKUP($J184,'Table 1'!$B$13:$C$37,2,FALSE)/12*1000*Study_MW,"")</f>
        <v>0</v>
      </c>
      <c r="E184" s="356">
        <f t="shared" si="40"/>
        <v>171139.66591956705</v>
      </c>
      <c r="F184" s="355">
        <v>18252.42315314</v>
      </c>
      <c r="G184" s="357">
        <f t="shared" si="37"/>
        <v>9.3762710015916735</v>
      </c>
      <c r="I184" s="358">
        <f t="shared" si="35"/>
        <v>199</v>
      </c>
      <c r="J184" s="352">
        <f t="shared" si="41"/>
        <v>2040</v>
      </c>
      <c r="K184" s="203">
        <f t="shared" si="43"/>
        <v>51227</v>
      </c>
      <c r="V184" s="333" t="str">
        <f t="shared" si="36"/>
        <v>Winter</v>
      </c>
      <c r="AA184" s="353">
        <f t="shared" si="38"/>
        <v>2.18E-2</v>
      </c>
      <c r="AB184" s="354">
        <f t="shared" si="42"/>
        <v>0</v>
      </c>
    </row>
    <row r="185" spans="2:28" ht="17.45" hidden="1" customHeight="1" outlineLevel="1">
      <c r="B185" s="203">
        <f t="shared" si="39"/>
        <v>51257</v>
      </c>
      <c r="C185" s="355">
        <v>354859.94509026932</v>
      </c>
      <c r="D185" s="356">
        <f>IF(ISNUMBER($F185),VLOOKUP($J185,'Table 1'!$B$13:$C$37,2,FALSE)/12*1000*Study_MW,"")</f>
        <v>0</v>
      </c>
      <c r="E185" s="356">
        <f t="shared" si="40"/>
        <v>354859.94509026932</v>
      </c>
      <c r="F185" s="355">
        <v>22816.392403660004</v>
      </c>
      <c r="G185" s="357">
        <f t="shared" si="37"/>
        <v>15.552850722945395</v>
      </c>
      <c r="I185" s="358">
        <f t="shared" si="35"/>
        <v>200</v>
      </c>
      <c r="J185" s="352">
        <f t="shared" si="41"/>
        <v>2040</v>
      </c>
      <c r="K185" s="203">
        <f t="shared" si="43"/>
        <v>51257</v>
      </c>
      <c r="V185" s="333" t="str">
        <f t="shared" si="36"/>
        <v>Summer</v>
      </c>
      <c r="AA185" s="353">
        <f t="shared" si="38"/>
        <v>2.18E-2</v>
      </c>
      <c r="AB185" s="354">
        <f t="shared" si="42"/>
        <v>0</v>
      </c>
    </row>
    <row r="186" spans="2:28" ht="17.45" hidden="1" customHeight="1" outlineLevel="1">
      <c r="B186" s="203">
        <f t="shared" si="39"/>
        <v>51288</v>
      </c>
      <c r="C186" s="355">
        <v>733602.38384438702</v>
      </c>
      <c r="D186" s="356">
        <f>IF(ISNUMBER($F186),VLOOKUP($J186,'Table 1'!$B$13:$C$37,2,FALSE)/12*1000*Study_MW,"")</f>
        <v>0</v>
      </c>
      <c r="E186" s="356">
        <f t="shared" si="40"/>
        <v>733602.38384438702</v>
      </c>
      <c r="F186" s="355">
        <v>26078.898836079992</v>
      </c>
      <c r="G186" s="357">
        <f t="shared" si="37"/>
        <v>28.130113485829117</v>
      </c>
      <c r="I186" s="358">
        <f t="shared" ref="I186:I252" si="44">I174+13</f>
        <v>201</v>
      </c>
      <c r="J186" s="352">
        <f t="shared" si="41"/>
        <v>2040</v>
      </c>
      <c r="K186" s="203">
        <f t="shared" si="43"/>
        <v>51288</v>
      </c>
      <c r="V186" s="333" t="str">
        <f t="shared" si="36"/>
        <v>Summer</v>
      </c>
      <c r="AA186" s="353">
        <f t="shared" si="38"/>
        <v>2.18E-2</v>
      </c>
      <c r="AB186" s="354">
        <f t="shared" si="42"/>
        <v>0</v>
      </c>
    </row>
    <row r="187" spans="2:28" ht="17.45" hidden="1" customHeight="1" outlineLevel="1">
      <c r="B187" s="203">
        <f t="shared" si="39"/>
        <v>51318</v>
      </c>
      <c r="C187" s="355">
        <v>561575.11066087685</v>
      </c>
      <c r="D187" s="356">
        <f>IF(ISNUMBER($F187),VLOOKUP($J187,'Table 1'!$B$13:$C$37,2,FALSE)/12*1000*Study_MW,"")</f>
        <v>0</v>
      </c>
      <c r="E187" s="356">
        <f t="shared" si="40"/>
        <v>561575.11066087685</v>
      </c>
      <c r="F187" s="355">
        <v>24181.52623834999</v>
      </c>
      <c r="G187" s="357">
        <f t="shared" si="37"/>
        <v>23.223311263548911</v>
      </c>
      <c r="I187" s="358">
        <f t="shared" si="44"/>
        <v>202</v>
      </c>
      <c r="J187" s="352">
        <f t="shared" si="41"/>
        <v>2040</v>
      </c>
      <c r="K187" s="203">
        <f t="shared" si="43"/>
        <v>51318</v>
      </c>
      <c r="V187" s="333" t="str">
        <f t="shared" si="36"/>
        <v>Summer</v>
      </c>
      <c r="AA187" s="353">
        <f t="shared" si="38"/>
        <v>2.18E-2</v>
      </c>
      <c r="AB187" s="354">
        <f t="shared" si="42"/>
        <v>0</v>
      </c>
    </row>
    <row r="188" spans="2:28" ht="17.45" hidden="1" customHeight="1" outlineLevel="1">
      <c r="B188" s="203">
        <f t="shared" si="39"/>
        <v>51349</v>
      </c>
      <c r="C188" s="355">
        <v>1146369.7505921845</v>
      </c>
      <c r="D188" s="356">
        <f>IF(ISNUMBER($F188),VLOOKUP($J188,'Table 1'!$B$13:$C$37,2,FALSE)/12*1000*Study_MW,"")</f>
        <v>0</v>
      </c>
      <c r="E188" s="356">
        <f t="shared" si="40"/>
        <v>1146369.7505921845</v>
      </c>
      <c r="F188" s="355">
        <v>22063.155447009995</v>
      </c>
      <c r="G188" s="357">
        <f t="shared" si="37"/>
        <v>51.958558391408189</v>
      </c>
      <c r="I188" s="358">
        <f t="shared" si="44"/>
        <v>203</v>
      </c>
      <c r="J188" s="352">
        <f t="shared" si="41"/>
        <v>2040</v>
      </c>
      <c r="K188" s="203">
        <f t="shared" si="43"/>
        <v>51349</v>
      </c>
      <c r="V188" s="333" t="str">
        <f t="shared" si="36"/>
        <v>Summer</v>
      </c>
      <c r="AA188" s="353">
        <f t="shared" si="38"/>
        <v>2.18E-2</v>
      </c>
      <c r="AB188" s="354">
        <f t="shared" si="42"/>
        <v>0</v>
      </c>
    </row>
    <row r="189" spans="2:28" ht="17.45" hidden="1" customHeight="1" outlineLevel="1">
      <c r="B189" s="203">
        <f t="shared" si="39"/>
        <v>51380</v>
      </c>
      <c r="C189" s="355">
        <v>689495.60299696168</v>
      </c>
      <c r="D189" s="356">
        <f>IF(ISNUMBER($F189),VLOOKUP($J189,'Table 1'!$B$13:$C$37,2,FALSE)/12*1000*Study_MW,"")</f>
        <v>0</v>
      </c>
      <c r="E189" s="356">
        <f t="shared" si="40"/>
        <v>689495.60299696168</v>
      </c>
      <c r="F189" s="355">
        <v>17838.183827270004</v>
      </c>
      <c r="G189" s="357">
        <f t="shared" si="37"/>
        <v>38.652791656003672</v>
      </c>
      <c r="I189" s="358">
        <f t="shared" si="44"/>
        <v>204</v>
      </c>
      <c r="J189" s="352">
        <f t="shared" si="41"/>
        <v>2040</v>
      </c>
      <c r="K189" s="203">
        <f t="shared" si="43"/>
        <v>51380</v>
      </c>
      <c r="V189" s="333" t="str">
        <f t="shared" si="36"/>
        <v>Winter</v>
      </c>
      <c r="AA189" s="353">
        <f t="shared" si="38"/>
        <v>2.18E-2</v>
      </c>
      <c r="AB189" s="354">
        <f t="shared" si="42"/>
        <v>0</v>
      </c>
    </row>
    <row r="190" spans="2:28" ht="17.45" hidden="1" customHeight="1" outlineLevel="1">
      <c r="B190" s="203">
        <f t="shared" si="39"/>
        <v>51410</v>
      </c>
      <c r="C190" s="355">
        <v>350011.5888670698</v>
      </c>
      <c r="D190" s="356">
        <f>IF(ISNUMBER($F190),VLOOKUP($J190,'Table 1'!$B$13:$C$37,2,FALSE)/12*1000*Study_MW,"")</f>
        <v>0</v>
      </c>
      <c r="E190" s="356">
        <f t="shared" si="40"/>
        <v>350011.5888670698</v>
      </c>
      <c r="F190" s="355">
        <v>13917.567764930001</v>
      </c>
      <c r="G190" s="357">
        <f t="shared" si="37"/>
        <v>25.148904950837881</v>
      </c>
      <c r="I190" s="358">
        <f t="shared" si="44"/>
        <v>205</v>
      </c>
      <c r="J190" s="352">
        <f t="shared" si="41"/>
        <v>2040</v>
      </c>
      <c r="K190" s="203">
        <f t="shared" si="43"/>
        <v>51410</v>
      </c>
      <c r="V190" s="333" t="str">
        <f t="shared" si="36"/>
        <v>Winter</v>
      </c>
      <c r="AA190" s="353">
        <f t="shared" si="38"/>
        <v>2.18E-2</v>
      </c>
      <c r="AB190" s="354">
        <f t="shared" si="42"/>
        <v>0</v>
      </c>
    </row>
    <row r="191" spans="2:28" ht="17.45" hidden="1" customHeight="1" outlineLevel="1">
      <c r="B191" s="203">
        <f t="shared" si="39"/>
        <v>51441</v>
      </c>
      <c r="C191" s="355">
        <v>392766.1943844796</v>
      </c>
      <c r="D191" s="356">
        <f>IF(ISNUMBER($F191),VLOOKUP($J191,'Table 1'!$B$13:$C$37,2,FALSE)/12*1000*Study_MW,"")</f>
        <v>0</v>
      </c>
      <c r="E191" s="356">
        <f t="shared" si="40"/>
        <v>392766.1943844796</v>
      </c>
      <c r="F191" s="355">
        <v>10083.868165219998</v>
      </c>
      <c r="G191" s="357">
        <f t="shared" si="37"/>
        <v>38.949953326359328</v>
      </c>
      <c r="I191" s="358">
        <f t="shared" si="44"/>
        <v>206</v>
      </c>
      <c r="J191" s="352">
        <f t="shared" si="41"/>
        <v>2040</v>
      </c>
      <c r="K191" s="203">
        <f t="shared" si="43"/>
        <v>51441</v>
      </c>
      <c r="V191" s="333" t="str">
        <f t="shared" si="36"/>
        <v>Winter</v>
      </c>
      <c r="AA191" s="353">
        <f t="shared" si="38"/>
        <v>2.18E-2</v>
      </c>
      <c r="AB191" s="354">
        <f t="shared" si="42"/>
        <v>0</v>
      </c>
    </row>
    <row r="192" spans="2:28" ht="17.45" hidden="1" customHeight="1" outlineLevel="1">
      <c r="B192" s="204">
        <f t="shared" si="39"/>
        <v>51471</v>
      </c>
      <c r="C192" s="362">
        <v>333855.27238871693</v>
      </c>
      <c r="D192" s="363">
        <f>IF(ISNUMBER($F192),VLOOKUP($J192,'Table 1'!$B$13:$C$37,2,FALSE)/12*1000*Study_MW,"")</f>
        <v>0</v>
      </c>
      <c r="E192" s="363">
        <f t="shared" si="40"/>
        <v>333855.27238871693</v>
      </c>
      <c r="F192" s="362">
        <v>7122.3485156696561</v>
      </c>
      <c r="G192" s="364">
        <f t="shared" si="37"/>
        <v>46.874324059572821</v>
      </c>
      <c r="I192" s="365">
        <f t="shared" si="44"/>
        <v>207</v>
      </c>
      <c r="J192" s="352">
        <f t="shared" si="41"/>
        <v>2040</v>
      </c>
      <c r="K192" s="204">
        <f t="shared" si="43"/>
        <v>51471</v>
      </c>
      <c r="V192" s="333" t="str">
        <f t="shared" si="36"/>
        <v>Winter</v>
      </c>
      <c r="AA192" s="353">
        <f t="shared" si="38"/>
        <v>2.18E-2</v>
      </c>
      <c r="AB192" s="354">
        <f t="shared" si="42"/>
        <v>0</v>
      </c>
    </row>
    <row r="193" spans="2:28" ht="17.45" hidden="1" customHeight="1" outlineLevel="1">
      <c r="B193" s="202">
        <f t="shared" si="39"/>
        <v>51502</v>
      </c>
      <c r="C193" s="346">
        <v>352024.32747394778</v>
      </c>
      <c r="D193" s="347">
        <f>IF(ISNUMBER($F193),VLOOKUP($J193,'Table 1'!$B$13:$C$37,2,FALSE)/12*1000*Study_MW,"")</f>
        <v>0</v>
      </c>
      <c r="E193" s="348">
        <f t="shared" si="40"/>
        <v>352024.32747394778</v>
      </c>
      <c r="F193" s="349">
        <v>7525.6900247900003</v>
      </c>
      <c r="G193" s="350">
        <f t="shared" si="37"/>
        <v>46.776352243363995</v>
      </c>
      <c r="I193" s="366">
        <f t="shared" si="44"/>
        <v>209</v>
      </c>
      <c r="J193" s="352">
        <f t="shared" ref="J193:J240" si="45">YEAR(B193)</f>
        <v>2041</v>
      </c>
      <c r="K193" s="202">
        <f t="shared" ref="K193:K240" si="46">IF(ISNUMBER(F193),IF(F193&lt;&gt;0,B193,""),"")</f>
        <v>51502</v>
      </c>
      <c r="M193" s="353">
        <f>F181*IF(MONTH(B193)=2,IF(MOD($J193,4)=0,29/28,IF(MOD($J181,4)=0,28/29)),1)</f>
        <v>7627.3798357299993</v>
      </c>
      <c r="V193" s="333" t="str">
        <f t="shared" si="36"/>
        <v>Winter</v>
      </c>
      <c r="AA193" s="353">
        <f t="shared" si="38"/>
        <v>2.18E-2</v>
      </c>
      <c r="AB193" s="354">
        <f t="shared" si="42"/>
        <v>0</v>
      </c>
    </row>
    <row r="194" spans="2:28" ht="17.45" hidden="1" customHeight="1" outlineLevel="1">
      <c r="B194" s="203">
        <f t="shared" si="39"/>
        <v>51533</v>
      </c>
      <c r="C194" s="355">
        <v>331647.37906194571</v>
      </c>
      <c r="D194" s="356">
        <f>IF(ISNUMBER($F194),VLOOKUP($J194,'Table 1'!$B$13:$C$37,2,FALSE)/12*1000*Study_MW,"")</f>
        <v>0</v>
      </c>
      <c r="E194" s="356">
        <f t="shared" si="40"/>
        <v>331647.37906194571</v>
      </c>
      <c r="F194" s="355">
        <v>12222.750821800002</v>
      </c>
      <c r="G194" s="357">
        <f t="shared" si="37"/>
        <v>27.133612056496556</v>
      </c>
      <c r="I194" s="358">
        <f t="shared" si="44"/>
        <v>210</v>
      </c>
      <c r="J194" s="352">
        <f t="shared" si="45"/>
        <v>2041</v>
      </c>
      <c r="K194" s="203">
        <f t="shared" si="46"/>
        <v>51533</v>
      </c>
      <c r="M194" s="353"/>
      <c r="V194" s="333" t="str">
        <f t="shared" si="36"/>
        <v>Winter</v>
      </c>
      <c r="AA194" s="353">
        <f t="shared" si="38"/>
        <v>2.18E-2</v>
      </c>
      <c r="AB194" s="354">
        <f t="shared" si="42"/>
        <v>0</v>
      </c>
    </row>
    <row r="195" spans="2:28" ht="17.45" hidden="1" customHeight="1" outlineLevel="1">
      <c r="B195" s="203">
        <f t="shared" si="39"/>
        <v>51561</v>
      </c>
      <c r="C195" s="355">
        <v>302972.00311440701</v>
      </c>
      <c r="D195" s="356">
        <f>IF(ISNUMBER($F195),VLOOKUP($J195,'Table 1'!$B$13:$C$37,2,FALSE)/12*1000*Study_MW,"")</f>
        <v>0</v>
      </c>
      <c r="E195" s="356">
        <f t="shared" si="40"/>
        <v>302972.00311440701</v>
      </c>
      <c r="F195" s="355">
        <v>15349.060846860004</v>
      </c>
      <c r="G195" s="357">
        <f t="shared" si="37"/>
        <v>19.738797450684856</v>
      </c>
      <c r="I195" s="358">
        <f t="shared" si="44"/>
        <v>211</v>
      </c>
      <c r="J195" s="352">
        <f t="shared" si="45"/>
        <v>2041</v>
      </c>
      <c r="K195" s="203">
        <f t="shared" si="46"/>
        <v>51561</v>
      </c>
      <c r="M195" s="353"/>
      <c r="V195" s="333" t="str">
        <f t="shared" si="36"/>
        <v>Winter</v>
      </c>
      <c r="AA195" s="353">
        <f t="shared" si="38"/>
        <v>2.18E-2</v>
      </c>
      <c r="AB195" s="354">
        <f t="shared" si="42"/>
        <v>0</v>
      </c>
    </row>
    <row r="196" spans="2:28" ht="17.45" hidden="1" customHeight="1" outlineLevel="1">
      <c r="B196" s="203">
        <f t="shared" si="39"/>
        <v>51592</v>
      </c>
      <c r="C196" s="355">
        <v>257755.38573305312</v>
      </c>
      <c r="D196" s="356">
        <f>IF(ISNUMBER($F196),VLOOKUP($J196,'Table 1'!$B$13:$C$37,2,FALSE)/12*1000*Study_MW,"")</f>
        <v>0</v>
      </c>
      <c r="E196" s="356">
        <f t="shared" si="40"/>
        <v>257755.38573305312</v>
      </c>
      <c r="F196" s="355">
        <v>18443.102017050001</v>
      </c>
      <c r="G196" s="357">
        <f t="shared" si="37"/>
        <v>13.9757067707356</v>
      </c>
      <c r="I196" s="358">
        <f t="shared" si="44"/>
        <v>212</v>
      </c>
      <c r="J196" s="352">
        <f t="shared" si="45"/>
        <v>2041</v>
      </c>
      <c r="K196" s="203">
        <f t="shared" si="46"/>
        <v>51592</v>
      </c>
      <c r="M196" s="353"/>
      <c r="V196" s="333" t="str">
        <f t="shared" si="36"/>
        <v>Winter</v>
      </c>
      <c r="AA196" s="353">
        <f t="shared" si="38"/>
        <v>2.18E-2</v>
      </c>
      <c r="AB196" s="354">
        <f t="shared" si="42"/>
        <v>0</v>
      </c>
    </row>
    <row r="197" spans="2:28" ht="17.45" hidden="1" customHeight="1" outlineLevel="1">
      <c r="B197" s="203">
        <f t="shared" si="39"/>
        <v>51622</v>
      </c>
      <c r="C197" s="355">
        <v>268127.52746872319</v>
      </c>
      <c r="D197" s="356">
        <f>IF(ISNUMBER($F197),VLOOKUP($J197,'Table 1'!$B$13:$C$37,2,FALSE)/12*1000*Study_MW,"")</f>
        <v>0</v>
      </c>
      <c r="E197" s="356">
        <f t="shared" si="40"/>
        <v>268127.52746872319</v>
      </c>
      <c r="F197" s="355">
        <v>22769.053432320001</v>
      </c>
      <c r="G197" s="357">
        <f t="shared" si="37"/>
        <v>11.775962855272853</v>
      </c>
      <c r="I197" s="358">
        <f t="shared" si="44"/>
        <v>213</v>
      </c>
      <c r="J197" s="352">
        <f t="shared" si="45"/>
        <v>2041</v>
      </c>
      <c r="K197" s="203">
        <f t="shared" si="46"/>
        <v>51622</v>
      </c>
      <c r="M197" s="353"/>
      <c r="V197" s="333" t="str">
        <f t="shared" si="36"/>
        <v>Summer</v>
      </c>
      <c r="AA197" s="353">
        <f t="shared" si="38"/>
        <v>2.18E-2</v>
      </c>
      <c r="AB197" s="354">
        <f t="shared" si="42"/>
        <v>0</v>
      </c>
    </row>
    <row r="198" spans="2:28" ht="17.45" hidden="1" customHeight="1" outlineLevel="1">
      <c r="B198" s="203">
        <f t="shared" si="39"/>
        <v>51653</v>
      </c>
      <c r="C198" s="355">
        <v>722415.87030855857</v>
      </c>
      <c r="D198" s="356">
        <f>IF(ISNUMBER($F198),VLOOKUP($J198,'Table 1'!$B$13:$C$37,2,FALSE)/12*1000*Study_MW,"")</f>
        <v>0</v>
      </c>
      <c r="E198" s="356">
        <f t="shared" si="40"/>
        <v>722415.87030855857</v>
      </c>
      <c r="F198" s="355">
        <v>25458.6383742</v>
      </c>
      <c r="G198" s="357">
        <f t="shared" si="37"/>
        <v>28.376060796741626</v>
      </c>
      <c r="I198" s="358">
        <f t="shared" si="44"/>
        <v>214</v>
      </c>
      <c r="J198" s="352">
        <f t="shared" si="45"/>
        <v>2041</v>
      </c>
      <c r="K198" s="203">
        <f t="shared" si="46"/>
        <v>51653</v>
      </c>
      <c r="M198" s="353"/>
      <c r="V198" s="333" t="str">
        <f t="shared" si="36"/>
        <v>Summer</v>
      </c>
      <c r="AA198" s="353">
        <f t="shared" si="38"/>
        <v>2.18E-2</v>
      </c>
      <c r="AB198" s="354">
        <f t="shared" si="42"/>
        <v>0</v>
      </c>
    </row>
    <row r="199" spans="2:28" ht="17.45" hidden="1" customHeight="1" outlineLevel="1">
      <c r="B199" s="203">
        <f t="shared" si="39"/>
        <v>51683</v>
      </c>
      <c r="C199" s="355">
        <v>1157037.833721908</v>
      </c>
      <c r="D199" s="356">
        <f>IF(ISNUMBER($F199),VLOOKUP($J199,'Table 1'!$B$13:$C$37,2,FALSE)/12*1000*Study_MW,"")</f>
        <v>0</v>
      </c>
      <c r="E199" s="356">
        <f t="shared" si="40"/>
        <v>1157037.833721908</v>
      </c>
      <c r="F199" s="355">
        <v>24333.170498810006</v>
      </c>
      <c r="G199" s="357">
        <f t="shared" si="37"/>
        <v>47.549818211255783</v>
      </c>
      <c r="I199" s="358">
        <f t="shared" si="44"/>
        <v>215</v>
      </c>
      <c r="J199" s="352">
        <f t="shared" si="45"/>
        <v>2041</v>
      </c>
      <c r="K199" s="203">
        <f t="shared" si="46"/>
        <v>51683</v>
      </c>
      <c r="M199" s="353"/>
      <c r="V199" s="333" t="str">
        <f t="shared" si="36"/>
        <v>Summer</v>
      </c>
      <c r="AA199" s="353">
        <f t="shared" si="38"/>
        <v>2.18E-2</v>
      </c>
      <c r="AB199" s="354">
        <f t="shared" si="42"/>
        <v>0</v>
      </c>
    </row>
    <row r="200" spans="2:28" ht="17.45" hidden="1" customHeight="1" outlineLevel="1">
      <c r="B200" s="203">
        <f t="shared" si="39"/>
        <v>51714</v>
      </c>
      <c r="C200" s="355">
        <v>950126.14820349705</v>
      </c>
      <c r="D200" s="356">
        <f>IF(ISNUMBER($F200),VLOOKUP($J200,'Table 1'!$B$13:$C$37,2,FALSE)/12*1000*Study_MW,"")</f>
        <v>0</v>
      </c>
      <c r="E200" s="356">
        <f t="shared" si="40"/>
        <v>950126.14820349705</v>
      </c>
      <c r="F200" s="355">
        <v>22038.106037040001</v>
      </c>
      <c r="G200" s="357">
        <f t="shared" si="37"/>
        <v>43.112876696690542</v>
      </c>
      <c r="I200" s="358">
        <f t="shared" si="44"/>
        <v>216</v>
      </c>
      <c r="J200" s="352">
        <f t="shared" si="45"/>
        <v>2041</v>
      </c>
      <c r="K200" s="203">
        <f t="shared" si="46"/>
        <v>51714</v>
      </c>
      <c r="M200" s="353"/>
      <c r="V200" s="333" t="str">
        <f t="shared" si="36"/>
        <v>Summer</v>
      </c>
      <c r="AA200" s="353">
        <f t="shared" si="38"/>
        <v>2.18E-2</v>
      </c>
      <c r="AB200" s="354">
        <f t="shared" si="42"/>
        <v>0</v>
      </c>
    </row>
    <row r="201" spans="2:28" ht="17.45" hidden="1" customHeight="1" outlineLevel="1">
      <c r="B201" s="203">
        <f t="shared" si="39"/>
        <v>51745</v>
      </c>
      <c r="C201" s="355">
        <v>568415.67327846133</v>
      </c>
      <c r="D201" s="356">
        <f>IF(ISNUMBER($F201),VLOOKUP($J201,'Table 1'!$B$13:$C$37,2,FALSE)/12*1000*Study_MW,"")</f>
        <v>0</v>
      </c>
      <c r="E201" s="356">
        <f t="shared" si="40"/>
        <v>568415.67327846133</v>
      </c>
      <c r="F201" s="355">
        <v>17643.080984419998</v>
      </c>
      <c r="G201" s="357">
        <f t="shared" si="37"/>
        <v>32.217483657214395</v>
      </c>
      <c r="I201" s="358">
        <f t="shared" si="44"/>
        <v>217</v>
      </c>
      <c r="J201" s="352">
        <f t="shared" si="45"/>
        <v>2041</v>
      </c>
      <c r="K201" s="203">
        <f t="shared" si="46"/>
        <v>51745</v>
      </c>
      <c r="M201" s="353"/>
      <c r="V201" s="333" t="str">
        <f t="shared" si="36"/>
        <v>Winter</v>
      </c>
      <c r="AA201" s="353">
        <f t="shared" si="38"/>
        <v>2.18E-2</v>
      </c>
      <c r="AB201" s="354">
        <f t="shared" si="42"/>
        <v>0</v>
      </c>
    </row>
    <row r="202" spans="2:28" ht="17.45" hidden="1" customHeight="1" outlineLevel="1">
      <c r="B202" s="203">
        <f t="shared" si="39"/>
        <v>51775</v>
      </c>
      <c r="C202" s="355">
        <v>262000.6921862787</v>
      </c>
      <c r="D202" s="356">
        <f>IF(ISNUMBER($F202),VLOOKUP($J202,'Table 1'!$B$13:$C$37,2,FALSE)/12*1000*Study_MW,"")</f>
        <v>0</v>
      </c>
      <c r="E202" s="356">
        <f t="shared" si="40"/>
        <v>262000.6921862787</v>
      </c>
      <c r="F202" s="355">
        <v>13668.16531065</v>
      </c>
      <c r="G202" s="357">
        <f t="shared" si="37"/>
        <v>19.16868037747043</v>
      </c>
      <c r="I202" s="358">
        <f t="shared" si="44"/>
        <v>218</v>
      </c>
      <c r="J202" s="352">
        <f t="shared" si="45"/>
        <v>2041</v>
      </c>
      <c r="K202" s="203">
        <f t="shared" si="46"/>
        <v>51775</v>
      </c>
      <c r="M202" s="353"/>
      <c r="V202" s="333" t="str">
        <f t="shared" si="36"/>
        <v>Winter</v>
      </c>
      <c r="AA202" s="353">
        <f t="shared" si="38"/>
        <v>2.18E-2</v>
      </c>
      <c r="AB202" s="354">
        <f t="shared" si="42"/>
        <v>0</v>
      </c>
    </row>
    <row r="203" spans="2:28" ht="17.45" hidden="1" customHeight="1" outlineLevel="1">
      <c r="B203" s="203">
        <f t="shared" si="39"/>
        <v>51806</v>
      </c>
      <c r="C203" s="355">
        <v>372297.70208860282</v>
      </c>
      <c r="D203" s="356">
        <f>IF(ISNUMBER($F203),VLOOKUP($J203,'Table 1'!$B$13:$C$37,2,FALSE)/12*1000*Study_MW,"")</f>
        <v>0</v>
      </c>
      <c r="E203" s="356">
        <f t="shared" si="40"/>
        <v>372297.70208860282</v>
      </c>
      <c r="F203" s="355">
        <v>9752.1210362599995</v>
      </c>
      <c r="G203" s="357">
        <f t="shared" si="37"/>
        <v>38.176074794840872</v>
      </c>
      <c r="I203" s="358">
        <f t="shared" si="44"/>
        <v>219</v>
      </c>
      <c r="J203" s="352">
        <f t="shared" si="45"/>
        <v>2041</v>
      </c>
      <c r="K203" s="203">
        <f t="shared" si="46"/>
        <v>51806</v>
      </c>
      <c r="M203" s="353"/>
      <c r="V203" s="333" t="str">
        <f t="shared" si="36"/>
        <v>Winter</v>
      </c>
      <c r="AA203" s="353">
        <f t="shared" si="38"/>
        <v>2.18E-2</v>
      </c>
      <c r="AB203" s="354">
        <f t="shared" si="42"/>
        <v>0</v>
      </c>
    </row>
    <row r="204" spans="2:28" ht="17.45" hidden="1" customHeight="1" outlineLevel="1">
      <c r="B204" s="204">
        <f t="shared" si="39"/>
        <v>51836</v>
      </c>
      <c r="C204" s="362">
        <v>469321.55346978497</v>
      </c>
      <c r="D204" s="363">
        <f>IF(ISNUMBER($F204),VLOOKUP($J204,'Table 1'!$B$13:$C$37,2,FALSE)/12*1000*Study_MW,"")</f>
        <v>0</v>
      </c>
      <c r="E204" s="363">
        <f t="shared" si="40"/>
        <v>469321.55346978497</v>
      </c>
      <c r="F204" s="362">
        <v>7088.9692049666673</v>
      </c>
      <c r="G204" s="364">
        <f t="shared" si="37"/>
        <v>66.204484728325426</v>
      </c>
      <c r="I204" s="365">
        <f t="shared" si="44"/>
        <v>220</v>
      </c>
      <c r="J204" s="352">
        <f t="shared" si="45"/>
        <v>2041</v>
      </c>
      <c r="K204" s="204">
        <f t="shared" si="46"/>
        <v>51836</v>
      </c>
      <c r="M204" s="353"/>
      <c r="V204" s="333" t="str">
        <f t="shared" ref="V204:V267" si="47">IFERROR(IF(AND(MONTH(K205)&gt;=6,MONTH(K205)&lt;=9),"Summer","Winter"),"-")</f>
        <v>Winter</v>
      </c>
      <c r="AA204" s="353">
        <f t="shared" si="38"/>
        <v>2.18E-2</v>
      </c>
      <c r="AB204" s="354">
        <f t="shared" si="42"/>
        <v>0</v>
      </c>
    </row>
    <row r="205" spans="2:28" ht="17.45" hidden="1" customHeight="1" outlineLevel="1">
      <c r="B205" s="202">
        <f t="shared" si="39"/>
        <v>51867</v>
      </c>
      <c r="C205" s="346">
        <v>442568.76922116498</v>
      </c>
      <c r="D205" s="347">
        <f>IF(ISNUMBER($F205),VLOOKUP($J205,'Table 1'!$B$13:$C$37,2,FALSE)/12*1000*Study_MW,"")</f>
        <v>0</v>
      </c>
      <c r="E205" s="348">
        <f t="shared" si="40"/>
        <v>442568.76922116498</v>
      </c>
      <c r="F205" s="349">
        <v>7451.1540772699991</v>
      </c>
      <c r="G205" s="350">
        <f t="shared" ref="G205" si="48">IF(ISNUMBER($F205),E205/$F205,"")</f>
        <v>59.396002905272915</v>
      </c>
      <c r="I205" s="366">
        <f t="shared" si="44"/>
        <v>222</v>
      </c>
      <c r="J205" s="352">
        <f t="shared" si="45"/>
        <v>2042</v>
      </c>
      <c r="K205" s="202">
        <f t="shared" si="46"/>
        <v>51867</v>
      </c>
      <c r="M205" s="353"/>
      <c r="N205" s="367">
        <f t="shared" ref="N205:P220" si="49">E205/E193-1</f>
        <v>0.25721075130501636</v>
      </c>
      <c r="O205" s="367">
        <f t="shared" si="49"/>
        <v>-9.9042011130509033E-3</v>
      </c>
      <c r="P205" s="367">
        <f t="shared" si="49"/>
        <v>0.2697869768949166</v>
      </c>
      <c r="V205" s="333" t="str">
        <f t="shared" si="47"/>
        <v>Winter</v>
      </c>
      <c r="AA205" s="353">
        <f t="shared" ref="AA205:AA268" si="50">Inflation</f>
        <v>2.18E-2</v>
      </c>
      <c r="AB205" s="354">
        <f t="shared" si="42"/>
        <v>0</v>
      </c>
    </row>
    <row r="206" spans="2:28" ht="17.45" hidden="1" customHeight="1" outlineLevel="1">
      <c r="B206" s="203">
        <f t="shared" ref="B206:B252" si="51">EDATE(B205,1)</f>
        <v>51898</v>
      </c>
      <c r="C206" s="355">
        <v>455996.64735258557</v>
      </c>
      <c r="D206" s="356">
        <f>IF(ISNUMBER($F206),VLOOKUP($J206,'Table 1'!$B$13:$C$37,2,FALSE)/12*1000*Study_MW,"")</f>
        <v>0</v>
      </c>
      <c r="E206" s="356">
        <f t="shared" ref="E206:E269" si="52">IF(ISNUMBER(C206+D206),C206+D206,"")</f>
        <v>455996.64735258557</v>
      </c>
      <c r="F206" s="355">
        <v>11645.2000066</v>
      </c>
      <c r="G206" s="357">
        <f t="shared" ref="G206" si="53">IF(ISNUMBER($F206),E206/$F206,"")</f>
        <v>39.157476650821472</v>
      </c>
      <c r="I206" s="358">
        <f t="shared" si="44"/>
        <v>223</v>
      </c>
      <c r="J206" s="352">
        <f t="shared" si="45"/>
        <v>2042</v>
      </c>
      <c r="K206" s="203">
        <f t="shared" si="46"/>
        <v>51898</v>
      </c>
      <c r="M206" s="353"/>
      <c r="N206" s="367">
        <f t="shared" si="49"/>
        <v>0.37494422130624971</v>
      </c>
      <c r="O206" s="367">
        <f t="shared" si="49"/>
        <v>-4.7252113997931278E-2</v>
      </c>
      <c r="P206" s="367">
        <f t="shared" si="49"/>
        <v>0.44313542072059153</v>
      </c>
      <c r="V206" s="333" t="str">
        <f t="shared" si="47"/>
        <v>Winter</v>
      </c>
      <c r="AA206" s="353">
        <f t="shared" si="50"/>
        <v>2.18E-2</v>
      </c>
      <c r="AB206" s="354">
        <f t="shared" ref="AB206:AB269" si="54">IF($AB$8="Solar",IFERROR(IF(J206&gt;$AD$1,-0.005,0),AB194),0)</f>
        <v>0</v>
      </c>
    </row>
    <row r="207" spans="2:28" ht="17.45" hidden="1" customHeight="1" outlineLevel="1">
      <c r="B207" s="203">
        <f t="shared" si="51"/>
        <v>51926</v>
      </c>
      <c r="C207" s="355">
        <v>327532.8384708846</v>
      </c>
      <c r="D207" s="356">
        <f>IF(ISNUMBER($F207),VLOOKUP($J207,'Table 1'!$B$13:$C$37,2,FALSE)/12*1000*Study_MW,"")</f>
        <v>0</v>
      </c>
      <c r="E207" s="356">
        <f t="shared" si="52"/>
        <v>327532.8384708846</v>
      </c>
      <c r="F207" s="355">
        <v>13913.99026463</v>
      </c>
      <c r="G207" s="357">
        <f t="shared" ref="G207:G270" si="55">IF(ISNUMBER($F207),E207/$F207,"")</f>
        <v>23.53982087392199</v>
      </c>
      <c r="I207" s="358">
        <f t="shared" si="44"/>
        <v>224</v>
      </c>
      <c r="J207" s="352">
        <f t="shared" si="45"/>
        <v>2042</v>
      </c>
      <c r="K207" s="203">
        <f t="shared" si="46"/>
        <v>51926</v>
      </c>
      <c r="M207" s="353"/>
      <c r="N207" s="367">
        <f t="shared" si="49"/>
        <v>8.1066353009532133E-2</v>
      </c>
      <c r="O207" s="367">
        <f t="shared" si="49"/>
        <v>-9.3495660519423929E-2</v>
      </c>
      <c r="P207" s="367">
        <f t="shared" si="49"/>
        <v>0.19256610909218552</v>
      </c>
      <c r="V207" s="333" t="str">
        <f t="shared" si="47"/>
        <v>Winter</v>
      </c>
      <c r="AA207" s="353">
        <f t="shared" si="50"/>
        <v>2.18E-2</v>
      </c>
      <c r="AB207" s="354">
        <f t="shared" si="54"/>
        <v>0</v>
      </c>
    </row>
    <row r="208" spans="2:28" ht="17.45" hidden="1" customHeight="1" outlineLevel="1">
      <c r="B208" s="203">
        <f t="shared" si="51"/>
        <v>51957</v>
      </c>
      <c r="C208" s="355">
        <v>356628.73212966224</v>
      </c>
      <c r="D208" s="356">
        <f>IF(ISNUMBER($F208),VLOOKUP($J208,'Table 1'!$B$13:$C$37,2,FALSE)/12*1000*Study_MW,"")</f>
        <v>0</v>
      </c>
      <c r="E208" s="356">
        <f t="shared" si="52"/>
        <v>356628.73212966224</v>
      </c>
      <c r="F208" s="355">
        <v>18090.94731335</v>
      </c>
      <c r="G208" s="357">
        <f t="shared" si="55"/>
        <v>19.713104347304814</v>
      </c>
      <c r="I208" s="358">
        <f t="shared" si="44"/>
        <v>225</v>
      </c>
      <c r="J208" s="352">
        <f t="shared" si="45"/>
        <v>2042</v>
      </c>
      <c r="K208" s="203">
        <f t="shared" si="46"/>
        <v>51957</v>
      </c>
      <c r="M208" s="353"/>
      <c r="N208" s="367">
        <f t="shared" si="49"/>
        <v>0.38359371663724717</v>
      </c>
      <c r="O208" s="367">
        <f t="shared" si="49"/>
        <v>-1.9094114611221458E-2</v>
      </c>
      <c r="P208" s="367">
        <f t="shared" si="49"/>
        <v>0.41052647073155724</v>
      </c>
      <c r="V208" s="333" t="str">
        <f t="shared" si="47"/>
        <v>Winter</v>
      </c>
      <c r="AA208" s="353">
        <f t="shared" si="50"/>
        <v>2.18E-2</v>
      </c>
      <c r="AB208" s="354">
        <f t="shared" si="54"/>
        <v>0</v>
      </c>
    </row>
    <row r="209" spans="2:28" ht="17.45" hidden="1" customHeight="1" outlineLevel="1">
      <c r="B209" s="203">
        <f t="shared" si="51"/>
        <v>51987</v>
      </c>
      <c r="C209" s="355">
        <v>349608.19828683452</v>
      </c>
      <c r="D209" s="356">
        <f>IF(ISNUMBER($F209),VLOOKUP($J209,'Table 1'!$B$13:$C$37,2,FALSE)/12*1000*Study_MW,"")</f>
        <v>0</v>
      </c>
      <c r="E209" s="356">
        <f t="shared" si="52"/>
        <v>349608.19828683452</v>
      </c>
      <c r="F209" s="355">
        <v>21222.089065699998</v>
      </c>
      <c r="G209" s="357">
        <f t="shared" si="55"/>
        <v>16.473788099018275</v>
      </c>
      <c r="I209" s="358">
        <f t="shared" si="44"/>
        <v>226</v>
      </c>
      <c r="J209" s="352">
        <f t="shared" si="45"/>
        <v>2042</v>
      </c>
      <c r="K209" s="203">
        <f t="shared" si="46"/>
        <v>51987</v>
      </c>
      <c r="M209" s="353"/>
      <c r="N209" s="367">
        <f t="shared" si="49"/>
        <v>0.30388774918910921</v>
      </c>
      <c r="O209" s="367">
        <f t="shared" si="49"/>
        <v>-6.7941531746951389E-2</v>
      </c>
      <c r="P209" s="367">
        <f t="shared" si="49"/>
        <v>0.39893342917958541</v>
      </c>
      <c r="V209" s="333" t="str">
        <f t="shared" si="47"/>
        <v>Summer</v>
      </c>
      <c r="AA209" s="353">
        <f t="shared" si="50"/>
        <v>2.18E-2</v>
      </c>
      <c r="AB209" s="354">
        <f t="shared" si="54"/>
        <v>0</v>
      </c>
    </row>
    <row r="210" spans="2:28" ht="17.45" hidden="1" customHeight="1" outlineLevel="1">
      <c r="B210" s="203">
        <f t="shared" si="51"/>
        <v>52018</v>
      </c>
      <c r="C210" s="355">
        <v>770814.78612101637</v>
      </c>
      <c r="D210" s="356">
        <f>IF(ISNUMBER($F210),VLOOKUP($J210,'Table 1'!$B$13:$C$37,2,FALSE)/12*1000*Study_MW,"")</f>
        <v>0</v>
      </c>
      <c r="E210" s="356">
        <f t="shared" si="52"/>
        <v>770814.78612101637</v>
      </c>
      <c r="F210" s="355">
        <v>25713.223468290002</v>
      </c>
      <c r="G210" s="357">
        <f t="shared" si="55"/>
        <v>29.977368923487898</v>
      </c>
      <c r="I210" s="358">
        <f t="shared" si="44"/>
        <v>227</v>
      </c>
      <c r="J210" s="352">
        <f t="shared" si="45"/>
        <v>2042</v>
      </c>
      <c r="K210" s="203">
        <f t="shared" si="46"/>
        <v>52018</v>
      </c>
      <c r="M210" s="353"/>
      <c r="N210" s="367">
        <f t="shared" si="49"/>
        <v>6.6995919942602677E-2</v>
      </c>
      <c r="O210" s="367">
        <f t="shared" si="49"/>
        <v>9.99994934324544E-3</v>
      </c>
      <c r="P210" s="367">
        <f t="shared" si="49"/>
        <v>5.6431656889110782E-2</v>
      </c>
      <c r="V210" s="333" t="str">
        <f t="shared" si="47"/>
        <v>Summer</v>
      </c>
      <c r="AA210" s="353">
        <f t="shared" si="50"/>
        <v>2.18E-2</v>
      </c>
      <c r="AB210" s="354">
        <f t="shared" si="54"/>
        <v>0</v>
      </c>
    </row>
    <row r="211" spans="2:28" ht="17.45" hidden="1" customHeight="1" outlineLevel="1">
      <c r="B211" s="203">
        <f t="shared" si="51"/>
        <v>52048</v>
      </c>
      <c r="C211" s="355">
        <v>1304659.2736873718</v>
      </c>
      <c r="D211" s="356">
        <f>IF(ISNUMBER($F211),VLOOKUP($J211,'Table 1'!$B$13:$C$37,2,FALSE)/12*1000*Study_MW,"")</f>
        <v>0</v>
      </c>
      <c r="E211" s="356">
        <f t="shared" si="52"/>
        <v>1304659.2736873718</v>
      </c>
      <c r="F211" s="355">
        <v>25173.969112080002</v>
      </c>
      <c r="G211" s="357">
        <f t="shared" si="55"/>
        <v>51.825727912779428</v>
      </c>
      <c r="I211" s="358">
        <f t="shared" si="44"/>
        <v>228</v>
      </c>
      <c r="J211" s="352">
        <f t="shared" si="45"/>
        <v>2042</v>
      </c>
      <c r="K211" s="203">
        <f t="shared" si="46"/>
        <v>52048</v>
      </c>
      <c r="M211" s="353"/>
      <c r="N211" s="367">
        <f t="shared" si="49"/>
        <v>0.1275856637207804</v>
      </c>
      <c r="O211" s="367">
        <f t="shared" si="49"/>
        <v>3.4553598895430193E-2</v>
      </c>
      <c r="P211" s="367">
        <f t="shared" si="49"/>
        <v>8.9924838040946975E-2</v>
      </c>
      <c r="V211" s="333" t="str">
        <f t="shared" si="47"/>
        <v>Summer</v>
      </c>
      <c r="AA211" s="353">
        <f t="shared" si="50"/>
        <v>2.18E-2</v>
      </c>
      <c r="AB211" s="354">
        <f t="shared" si="54"/>
        <v>0</v>
      </c>
    </row>
    <row r="212" spans="2:28" ht="17.45" hidden="1" customHeight="1" outlineLevel="1">
      <c r="B212" s="203">
        <f t="shared" si="51"/>
        <v>52079</v>
      </c>
      <c r="C212" s="355">
        <v>1150451.296714542</v>
      </c>
      <c r="D212" s="356">
        <f>IF(ISNUMBER($F212),VLOOKUP($J212,'Table 1'!$B$13:$C$37,2,FALSE)/12*1000*Study_MW,"")</f>
        <v>0</v>
      </c>
      <c r="E212" s="356">
        <f t="shared" si="52"/>
        <v>1150451.296714542</v>
      </c>
      <c r="F212" s="355">
        <v>21756.930405050003</v>
      </c>
      <c r="G212" s="357">
        <f t="shared" si="55"/>
        <v>52.877463653949576</v>
      </c>
      <c r="I212" s="358">
        <f t="shared" si="44"/>
        <v>229</v>
      </c>
      <c r="J212" s="352">
        <f t="shared" si="45"/>
        <v>2042</v>
      </c>
      <c r="K212" s="203">
        <f t="shared" si="46"/>
        <v>52079</v>
      </c>
      <c r="M212" s="353"/>
      <c r="N212" s="367">
        <f t="shared" si="49"/>
        <v>0.21084058036906006</v>
      </c>
      <c r="O212" s="367">
        <f t="shared" si="49"/>
        <v>-1.2758611448616231E-2</v>
      </c>
      <c r="P212" s="367">
        <f t="shared" si="49"/>
        <v>0.22648887537603324</v>
      </c>
      <c r="V212" s="333" t="str">
        <f t="shared" si="47"/>
        <v>Summer</v>
      </c>
      <c r="AA212" s="353">
        <f t="shared" si="50"/>
        <v>2.18E-2</v>
      </c>
      <c r="AB212" s="354">
        <f t="shared" si="54"/>
        <v>0</v>
      </c>
    </row>
    <row r="213" spans="2:28" ht="17.45" hidden="1" customHeight="1" outlineLevel="1">
      <c r="B213" s="203">
        <f t="shared" si="51"/>
        <v>52110</v>
      </c>
      <c r="C213" s="355">
        <v>872121.93758419016</v>
      </c>
      <c r="D213" s="356">
        <f>IF(ISNUMBER($F213),VLOOKUP($J213,'Table 1'!$B$13:$C$37,2,FALSE)/12*1000*Study_MW,"")</f>
        <v>0</v>
      </c>
      <c r="E213" s="356">
        <f t="shared" si="52"/>
        <v>872121.93758419016</v>
      </c>
      <c r="F213" s="355">
        <v>18574.97732124</v>
      </c>
      <c r="G213" s="357">
        <f t="shared" si="55"/>
        <v>46.951440236050331</v>
      </c>
      <c r="I213" s="358">
        <f t="shared" si="44"/>
        <v>230</v>
      </c>
      <c r="J213" s="352">
        <f t="shared" si="45"/>
        <v>2042</v>
      </c>
      <c r="K213" s="203">
        <f t="shared" si="46"/>
        <v>52110</v>
      </c>
      <c r="M213" s="353"/>
      <c r="N213" s="367">
        <f t="shared" si="49"/>
        <v>0.5343031140468677</v>
      </c>
      <c r="O213" s="367">
        <f t="shared" si="49"/>
        <v>5.2819365146196784E-2</v>
      </c>
      <c r="P213" s="367">
        <f t="shared" si="49"/>
        <v>0.45732797556759497</v>
      </c>
      <c r="V213" s="333" t="str">
        <f t="shared" si="47"/>
        <v>Winter</v>
      </c>
      <c r="AA213" s="353">
        <f t="shared" si="50"/>
        <v>2.18E-2</v>
      </c>
      <c r="AB213" s="354">
        <f t="shared" si="54"/>
        <v>0</v>
      </c>
    </row>
    <row r="214" spans="2:28" ht="17.45" hidden="1" customHeight="1" outlineLevel="1">
      <c r="B214" s="203">
        <f t="shared" si="51"/>
        <v>52140</v>
      </c>
      <c r="C214" s="355">
        <v>437252.31810788682</v>
      </c>
      <c r="D214" s="356">
        <f>IF(ISNUMBER($F214),VLOOKUP($J214,'Table 1'!$B$13:$C$37,2,FALSE)/12*1000*Study_MW,"")</f>
        <v>0</v>
      </c>
      <c r="E214" s="356">
        <f t="shared" si="52"/>
        <v>437252.31810788682</v>
      </c>
      <c r="F214" s="355">
        <v>13819.120239480004</v>
      </c>
      <c r="G214" s="357">
        <f t="shared" si="55"/>
        <v>31.641111049797196</v>
      </c>
      <c r="I214" s="358">
        <f t="shared" si="44"/>
        <v>231</v>
      </c>
      <c r="J214" s="352">
        <f t="shared" si="45"/>
        <v>2042</v>
      </c>
      <c r="K214" s="203">
        <f t="shared" si="46"/>
        <v>52140</v>
      </c>
      <c r="M214" s="353"/>
      <c r="N214" s="367">
        <f t="shared" si="49"/>
        <v>0.66889756839652459</v>
      </c>
      <c r="O214" s="367">
        <f t="shared" si="49"/>
        <v>1.1044271516996051E-2</v>
      </c>
      <c r="P214" s="367">
        <f t="shared" si="49"/>
        <v>0.65066715218362225</v>
      </c>
      <c r="V214" s="333" t="str">
        <f t="shared" si="47"/>
        <v>Winter</v>
      </c>
      <c r="AA214" s="353">
        <f t="shared" si="50"/>
        <v>2.18E-2</v>
      </c>
      <c r="AB214" s="354">
        <f t="shared" si="54"/>
        <v>0</v>
      </c>
    </row>
    <row r="215" spans="2:28" ht="17.45" hidden="1" customHeight="1" outlineLevel="1">
      <c r="B215" s="203">
        <f t="shared" si="51"/>
        <v>52171</v>
      </c>
      <c r="C215" s="355">
        <v>537047.79957418214</v>
      </c>
      <c r="D215" s="356">
        <f>IF(ISNUMBER($F215),VLOOKUP($J215,'Table 1'!$B$13:$C$37,2,FALSE)/12*1000*Study_MW,"")</f>
        <v>0</v>
      </c>
      <c r="E215" s="356">
        <f t="shared" si="52"/>
        <v>537047.79957418214</v>
      </c>
      <c r="F215" s="355">
        <v>11063.360994870001</v>
      </c>
      <c r="G215" s="357">
        <f t="shared" si="55"/>
        <v>48.542915649521625</v>
      </c>
      <c r="I215" s="358">
        <f t="shared" si="44"/>
        <v>232</v>
      </c>
      <c r="J215" s="352">
        <f t="shared" si="45"/>
        <v>2042</v>
      </c>
      <c r="K215" s="203">
        <f t="shared" si="46"/>
        <v>52171</v>
      </c>
      <c r="M215" s="353"/>
      <c r="N215" s="367">
        <f t="shared" si="49"/>
        <v>0.44252246672844242</v>
      </c>
      <c r="O215" s="367">
        <f t="shared" si="49"/>
        <v>0.13445689955391193</v>
      </c>
      <c r="P215" s="367">
        <f t="shared" si="49"/>
        <v>0.27155334618324178</v>
      </c>
      <c r="V215" s="333" t="str">
        <f t="shared" si="47"/>
        <v>Winter</v>
      </c>
      <c r="AA215" s="353">
        <f t="shared" si="50"/>
        <v>2.18E-2</v>
      </c>
      <c r="AB215" s="354">
        <f t="shared" si="54"/>
        <v>0</v>
      </c>
    </row>
    <row r="216" spans="2:28" ht="17.45" hidden="1" customHeight="1" outlineLevel="1">
      <c r="B216" s="204">
        <f t="shared" si="51"/>
        <v>52201</v>
      </c>
      <c r="C216" s="362">
        <v>387631.40919138293</v>
      </c>
      <c r="D216" s="363">
        <f>IF(ISNUMBER($F216),VLOOKUP($J216,'Table 1'!$B$13:$C$37,2,FALSE)/12*1000*Study_MW,"")</f>
        <v>0</v>
      </c>
      <c r="E216" s="363">
        <f t="shared" si="52"/>
        <v>387631.40919138293</v>
      </c>
      <c r="F216" s="362">
        <v>7007.5237192540008</v>
      </c>
      <c r="G216" s="364">
        <f t="shared" si="55"/>
        <v>55.316460524610108</v>
      </c>
      <c r="I216" s="365">
        <f t="shared" si="44"/>
        <v>233</v>
      </c>
      <c r="J216" s="352">
        <f t="shared" si="45"/>
        <v>2042</v>
      </c>
      <c r="K216" s="204">
        <f t="shared" si="46"/>
        <v>52201</v>
      </c>
      <c r="M216" s="353"/>
      <c r="N216" s="367">
        <f t="shared" si="49"/>
        <v>-0.17406007389699241</v>
      </c>
      <c r="O216" s="367">
        <f t="shared" si="49"/>
        <v>-1.1489044931328518E-2</v>
      </c>
      <c r="P216" s="367">
        <f t="shared" si="49"/>
        <v>-0.16446052330737204</v>
      </c>
      <c r="V216" s="333" t="str">
        <f t="shared" si="47"/>
        <v>Winter</v>
      </c>
      <c r="AA216" s="353">
        <f t="shared" si="50"/>
        <v>2.18E-2</v>
      </c>
      <c r="AB216" s="354">
        <f t="shared" si="54"/>
        <v>0</v>
      </c>
    </row>
    <row r="217" spans="2:28" ht="17.45" hidden="1" customHeight="1" outlineLevel="1">
      <c r="B217" s="202">
        <f t="shared" si="51"/>
        <v>52232</v>
      </c>
      <c r="C217" s="346">
        <v>553763.99816197227</v>
      </c>
      <c r="D217" s="347">
        <f>IF(ISNUMBER($F217),VLOOKUP($J217,'Table 1'!$B$13:$C$37,2,FALSE)/12*1000*Study_MW,"")</f>
        <v>0</v>
      </c>
      <c r="E217" s="348">
        <f t="shared" si="52"/>
        <v>553763.99816197227</v>
      </c>
      <c r="F217" s="349">
        <v>7317.2692273700004</v>
      </c>
      <c r="G217" s="350">
        <f t="shared" si="55"/>
        <v>75.679051973465263</v>
      </c>
      <c r="I217" s="366">
        <f t="shared" si="44"/>
        <v>235</v>
      </c>
      <c r="J217" s="352">
        <f t="shared" si="45"/>
        <v>2043</v>
      </c>
      <c r="K217" s="202">
        <f t="shared" si="46"/>
        <v>52232</v>
      </c>
      <c r="M217" s="353"/>
      <c r="N217" s="367">
        <f t="shared" si="49"/>
        <v>0.25124960610412983</v>
      </c>
      <c r="O217" s="367">
        <f t="shared" si="49"/>
        <v>-1.7968337322189942E-2</v>
      </c>
      <c r="P217" s="367">
        <f t="shared" si="49"/>
        <v>0.27414385264545826</v>
      </c>
      <c r="V217" s="333" t="str">
        <f t="shared" si="47"/>
        <v>Winter</v>
      </c>
      <c r="AA217" s="353">
        <f t="shared" si="50"/>
        <v>2.18E-2</v>
      </c>
      <c r="AB217" s="354">
        <f t="shared" si="54"/>
        <v>0</v>
      </c>
    </row>
    <row r="218" spans="2:28" ht="17.45" hidden="1" customHeight="1" outlineLevel="1">
      <c r="B218" s="203">
        <f t="shared" si="51"/>
        <v>52263</v>
      </c>
      <c r="C218" s="355">
        <v>511620.41420482274</v>
      </c>
      <c r="D218" s="356">
        <f>IF(ISNUMBER($F218),VLOOKUP($J218,'Table 1'!$B$13:$C$37,2,FALSE)/12*1000*Study_MW,"")</f>
        <v>0</v>
      </c>
      <c r="E218" s="356">
        <f t="shared" si="52"/>
        <v>511620.41420482274</v>
      </c>
      <c r="F218" s="355">
        <v>11904.898882949999</v>
      </c>
      <c r="G218" s="357">
        <f t="shared" si="55"/>
        <v>42.975620308506535</v>
      </c>
      <c r="I218" s="358">
        <f t="shared" si="44"/>
        <v>236</v>
      </c>
      <c r="J218" s="352">
        <f t="shared" si="45"/>
        <v>2043</v>
      </c>
      <c r="K218" s="203">
        <f t="shared" si="46"/>
        <v>52263</v>
      </c>
      <c r="M218" s="353"/>
      <c r="N218" s="367">
        <f t="shared" si="49"/>
        <v>0.1219828417054738</v>
      </c>
      <c r="O218" s="367">
        <f t="shared" si="49"/>
        <v>2.2300937399341692E-2</v>
      </c>
      <c r="P218" s="367">
        <f t="shared" si="49"/>
        <v>9.7507397928946027E-2</v>
      </c>
      <c r="V218" s="333" t="str">
        <f t="shared" si="47"/>
        <v>Winter</v>
      </c>
      <c r="AA218" s="353">
        <f t="shared" si="50"/>
        <v>2.18E-2</v>
      </c>
      <c r="AB218" s="354">
        <f t="shared" si="54"/>
        <v>0</v>
      </c>
    </row>
    <row r="219" spans="2:28" ht="17.45" hidden="1" customHeight="1" outlineLevel="1">
      <c r="B219" s="203">
        <f t="shared" si="51"/>
        <v>52291</v>
      </c>
      <c r="C219" s="355">
        <v>325535.09496344486</v>
      </c>
      <c r="D219" s="356">
        <f>IF(ISNUMBER($F219),VLOOKUP($J219,'Table 1'!$B$13:$C$37,2,FALSE)/12*1000*Study_MW,"")</f>
        <v>0</v>
      </c>
      <c r="E219" s="356">
        <f t="shared" si="52"/>
        <v>325535.09496344486</v>
      </c>
      <c r="F219" s="355">
        <v>13847.087078999999</v>
      </c>
      <c r="G219" s="357">
        <f t="shared" si="55"/>
        <v>23.509283440351858</v>
      </c>
      <c r="I219" s="358">
        <f t="shared" si="44"/>
        <v>237</v>
      </c>
      <c r="J219" s="352">
        <f t="shared" si="45"/>
        <v>2043</v>
      </c>
      <c r="K219" s="203">
        <f t="shared" si="46"/>
        <v>52291</v>
      </c>
      <c r="M219" s="353"/>
      <c r="N219" s="367">
        <f t="shared" si="49"/>
        <v>-6.0993685908453665E-3</v>
      </c>
      <c r="O219" s="367">
        <f t="shared" si="49"/>
        <v>-4.8083392583702089E-3</v>
      </c>
      <c r="P219" s="367">
        <f t="shared" si="49"/>
        <v>-1.2972670324761237E-3</v>
      </c>
      <c r="V219" s="333" t="str">
        <f t="shared" si="47"/>
        <v>Winter</v>
      </c>
      <c r="AA219" s="353">
        <f t="shared" si="50"/>
        <v>2.18E-2</v>
      </c>
      <c r="AB219" s="354">
        <f t="shared" si="54"/>
        <v>0</v>
      </c>
    </row>
    <row r="220" spans="2:28" ht="17.45" hidden="1" customHeight="1" outlineLevel="1">
      <c r="B220" s="203">
        <f t="shared" si="51"/>
        <v>52322</v>
      </c>
      <c r="C220" s="355">
        <v>332605.43426779623</v>
      </c>
      <c r="D220" s="356">
        <f>IF(ISNUMBER($F220),VLOOKUP($J220,'Table 1'!$B$13:$C$37,2,FALSE)/12*1000*Study_MW,"")</f>
        <v>0</v>
      </c>
      <c r="E220" s="356">
        <f t="shared" si="52"/>
        <v>332605.43426779623</v>
      </c>
      <c r="F220" s="355">
        <v>18060.324321510001</v>
      </c>
      <c r="G220" s="357">
        <f t="shared" si="55"/>
        <v>18.41635999147924</v>
      </c>
      <c r="I220" s="358">
        <f t="shared" si="44"/>
        <v>238</v>
      </c>
      <c r="J220" s="352">
        <f t="shared" si="45"/>
        <v>2043</v>
      </c>
      <c r="K220" s="203">
        <f t="shared" si="46"/>
        <v>52322</v>
      </c>
      <c r="M220" s="353"/>
      <c r="N220" s="367">
        <f t="shared" si="49"/>
        <v>-6.736220527832204E-2</v>
      </c>
      <c r="O220" s="367">
        <f t="shared" si="49"/>
        <v>-1.6927246157751874E-3</v>
      </c>
      <c r="P220" s="367">
        <f t="shared" si="49"/>
        <v>-6.5780829491873805E-2</v>
      </c>
      <c r="V220" s="333" t="str">
        <f t="shared" si="47"/>
        <v>Winter</v>
      </c>
      <c r="AA220" s="353">
        <f t="shared" si="50"/>
        <v>2.18E-2</v>
      </c>
      <c r="AB220" s="354">
        <f t="shared" si="54"/>
        <v>0</v>
      </c>
    </row>
    <row r="221" spans="2:28" ht="17.45" hidden="1" customHeight="1" outlineLevel="1">
      <c r="B221" s="203">
        <f t="shared" si="51"/>
        <v>52352</v>
      </c>
      <c r="C221" s="355">
        <v>426082.01514385291</v>
      </c>
      <c r="D221" s="356">
        <f>IF(ISNUMBER($F221),VLOOKUP($J221,'Table 1'!$B$13:$C$37,2,FALSE)/12*1000*Study_MW,"")</f>
        <v>0</v>
      </c>
      <c r="E221" s="356">
        <f t="shared" si="52"/>
        <v>426082.01514385291</v>
      </c>
      <c r="F221" s="355">
        <v>21462.060484050002</v>
      </c>
      <c r="G221" s="357">
        <f t="shared" si="55"/>
        <v>19.852800967572758</v>
      </c>
      <c r="I221" s="358">
        <f t="shared" si="44"/>
        <v>239</v>
      </c>
      <c r="J221" s="352">
        <f t="shared" si="45"/>
        <v>2043</v>
      </c>
      <c r="K221" s="203">
        <f t="shared" si="46"/>
        <v>52352</v>
      </c>
      <c r="M221" s="353"/>
      <c r="N221" s="367">
        <f t="shared" ref="N221:P236" si="56">E221/E209-1</f>
        <v>0.21874148613150024</v>
      </c>
      <c r="O221" s="367">
        <f t="shared" si="56"/>
        <v>1.1307624692700635E-2</v>
      </c>
      <c r="P221" s="367">
        <f t="shared" si="56"/>
        <v>0.20511450361291517</v>
      </c>
      <c r="V221" s="333" t="str">
        <f t="shared" si="47"/>
        <v>Summer</v>
      </c>
      <c r="AA221" s="353">
        <f t="shared" si="50"/>
        <v>2.18E-2</v>
      </c>
      <c r="AB221" s="354">
        <f t="shared" si="54"/>
        <v>0</v>
      </c>
    </row>
    <row r="222" spans="2:28" ht="17.45" hidden="1" customHeight="1" outlineLevel="1">
      <c r="B222" s="203">
        <f t="shared" si="51"/>
        <v>52383</v>
      </c>
      <c r="C222" s="355">
        <v>898025.35468389397</v>
      </c>
      <c r="D222" s="356">
        <f>IF(ISNUMBER($F222),VLOOKUP($J222,'Table 1'!$B$13:$C$37,2,FALSE)/12*1000*Study_MW,"")</f>
        <v>0</v>
      </c>
      <c r="E222" s="356">
        <f t="shared" si="52"/>
        <v>898025.35468389397</v>
      </c>
      <c r="F222" s="355">
        <v>25566.401605349987</v>
      </c>
      <c r="G222" s="357">
        <f t="shared" si="55"/>
        <v>35.125215059438574</v>
      </c>
      <c r="I222" s="358">
        <f t="shared" si="44"/>
        <v>240</v>
      </c>
      <c r="J222" s="352">
        <f t="shared" si="45"/>
        <v>2043</v>
      </c>
      <c r="K222" s="203">
        <f t="shared" si="46"/>
        <v>52383</v>
      </c>
      <c r="M222" s="353"/>
      <c r="N222" s="367">
        <f t="shared" si="56"/>
        <v>0.1650338977058825</v>
      </c>
      <c r="O222" s="367">
        <f t="shared" si="56"/>
        <v>-5.7099749909255149E-3</v>
      </c>
      <c r="P222" s="367">
        <f t="shared" si="56"/>
        <v>0.17172441481070844</v>
      </c>
      <c r="V222" s="333" t="str">
        <f t="shared" si="47"/>
        <v>Summer</v>
      </c>
      <c r="AA222" s="353">
        <f t="shared" si="50"/>
        <v>2.18E-2</v>
      </c>
      <c r="AB222" s="354">
        <f t="shared" si="54"/>
        <v>0</v>
      </c>
    </row>
    <row r="223" spans="2:28" ht="17.45" hidden="1" customHeight="1" outlineLevel="1">
      <c r="B223" s="203">
        <f t="shared" si="51"/>
        <v>52413</v>
      </c>
      <c r="C223" s="355">
        <v>1262571.6501896386</v>
      </c>
      <c r="D223" s="356">
        <f>IF(ISNUMBER($F223),VLOOKUP($J223,'Table 1'!$B$13:$C$37,2,FALSE)/12*1000*Study_MW,"")</f>
        <v>0</v>
      </c>
      <c r="E223" s="356">
        <f t="shared" si="52"/>
        <v>1262571.6501896386</v>
      </c>
      <c r="F223" s="355">
        <v>24521.369863579999</v>
      </c>
      <c r="G223" s="357">
        <f t="shared" si="55"/>
        <v>51.488626337505494</v>
      </c>
      <c r="I223" s="358">
        <f t="shared" si="44"/>
        <v>241</v>
      </c>
      <c r="J223" s="352">
        <f t="shared" si="45"/>
        <v>2043</v>
      </c>
      <c r="K223" s="203">
        <f t="shared" si="46"/>
        <v>52413</v>
      </c>
      <c r="M223" s="353"/>
      <c r="N223" s="367">
        <f t="shared" si="56"/>
        <v>-3.2259475210550947E-2</v>
      </c>
      <c r="O223" s="367">
        <f t="shared" si="56"/>
        <v>-2.5923573894704011E-2</v>
      </c>
      <c r="P223" s="367">
        <f t="shared" si="56"/>
        <v>-6.5045217665107291E-3</v>
      </c>
      <c r="V223" s="333" t="str">
        <f t="shared" si="47"/>
        <v>Summer</v>
      </c>
      <c r="AA223" s="353">
        <f t="shared" si="50"/>
        <v>2.18E-2</v>
      </c>
      <c r="AB223" s="354">
        <f t="shared" si="54"/>
        <v>0</v>
      </c>
    </row>
    <row r="224" spans="2:28" ht="17.45" hidden="1" customHeight="1" outlineLevel="1">
      <c r="B224" s="203">
        <f t="shared" si="51"/>
        <v>52444</v>
      </c>
      <c r="C224" s="355">
        <v>1339809.4194353907</v>
      </c>
      <c r="D224" s="356">
        <f>IF(ISNUMBER($F224),VLOOKUP($J224,'Table 1'!$B$13:$C$37,2,FALSE)/12*1000*Study_MW,"")</f>
        <v>0</v>
      </c>
      <c r="E224" s="356">
        <f t="shared" si="52"/>
        <v>1339809.4194353907</v>
      </c>
      <c r="F224" s="355">
        <v>21582.554301690001</v>
      </c>
      <c r="G224" s="357">
        <f t="shared" si="55"/>
        <v>62.078352761539364</v>
      </c>
      <c r="I224" s="358">
        <f t="shared" si="44"/>
        <v>242</v>
      </c>
      <c r="J224" s="352">
        <f t="shared" si="45"/>
        <v>2043</v>
      </c>
      <c r="K224" s="203">
        <f t="shared" si="46"/>
        <v>52444</v>
      </c>
      <c r="M224" s="353"/>
      <c r="N224" s="367">
        <f t="shared" si="56"/>
        <v>0.16459464495508636</v>
      </c>
      <c r="O224" s="367">
        <f t="shared" si="56"/>
        <v>-8.0147382978036363E-3</v>
      </c>
      <c r="P224" s="367">
        <f t="shared" si="56"/>
        <v>0.17400397961225855</v>
      </c>
      <c r="V224" s="333" t="str">
        <f t="shared" si="47"/>
        <v>Summer</v>
      </c>
      <c r="AA224" s="353">
        <f t="shared" si="50"/>
        <v>2.18E-2</v>
      </c>
      <c r="AB224" s="354">
        <f t="shared" si="54"/>
        <v>0</v>
      </c>
    </row>
    <row r="225" spans="2:28" ht="17.45" hidden="1" customHeight="1" outlineLevel="1">
      <c r="B225" s="203">
        <f t="shared" si="51"/>
        <v>52475</v>
      </c>
      <c r="C225" s="355">
        <v>844752.30059746536</v>
      </c>
      <c r="D225" s="356">
        <f>IF(ISNUMBER($F225),VLOOKUP($J225,'Table 1'!$B$13:$C$37,2,FALSE)/12*1000*Study_MW,"")</f>
        <v>0</v>
      </c>
      <c r="E225" s="356">
        <f t="shared" si="52"/>
        <v>844752.30059746536</v>
      </c>
      <c r="F225" s="355">
        <v>18789.272365979999</v>
      </c>
      <c r="G225" s="357">
        <f t="shared" si="55"/>
        <v>44.959287626644894</v>
      </c>
      <c r="I225" s="358">
        <f t="shared" si="44"/>
        <v>243</v>
      </c>
      <c r="J225" s="352">
        <f t="shared" si="45"/>
        <v>2043</v>
      </c>
      <c r="K225" s="203">
        <f t="shared" si="46"/>
        <v>52475</v>
      </c>
      <c r="M225" s="353"/>
      <c r="N225" s="367">
        <f t="shared" si="56"/>
        <v>-3.1382809911352227E-2</v>
      </c>
      <c r="O225" s="367">
        <f t="shared" si="56"/>
        <v>1.1536759428231402E-2</v>
      </c>
      <c r="P225" s="367">
        <f t="shared" si="56"/>
        <v>-4.2430063899846493E-2</v>
      </c>
      <c r="V225" s="333" t="str">
        <f t="shared" si="47"/>
        <v>Winter</v>
      </c>
      <c r="AA225" s="353">
        <f t="shared" si="50"/>
        <v>2.18E-2</v>
      </c>
      <c r="AB225" s="354">
        <f t="shared" si="54"/>
        <v>0</v>
      </c>
    </row>
    <row r="226" spans="2:28" ht="17.45" hidden="1" customHeight="1" outlineLevel="1">
      <c r="B226" s="203">
        <f t="shared" si="51"/>
        <v>52505</v>
      </c>
      <c r="C226" s="355">
        <v>181440.58820596547</v>
      </c>
      <c r="D226" s="356">
        <f>IF(ISNUMBER($F226),VLOOKUP($J226,'Table 1'!$B$13:$C$37,2,FALSE)/12*1000*Study_MW,"")</f>
        <v>0</v>
      </c>
      <c r="E226" s="356">
        <f t="shared" si="52"/>
        <v>181440.58820596547</v>
      </c>
      <c r="F226" s="355">
        <v>13696.201898470001</v>
      </c>
      <c r="G226" s="357">
        <f t="shared" si="55"/>
        <v>13.247511211574221</v>
      </c>
      <c r="I226" s="358">
        <f t="shared" si="44"/>
        <v>244</v>
      </c>
      <c r="J226" s="352">
        <f t="shared" si="45"/>
        <v>2043</v>
      </c>
      <c r="K226" s="203">
        <f t="shared" si="46"/>
        <v>52505</v>
      </c>
      <c r="M226" s="353"/>
      <c r="N226" s="367">
        <f t="shared" si="56"/>
        <v>-0.5850437363234352</v>
      </c>
      <c r="O226" s="367">
        <f t="shared" si="56"/>
        <v>-8.8948021928947352E-3</v>
      </c>
      <c r="P226" s="367">
        <f t="shared" si="56"/>
        <v>-0.58131965749479808</v>
      </c>
      <c r="V226" s="333" t="str">
        <f t="shared" si="47"/>
        <v>Winter</v>
      </c>
      <c r="AA226" s="353">
        <f t="shared" si="50"/>
        <v>2.18E-2</v>
      </c>
      <c r="AB226" s="354">
        <f t="shared" si="54"/>
        <v>0</v>
      </c>
    </row>
    <row r="227" spans="2:28" ht="17.45" hidden="1" customHeight="1" outlineLevel="1">
      <c r="B227" s="203">
        <f t="shared" si="51"/>
        <v>52536</v>
      </c>
      <c r="C227" s="355">
        <v>824776.22316675843</v>
      </c>
      <c r="D227" s="356">
        <f>IF(ISNUMBER($F227),VLOOKUP($J227,'Table 1'!$B$13:$C$37,2,FALSE)/12*1000*Study_MW,"")</f>
        <v>0</v>
      </c>
      <c r="E227" s="356">
        <f t="shared" si="52"/>
        <v>824776.22316675843</v>
      </c>
      <c r="F227" s="355">
        <v>10616.388095159999</v>
      </c>
      <c r="G227" s="357">
        <f t="shared" si="55"/>
        <v>77.688966885335802</v>
      </c>
      <c r="I227" s="358">
        <f t="shared" si="44"/>
        <v>245</v>
      </c>
      <c r="J227" s="352">
        <f t="shared" si="45"/>
        <v>2043</v>
      </c>
      <c r="K227" s="203">
        <f t="shared" si="46"/>
        <v>52536</v>
      </c>
      <c r="M227" s="353"/>
      <c r="N227" s="367">
        <f t="shared" si="56"/>
        <v>0.53575943113576163</v>
      </c>
      <c r="O227" s="367">
        <f t="shared" si="56"/>
        <v>-4.0401185491213853E-2</v>
      </c>
      <c r="P227" s="367">
        <f t="shared" si="56"/>
        <v>0.60041822469519102</v>
      </c>
      <c r="V227" s="333" t="str">
        <f t="shared" si="47"/>
        <v>Winter</v>
      </c>
      <c r="AA227" s="353">
        <f t="shared" si="50"/>
        <v>2.18E-2</v>
      </c>
      <c r="AB227" s="354">
        <f t="shared" si="54"/>
        <v>0</v>
      </c>
    </row>
    <row r="228" spans="2:28" ht="17.45" hidden="1" customHeight="1" outlineLevel="1">
      <c r="B228" s="204">
        <f t="shared" si="51"/>
        <v>52566</v>
      </c>
      <c r="C228" s="362">
        <v>716382.9622280047</v>
      </c>
      <c r="D228" s="363">
        <f>IF(ISNUMBER($F228),VLOOKUP($J228,'Table 1'!$B$13:$C$37,2,FALSE)/12*1000*Study_MW,"")</f>
        <v>0</v>
      </c>
      <c r="E228" s="363">
        <f t="shared" si="52"/>
        <v>716382.9622280047</v>
      </c>
      <c r="F228" s="362">
        <v>7077.5896058750013</v>
      </c>
      <c r="G228" s="364">
        <f t="shared" si="55"/>
        <v>101.21849416549186</v>
      </c>
      <c r="I228" s="365">
        <f t="shared" si="44"/>
        <v>246</v>
      </c>
      <c r="J228" s="352">
        <f t="shared" si="45"/>
        <v>2043</v>
      </c>
      <c r="K228" s="204">
        <f t="shared" si="46"/>
        <v>52566</v>
      </c>
      <c r="M228" s="353"/>
      <c r="N228" s="367">
        <f t="shared" si="56"/>
        <v>0.84810349533442797</v>
      </c>
      <c r="O228" s="367">
        <f t="shared" si="56"/>
        <v>9.9986656382604622E-3</v>
      </c>
      <c r="P228" s="367">
        <f t="shared" si="56"/>
        <v>0.82980785837626203</v>
      </c>
      <c r="V228" s="333" t="str">
        <f t="shared" si="47"/>
        <v>Winter</v>
      </c>
      <c r="AA228" s="353">
        <f t="shared" si="50"/>
        <v>2.18E-2</v>
      </c>
      <c r="AB228" s="354">
        <f t="shared" si="54"/>
        <v>0</v>
      </c>
    </row>
    <row r="229" spans="2:28" ht="17.45" hidden="1" customHeight="1" outlineLevel="1">
      <c r="B229" s="202">
        <f t="shared" si="51"/>
        <v>52597</v>
      </c>
      <c r="C229" s="346">
        <v>360154.73896614276</v>
      </c>
      <c r="D229" s="347">
        <f>IF(ISNUMBER($F229),VLOOKUP($J229,'Table 1'!$B$13:$C$37,2,FALSE)/12*1000*Study_MW,"")</f>
        <v>0</v>
      </c>
      <c r="E229" s="348">
        <f t="shared" si="52"/>
        <v>360154.73896614276</v>
      </c>
      <c r="F229" s="349">
        <v>7206.7981809599996</v>
      </c>
      <c r="G229" s="350">
        <f t="shared" si="55"/>
        <v>49.974306192957307</v>
      </c>
      <c r="I229" s="366">
        <f t="shared" si="44"/>
        <v>248</v>
      </c>
      <c r="J229" s="352">
        <f t="shared" si="45"/>
        <v>2044</v>
      </c>
      <c r="K229" s="202">
        <f t="shared" si="46"/>
        <v>52597</v>
      </c>
      <c r="M229" s="353"/>
      <c r="N229" s="367">
        <f t="shared" si="56"/>
        <v>-0.34962413562176009</v>
      </c>
      <c r="O229" s="367">
        <f t="shared" si="56"/>
        <v>-1.5097305152691032E-2</v>
      </c>
      <c r="P229" s="367">
        <f t="shared" si="56"/>
        <v>-0.33965470113870622</v>
      </c>
      <c r="V229" s="333" t="str">
        <f t="shared" si="47"/>
        <v>Winter</v>
      </c>
      <c r="AA229" s="353">
        <f t="shared" si="50"/>
        <v>2.18E-2</v>
      </c>
      <c r="AB229" s="354">
        <f t="shared" si="54"/>
        <v>0</v>
      </c>
    </row>
    <row r="230" spans="2:28" ht="17.45" hidden="1" customHeight="1" outlineLevel="1">
      <c r="B230" s="203">
        <f t="shared" si="51"/>
        <v>52628</v>
      </c>
      <c r="C230" s="355">
        <v>615717.98402856803</v>
      </c>
      <c r="D230" s="356">
        <f>IF(ISNUMBER($F230),VLOOKUP($J230,'Table 1'!$B$13:$C$37,2,FALSE)/12*1000*Study_MW,"")</f>
        <v>0</v>
      </c>
      <c r="E230" s="356">
        <f t="shared" si="52"/>
        <v>615717.98402856803</v>
      </c>
      <c r="F230" s="355">
        <v>12381.927194070002</v>
      </c>
      <c r="G230" s="357">
        <f t="shared" si="55"/>
        <v>49.727152678094406</v>
      </c>
      <c r="I230" s="358">
        <f t="shared" si="44"/>
        <v>249</v>
      </c>
      <c r="J230" s="352">
        <f t="shared" si="45"/>
        <v>2044</v>
      </c>
      <c r="K230" s="203">
        <f t="shared" si="46"/>
        <v>52628</v>
      </c>
      <c r="M230" s="353"/>
      <c r="N230" s="367">
        <f t="shared" si="56"/>
        <v>0.20346641168636159</v>
      </c>
      <c r="O230" s="367">
        <f t="shared" si="56"/>
        <v>4.0069917082890427E-2</v>
      </c>
      <c r="P230" s="367">
        <f t="shared" si="56"/>
        <v>0.15710145243096085</v>
      </c>
      <c r="V230" s="333" t="str">
        <f t="shared" si="47"/>
        <v>Winter</v>
      </c>
      <c r="AA230" s="353">
        <f t="shared" si="50"/>
        <v>2.18E-2</v>
      </c>
      <c r="AB230" s="354">
        <f t="shared" si="54"/>
        <v>0</v>
      </c>
    </row>
    <row r="231" spans="2:28" ht="17.45" hidden="1" customHeight="1" outlineLevel="1">
      <c r="B231" s="203">
        <f t="shared" si="51"/>
        <v>52657</v>
      </c>
      <c r="C231" s="355">
        <v>451687.18806219113</v>
      </c>
      <c r="D231" s="356">
        <f>IF(ISNUMBER($F231),VLOOKUP($J231,'Table 1'!$B$13:$C$37,2,FALSE)/12*1000*Study_MW,"")</f>
        <v>0</v>
      </c>
      <c r="E231" s="356">
        <f t="shared" si="52"/>
        <v>451687.18806219113</v>
      </c>
      <c r="F231" s="355">
        <v>14248.517686719997</v>
      </c>
      <c r="G231" s="357">
        <f t="shared" si="55"/>
        <v>31.700644094590679</v>
      </c>
      <c r="I231" s="358">
        <f t="shared" si="44"/>
        <v>250</v>
      </c>
      <c r="J231" s="352">
        <f t="shared" si="45"/>
        <v>2044</v>
      </c>
      <c r="K231" s="203">
        <f t="shared" si="46"/>
        <v>52657</v>
      </c>
      <c r="M231" s="353"/>
      <c r="N231" s="367">
        <f t="shared" si="56"/>
        <v>0.38752225197996615</v>
      </c>
      <c r="O231" s="367">
        <f t="shared" si="56"/>
        <v>2.8990256609911391E-2</v>
      </c>
      <c r="P231" s="367">
        <f t="shared" si="56"/>
        <v>0.3484308943325336</v>
      </c>
      <c r="V231" s="333" t="str">
        <f t="shared" si="47"/>
        <v>Winter</v>
      </c>
      <c r="AA231" s="353">
        <f t="shared" si="50"/>
        <v>2.18E-2</v>
      </c>
      <c r="AB231" s="354">
        <f t="shared" si="54"/>
        <v>0</v>
      </c>
    </row>
    <row r="232" spans="2:28" ht="17.45" hidden="1" customHeight="1" outlineLevel="1">
      <c r="B232" s="203">
        <f t="shared" si="51"/>
        <v>52688</v>
      </c>
      <c r="C232" s="355">
        <v>286024.45530153636</v>
      </c>
      <c r="D232" s="356">
        <f>IF(ISNUMBER($F232),VLOOKUP($J232,'Table 1'!$B$13:$C$37,2,FALSE)/12*1000*Study_MW,"")</f>
        <v>0</v>
      </c>
      <c r="E232" s="356">
        <f t="shared" si="52"/>
        <v>286024.45530153636</v>
      </c>
      <c r="F232" s="355">
        <v>17441.806275649997</v>
      </c>
      <c r="G232" s="357">
        <f t="shared" si="55"/>
        <v>16.398786386066384</v>
      </c>
      <c r="I232" s="358">
        <f t="shared" si="44"/>
        <v>251</v>
      </c>
      <c r="J232" s="352">
        <f t="shared" si="45"/>
        <v>2044</v>
      </c>
      <c r="K232" s="203">
        <f t="shared" si="46"/>
        <v>52688</v>
      </c>
      <c r="M232" s="353"/>
      <c r="N232" s="367">
        <f t="shared" si="56"/>
        <v>-0.14004876098553254</v>
      </c>
      <c r="O232" s="367">
        <f t="shared" si="56"/>
        <v>-3.4247338799079263E-2</v>
      </c>
      <c r="P232" s="367">
        <f t="shared" si="56"/>
        <v>-0.10955333227338815</v>
      </c>
      <c r="V232" s="333" t="str">
        <f t="shared" si="47"/>
        <v>Winter</v>
      </c>
      <c r="AA232" s="353">
        <f t="shared" si="50"/>
        <v>2.18E-2</v>
      </c>
      <c r="AB232" s="354">
        <f t="shared" si="54"/>
        <v>0</v>
      </c>
    </row>
    <row r="233" spans="2:28" ht="17.45" hidden="1" customHeight="1" outlineLevel="1">
      <c r="B233" s="203">
        <f t="shared" si="51"/>
        <v>52718</v>
      </c>
      <c r="C233" s="355">
        <v>166861.31049497635</v>
      </c>
      <c r="D233" s="356">
        <f>IF(ISNUMBER($F233),VLOOKUP($J233,'Table 1'!$B$13:$C$37,2,FALSE)/12*1000*Study_MW,"")</f>
        <v>0</v>
      </c>
      <c r="E233" s="356">
        <f t="shared" si="52"/>
        <v>166861.31049497635</v>
      </c>
      <c r="F233" s="355">
        <v>22278.984286640003</v>
      </c>
      <c r="G233" s="357">
        <f t="shared" si="55"/>
        <v>7.4896282679743962</v>
      </c>
      <c r="I233" s="358">
        <f t="shared" si="44"/>
        <v>252</v>
      </c>
      <c r="J233" s="352">
        <f t="shared" si="45"/>
        <v>2044</v>
      </c>
      <c r="K233" s="203">
        <f t="shared" si="46"/>
        <v>52718</v>
      </c>
      <c r="M233" s="353"/>
      <c r="N233" s="367">
        <f t="shared" si="56"/>
        <v>-0.60838217863140509</v>
      </c>
      <c r="O233" s="367">
        <f t="shared" si="56"/>
        <v>3.8063624095977078E-2</v>
      </c>
      <c r="P233" s="367">
        <f t="shared" si="56"/>
        <v>-0.62274198586850127</v>
      </c>
      <c r="V233" s="333" t="str">
        <f t="shared" si="47"/>
        <v>Summer</v>
      </c>
      <c r="AA233" s="353">
        <f t="shared" si="50"/>
        <v>2.18E-2</v>
      </c>
      <c r="AB233" s="354">
        <f t="shared" si="54"/>
        <v>0</v>
      </c>
    </row>
    <row r="234" spans="2:28" ht="17.45" hidden="1" customHeight="1" outlineLevel="1">
      <c r="B234" s="203">
        <f t="shared" si="51"/>
        <v>52749</v>
      </c>
      <c r="C234" s="355">
        <v>1076044.3191293888</v>
      </c>
      <c r="D234" s="356">
        <f>IF(ISNUMBER($F234),VLOOKUP($J234,'Table 1'!$B$13:$C$37,2,FALSE)/12*1000*Study_MW,"")</f>
        <v>0</v>
      </c>
      <c r="E234" s="356">
        <f t="shared" si="52"/>
        <v>1076044.3191293888</v>
      </c>
      <c r="F234" s="355">
        <v>25585.768170750005</v>
      </c>
      <c r="G234" s="357">
        <f t="shared" si="55"/>
        <v>42.056361644030574</v>
      </c>
      <c r="I234" s="358">
        <f t="shared" si="44"/>
        <v>253</v>
      </c>
      <c r="J234" s="352">
        <f t="shared" si="45"/>
        <v>2044</v>
      </c>
      <c r="K234" s="203">
        <f t="shared" si="46"/>
        <v>52749</v>
      </c>
      <c r="M234" s="353"/>
      <c r="N234" s="367">
        <f t="shared" si="56"/>
        <v>0.1982337842879256</v>
      </c>
      <c r="O234" s="367">
        <f t="shared" si="56"/>
        <v>7.5750063301693871E-4</v>
      </c>
      <c r="P234" s="367">
        <f t="shared" si="56"/>
        <v>0.19732680847257944</v>
      </c>
      <c r="V234" s="333" t="str">
        <f t="shared" si="47"/>
        <v>Summer</v>
      </c>
      <c r="AA234" s="353">
        <f t="shared" si="50"/>
        <v>2.18E-2</v>
      </c>
      <c r="AB234" s="354">
        <f t="shared" si="54"/>
        <v>0</v>
      </c>
    </row>
    <row r="235" spans="2:28" ht="17.45" hidden="1" customHeight="1" outlineLevel="1">
      <c r="B235" s="203">
        <f t="shared" si="51"/>
        <v>52779</v>
      </c>
      <c r="C235" s="355">
        <v>1345247.6605975826</v>
      </c>
      <c r="D235" s="356">
        <f>IF(ISNUMBER($F235),VLOOKUP($J235,'Table 1'!$B$13:$C$37,2,FALSE)/12*1000*Study_MW,"")</f>
        <v>0</v>
      </c>
      <c r="E235" s="356">
        <f t="shared" si="52"/>
        <v>1345247.6605975826</v>
      </c>
      <c r="F235" s="355">
        <v>24051.370170449994</v>
      </c>
      <c r="G235" s="357">
        <f t="shared" si="55"/>
        <v>55.932267104282538</v>
      </c>
      <c r="I235" s="358">
        <f t="shared" si="44"/>
        <v>254</v>
      </c>
      <c r="J235" s="352">
        <f t="shared" si="45"/>
        <v>2044</v>
      </c>
      <c r="K235" s="203">
        <f t="shared" si="46"/>
        <v>52779</v>
      </c>
      <c r="M235" s="353"/>
      <c r="N235" s="367">
        <f t="shared" si="56"/>
        <v>6.5482232549357589E-2</v>
      </c>
      <c r="O235" s="367">
        <f t="shared" si="56"/>
        <v>-1.916694278275477E-2</v>
      </c>
      <c r="P235" s="367">
        <f t="shared" si="56"/>
        <v>8.6303346639104106E-2</v>
      </c>
      <c r="V235" s="333" t="str">
        <f t="shared" si="47"/>
        <v>Summer</v>
      </c>
      <c r="AA235" s="353">
        <f t="shared" si="50"/>
        <v>2.18E-2</v>
      </c>
      <c r="AB235" s="354">
        <f t="shared" si="54"/>
        <v>0</v>
      </c>
    </row>
    <row r="236" spans="2:28" ht="17.45" hidden="1" customHeight="1" outlineLevel="1">
      <c r="B236" s="203">
        <f t="shared" si="51"/>
        <v>52810</v>
      </c>
      <c r="C236" s="355">
        <v>1351648.2176439895</v>
      </c>
      <c r="D236" s="356">
        <f>IF(ISNUMBER($F236),VLOOKUP($J236,'Table 1'!$B$13:$C$37,2,FALSE)/12*1000*Study_MW,"")</f>
        <v>0</v>
      </c>
      <c r="E236" s="356">
        <f t="shared" si="52"/>
        <v>1351648.2176439895</v>
      </c>
      <c r="F236" s="355">
        <v>21561.372234270002</v>
      </c>
      <c r="G236" s="357">
        <f t="shared" si="55"/>
        <v>62.688413471924456</v>
      </c>
      <c r="I236" s="358">
        <f t="shared" si="44"/>
        <v>255</v>
      </c>
      <c r="J236" s="352">
        <f t="shared" si="45"/>
        <v>2044</v>
      </c>
      <c r="K236" s="203">
        <f t="shared" si="46"/>
        <v>52810</v>
      </c>
      <c r="M236" s="353"/>
      <c r="N236" s="367">
        <f t="shared" si="56"/>
        <v>8.8361807559076411E-3</v>
      </c>
      <c r="O236" s="367">
        <f t="shared" si="56"/>
        <v>-9.8144395347776747E-4</v>
      </c>
      <c r="P236" s="367">
        <f t="shared" si="56"/>
        <v>9.8272696237367008E-3</v>
      </c>
      <c r="V236" s="333" t="str">
        <f t="shared" si="47"/>
        <v>Summer</v>
      </c>
      <c r="AA236" s="353">
        <f t="shared" si="50"/>
        <v>2.18E-2</v>
      </c>
      <c r="AB236" s="354">
        <f t="shared" si="54"/>
        <v>0</v>
      </c>
    </row>
    <row r="237" spans="2:28" ht="17.45" hidden="1" customHeight="1" outlineLevel="1">
      <c r="B237" s="203">
        <f t="shared" si="51"/>
        <v>52841</v>
      </c>
      <c r="C237" s="355">
        <v>906504.43997560069</v>
      </c>
      <c r="D237" s="356">
        <f>IF(ISNUMBER($F237),VLOOKUP($J237,'Table 1'!$B$13:$C$37,2,FALSE)/12*1000*Study_MW,"")</f>
        <v>0</v>
      </c>
      <c r="E237" s="356">
        <f t="shared" si="52"/>
        <v>906504.43997560069</v>
      </c>
      <c r="F237" s="355">
        <v>17871.60598756</v>
      </c>
      <c r="G237" s="357">
        <f t="shared" si="55"/>
        <v>50.723166155665972</v>
      </c>
      <c r="I237" s="358">
        <f t="shared" si="44"/>
        <v>256</v>
      </c>
      <c r="J237" s="352">
        <f t="shared" si="45"/>
        <v>2044</v>
      </c>
      <c r="K237" s="203">
        <f t="shared" si="46"/>
        <v>52841</v>
      </c>
      <c r="M237" s="353"/>
      <c r="N237" s="367">
        <f t="shared" ref="N237:P252" si="57">E237/E225-1</f>
        <v>7.3100883341140399E-2</v>
      </c>
      <c r="O237" s="367">
        <f t="shared" si="57"/>
        <v>-4.8839910377877827E-2</v>
      </c>
      <c r="P237" s="367">
        <f t="shared" si="57"/>
        <v>0.12820217653104327</v>
      </c>
      <c r="V237" s="333" t="str">
        <f t="shared" si="47"/>
        <v>Winter</v>
      </c>
      <c r="AA237" s="353">
        <f t="shared" si="50"/>
        <v>2.18E-2</v>
      </c>
      <c r="AB237" s="354">
        <f t="shared" si="54"/>
        <v>0</v>
      </c>
    </row>
    <row r="238" spans="2:28" ht="17.45" hidden="1" customHeight="1" outlineLevel="1">
      <c r="B238" s="203">
        <f t="shared" si="51"/>
        <v>52871</v>
      </c>
      <c r="C238" s="355">
        <v>633129.93946070492</v>
      </c>
      <c r="D238" s="356">
        <f>IF(ISNUMBER($F238),VLOOKUP($J238,'Table 1'!$B$13:$C$37,2,FALSE)/12*1000*Study_MW,"")</f>
        <v>0</v>
      </c>
      <c r="E238" s="356">
        <f t="shared" si="52"/>
        <v>633129.93946070492</v>
      </c>
      <c r="F238" s="355">
        <v>13794.96177115</v>
      </c>
      <c r="G238" s="357">
        <f t="shared" si="55"/>
        <v>45.895737151283519</v>
      </c>
      <c r="I238" s="358">
        <f t="shared" si="44"/>
        <v>257</v>
      </c>
      <c r="J238" s="352">
        <f t="shared" si="45"/>
        <v>2044</v>
      </c>
      <c r="K238" s="203">
        <f t="shared" si="46"/>
        <v>52871</v>
      </c>
      <c r="M238" s="353"/>
      <c r="N238" s="367">
        <f t="shared" si="57"/>
        <v>2.489461457995255</v>
      </c>
      <c r="O238" s="367">
        <f t="shared" si="57"/>
        <v>7.2107488931680841E-3</v>
      </c>
      <c r="P238" s="367">
        <f t="shared" si="57"/>
        <v>2.4644799629371037</v>
      </c>
      <c r="V238" s="333" t="str">
        <f t="shared" si="47"/>
        <v>Winter</v>
      </c>
      <c r="AA238" s="353">
        <f t="shared" si="50"/>
        <v>2.18E-2</v>
      </c>
      <c r="AB238" s="354">
        <f t="shared" si="54"/>
        <v>0</v>
      </c>
    </row>
    <row r="239" spans="2:28" ht="17.45" hidden="1" customHeight="1" outlineLevel="1">
      <c r="B239" s="203">
        <f t="shared" si="51"/>
        <v>52902</v>
      </c>
      <c r="C239" s="355">
        <v>548873.45967881265</v>
      </c>
      <c r="D239" s="356">
        <f>IF(ISNUMBER($F239),VLOOKUP($J239,'Table 1'!$B$13:$C$37,2,FALSE)/12*1000*Study_MW,"")</f>
        <v>0</v>
      </c>
      <c r="E239" s="356">
        <f t="shared" si="52"/>
        <v>548873.45967881265</v>
      </c>
      <c r="F239" s="355">
        <v>10127.692884829999</v>
      </c>
      <c r="G239" s="357">
        <f t="shared" si="55"/>
        <v>54.195310414769345</v>
      </c>
      <c r="I239" s="358">
        <f t="shared" si="44"/>
        <v>258</v>
      </c>
      <c r="J239" s="352">
        <f t="shared" si="45"/>
        <v>2044</v>
      </c>
      <c r="K239" s="203">
        <f t="shared" si="46"/>
        <v>52902</v>
      </c>
      <c r="M239" s="353"/>
      <c r="N239" s="367">
        <f t="shared" si="57"/>
        <v>-0.3345183284122899</v>
      </c>
      <c r="O239" s="367">
        <f t="shared" si="57"/>
        <v>-4.6032153869054127E-2</v>
      </c>
      <c r="P239" s="367">
        <f t="shared" si="57"/>
        <v>-0.30240660176678202</v>
      </c>
      <c r="V239" s="333" t="str">
        <f t="shared" si="47"/>
        <v>Winter</v>
      </c>
      <c r="AA239" s="353">
        <f t="shared" si="50"/>
        <v>2.18E-2</v>
      </c>
      <c r="AB239" s="354">
        <f t="shared" si="54"/>
        <v>0</v>
      </c>
    </row>
    <row r="240" spans="2:28" ht="17.45" hidden="1" customHeight="1" outlineLevel="1">
      <c r="B240" s="204">
        <f t="shared" si="51"/>
        <v>52932</v>
      </c>
      <c r="C240" s="362">
        <v>630060.57230856642</v>
      </c>
      <c r="D240" s="363">
        <f>IF(ISNUMBER($F240),VLOOKUP($J240,'Table 1'!$B$13:$C$37,2,FALSE)/12*1000*Study_MW,"")</f>
        <v>0</v>
      </c>
      <c r="E240" s="363">
        <f t="shared" si="52"/>
        <v>630060.57230856642</v>
      </c>
      <c r="F240" s="362">
        <v>6975.8495516220701</v>
      </c>
      <c r="G240" s="364">
        <f t="shared" si="55"/>
        <v>90.320263882706683</v>
      </c>
      <c r="I240" s="365">
        <f t="shared" si="44"/>
        <v>259</v>
      </c>
      <c r="J240" s="352">
        <f t="shared" si="45"/>
        <v>2044</v>
      </c>
      <c r="K240" s="204">
        <f t="shared" si="46"/>
        <v>52932</v>
      </c>
      <c r="M240" s="353"/>
      <c r="N240" s="367">
        <f t="shared" si="57"/>
        <v>-0.1204975473606591</v>
      </c>
      <c r="O240" s="367">
        <f t="shared" si="57"/>
        <v>-1.4374958131010973E-2</v>
      </c>
      <c r="P240" s="367">
        <f t="shared" si="57"/>
        <v>-0.10767034594455249</v>
      </c>
      <c r="V240" s="333" t="str">
        <f t="shared" si="47"/>
        <v>Winter</v>
      </c>
      <c r="AA240" s="353">
        <f t="shared" si="50"/>
        <v>2.18E-2</v>
      </c>
      <c r="AB240" s="354">
        <f t="shared" si="54"/>
        <v>0</v>
      </c>
    </row>
    <row r="241" spans="2:28" ht="17.45" customHeight="1" collapsed="1">
      <c r="B241" s="202">
        <f t="shared" si="51"/>
        <v>52963</v>
      </c>
      <c r="C241" s="346">
        <v>368006.11227560468</v>
      </c>
      <c r="D241" s="347">
        <f>IF(ISNUMBER($F241),VLOOKUP($J241,'Table 1'!$B$13:$C$37,2,FALSE)/12*1000*Study_MW,"")</f>
        <v>0</v>
      </c>
      <c r="E241" s="348">
        <f t="shared" si="52"/>
        <v>368006.11227560468</v>
      </c>
      <c r="F241" s="349">
        <v>7170.7641900551998</v>
      </c>
      <c r="G241" s="350">
        <f t="shared" si="55"/>
        <v>51.320347806998768</v>
      </c>
      <c r="I241" s="366">
        <f t="shared" si="44"/>
        <v>261</v>
      </c>
      <c r="J241" s="352">
        <f t="shared" ref="J241:J252" si="58">YEAR(B241)</f>
        <v>2045</v>
      </c>
      <c r="K241" s="202">
        <f t="shared" ref="K241:K252" si="59">IF(ISNUMBER(F241),IF(F241&lt;&gt;0,B241,""),"")</f>
        <v>52963</v>
      </c>
      <c r="M241" s="353"/>
      <c r="N241" s="367">
        <f t="shared" si="57"/>
        <v>2.1800000000000042E-2</v>
      </c>
      <c r="O241" s="367">
        <f t="shared" si="57"/>
        <v>-5.0000000000000044E-3</v>
      </c>
      <c r="P241" s="367">
        <f t="shared" si="57"/>
        <v>2.6934673366834083E-2</v>
      </c>
      <c r="V241" s="333" t="str">
        <f t="shared" si="47"/>
        <v>Winter</v>
      </c>
      <c r="AA241" s="353">
        <f t="shared" si="50"/>
        <v>2.18E-2</v>
      </c>
      <c r="AB241" s="354">
        <f t="shared" si="54"/>
        <v>-5.0000000000000001E-3</v>
      </c>
    </row>
    <row r="242" spans="2:28" ht="17.45" customHeight="1">
      <c r="B242" s="203">
        <f t="shared" si="51"/>
        <v>52994</v>
      </c>
      <c r="C242" s="355">
        <v>629140.63608039089</v>
      </c>
      <c r="D242" s="356">
        <f>IF(ISNUMBER($F242),VLOOKUP($J242,'Table 1'!$B$13:$C$37,2,FALSE)/12*1000*Study_MW,"")</f>
        <v>0</v>
      </c>
      <c r="E242" s="356">
        <f t="shared" si="52"/>
        <v>629140.63608039089</v>
      </c>
      <c r="F242" s="355">
        <v>11895.189366441044</v>
      </c>
      <c r="G242" s="357">
        <f t="shared" si="55"/>
        <v>52.890342196260917</v>
      </c>
      <c r="I242" s="358">
        <f t="shared" si="44"/>
        <v>262</v>
      </c>
      <c r="J242" s="352">
        <f t="shared" si="58"/>
        <v>2045</v>
      </c>
      <c r="K242" s="203">
        <f t="shared" si="59"/>
        <v>52994</v>
      </c>
      <c r="M242" s="353"/>
      <c r="N242" s="367">
        <f t="shared" si="57"/>
        <v>2.1800000000000042E-2</v>
      </c>
      <c r="O242" s="367">
        <f t="shared" si="57"/>
        <v>-3.9310344827586219E-2</v>
      </c>
      <c r="P242" s="367">
        <f t="shared" si="57"/>
        <v>6.3610911701364126E-2</v>
      </c>
      <c r="V242" s="333" t="str">
        <f t="shared" si="47"/>
        <v>Winter</v>
      </c>
      <c r="AA242" s="353">
        <f t="shared" si="50"/>
        <v>2.18E-2</v>
      </c>
      <c r="AB242" s="354">
        <f t="shared" si="54"/>
        <v>-5.0000000000000001E-3</v>
      </c>
    </row>
    <row r="243" spans="2:28" ht="17.45" customHeight="1">
      <c r="B243" s="203">
        <f t="shared" si="51"/>
        <v>53022</v>
      </c>
      <c r="C243" s="355">
        <v>461533.96876194689</v>
      </c>
      <c r="D243" s="356">
        <f>IF(ISNUMBER($F243),VLOOKUP($J243,'Table 1'!$B$13:$C$37,2,FALSE)/12*1000*Study_MW,"")</f>
        <v>0</v>
      </c>
      <c r="E243" s="356">
        <f t="shared" si="52"/>
        <v>461533.96876194689</v>
      </c>
      <c r="F243" s="355">
        <v>14177.275098286396</v>
      </c>
      <c r="G243" s="357">
        <f t="shared" si="55"/>
        <v>32.554490588796739</v>
      </c>
      <c r="I243" s="358">
        <f t="shared" si="44"/>
        <v>263</v>
      </c>
      <c r="J243" s="352">
        <f t="shared" si="58"/>
        <v>2045</v>
      </c>
      <c r="K243" s="203">
        <f t="shared" si="59"/>
        <v>53022</v>
      </c>
      <c r="M243" s="353"/>
      <c r="N243" s="367">
        <f t="shared" si="57"/>
        <v>2.1800000000000042E-2</v>
      </c>
      <c r="O243" s="367">
        <f t="shared" si="57"/>
        <v>-5.0000000000000044E-3</v>
      </c>
      <c r="P243" s="367">
        <f t="shared" si="57"/>
        <v>2.6934673366834083E-2</v>
      </c>
      <c r="V243" s="333" t="str">
        <f t="shared" si="47"/>
        <v>Winter</v>
      </c>
      <c r="AA243" s="353">
        <f t="shared" si="50"/>
        <v>2.18E-2</v>
      </c>
      <c r="AB243" s="354">
        <f t="shared" si="54"/>
        <v>-5.0000000000000001E-3</v>
      </c>
    </row>
    <row r="244" spans="2:28" ht="17.45" customHeight="1">
      <c r="B244" s="203">
        <f t="shared" si="51"/>
        <v>53053</v>
      </c>
      <c r="C244" s="355">
        <v>292259.78842710989</v>
      </c>
      <c r="D244" s="356">
        <f>IF(ISNUMBER($F244),VLOOKUP($J244,'Table 1'!$B$13:$C$37,2,FALSE)/12*1000*Study_MW,"")</f>
        <v>0</v>
      </c>
      <c r="E244" s="356">
        <f t="shared" si="52"/>
        <v>292259.78842710989</v>
      </c>
      <c r="F244" s="355">
        <v>17354.597244271747</v>
      </c>
      <c r="G244" s="357">
        <f t="shared" si="55"/>
        <v>16.84048234098757</v>
      </c>
      <c r="I244" s="358">
        <f t="shared" si="44"/>
        <v>264</v>
      </c>
      <c r="J244" s="352">
        <f t="shared" si="58"/>
        <v>2045</v>
      </c>
      <c r="K244" s="203">
        <f t="shared" si="59"/>
        <v>53053</v>
      </c>
      <c r="M244" s="353"/>
      <c r="N244" s="367">
        <f t="shared" si="57"/>
        <v>2.1800000000000042E-2</v>
      </c>
      <c r="O244" s="367">
        <f t="shared" si="57"/>
        <v>-5.0000000000000044E-3</v>
      </c>
      <c r="P244" s="367">
        <f t="shared" si="57"/>
        <v>2.6934673366834305E-2</v>
      </c>
      <c r="V244" s="333" t="str">
        <f t="shared" si="47"/>
        <v>Winter</v>
      </c>
      <c r="AA244" s="353">
        <f t="shared" si="50"/>
        <v>2.18E-2</v>
      </c>
      <c r="AB244" s="354">
        <f t="shared" si="54"/>
        <v>-5.0000000000000001E-3</v>
      </c>
    </row>
    <row r="245" spans="2:28" ht="17.45" customHeight="1">
      <c r="B245" s="203">
        <f t="shared" si="51"/>
        <v>53083</v>
      </c>
      <c r="C245" s="355">
        <v>170498.88706376683</v>
      </c>
      <c r="D245" s="356">
        <f>IF(ISNUMBER($F245),VLOOKUP($J245,'Table 1'!$B$13:$C$37,2,FALSE)/12*1000*Study_MW,"")</f>
        <v>0</v>
      </c>
      <c r="E245" s="356">
        <f t="shared" si="52"/>
        <v>170498.88706376683</v>
      </c>
      <c r="F245" s="355">
        <v>22167.589365206804</v>
      </c>
      <c r="G245" s="357">
        <f t="shared" si="55"/>
        <v>7.6913589590112936</v>
      </c>
      <c r="I245" s="358">
        <f t="shared" si="44"/>
        <v>265</v>
      </c>
      <c r="J245" s="352">
        <f t="shared" si="58"/>
        <v>2045</v>
      </c>
      <c r="K245" s="203">
        <f t="shared" si="59"/>
        <v>53083</v>
      </c>
      <c r="M245" s="353"/>
      <c r="N245" s="367">
        <f t="shared" si="57"/>
        <v>2.1800000000000042E-2</v>
      </c>
      <c r="O245" s="367">
        <f t="shared" si="57"/>
        <v>-4.9999999999998934E-3</v>
      </c>
      <c r="P245" s="367">
        <f t="shared" si="57"/>
        <v>2.6934673366834083E-2</v>
      </c>
      <c r="V245" s="333" t="str">
        <f t="shared" si="47"/>
        <v>Summer</v>
      </c>
      <c r="AA245" s="353">
        <f t="shared" si="50"/>
        <v>2.18E-2</v>
      </c>
      <c r="AB245" s="354">
        <f t="shared" si="54"/>
        <v>-5.0000000000000001E-3</v>
      </c>
    </row>
    <row r="246" spans="2:28" ht="17.45" customHeight="1">
      <c r="B246" s="203">
        <f t="shared" si="51"/>
        <v>53114</v>
      </c>
      <c r="C246" s="355">
        <v>1099502.0852864096</v>
      </c>
      <c r="D246" s="356">
        <f>IF(ISNUMBER($F246),VLOOKUP($J246,'Table 1'!$B$13:$C$37,2,FALSE)/12*1000*Study_MW,"")</f>
        <v>0</v>
      </c>
      <c r="E246" s="356">
        <f t="shared" si="52"/>
        <v>1099502.0852864096</v>
      </c>
      <c r="F246" s="355">
        <v>25457.839329896255</v>
      </c>
      <c r="G246" s="357">
        <f t="shared" si="55"/>
        <v>43.189136007909994</v>
      </c>
      <c r="I246" s="358">
        <f t="shared" si="44"/>
        <v>266</v>
      </c>
      <c r="J246" s="352">
        <f t="shared" si="58"/>
        <v>2045</v>
      </c>
      <c r="K246" s="203">
        <f t="shared" si="59"/>
        <v>53114</v>
      </c>
      <c r="M246" s="353"/>
      <c r="N246" s="367">
        <f t="shared" si="57"/>
        <v>2.1800000000000042E-2</v>
      </c>
      <c r="O246" s="367">
        <f t="shared" si="57"/>
        <v>-5.0000000000000044E-3</v>
      </c>
      <c r="P246" s="367">
        <f t="shared" si="57"/>
        <v>2.6934673366834305E-2</v>
      </c>
      <c r="V246" s="333" t="str">
        <f t="shared" si="47"/>
        <v>Summer</v>
      </c>
      <c r="AA246" s="353">
        <f t="shared" si="50"/>
        <v>2.18E-2</v>
      </c>
      <c r="AB246" s="354">
        <f t="shared" si="54"/>
        <v>-5.0000000000000001E-3</v>
      </c>
    </row>
    <row r="247" spans="2:28" ht="17.45" customHeight="1">
      <c r="B247" s="203">
        <f t="shared" si="51"/>
        <v>53144</v>
      </c>
      <c r="C247" s="355">
        <v>1374574.05959861</v>
      </c>
      <c r="D247" s="356">
        <f>IF(ISNUMBER($F247),VLOOKUP($J247,'Table 1'!$B$13:$C$37,2,FALSE)/12*1000*Study_MW,"")</f>
        <v>0</v>
      </c>
      <c r="E247" s="356">
        <f t="shared" si="52"/>
        <v>1374574.05959861</v>
      </c>
      <c r="F247" s="355">
        <v>23931.113319597745</v>
      </c>
      <c r="G247" s="357">
        <f t="shared" si="55"/>
        <v>57.438784449402917</v>
      </c>
      <c r="I247" s="358">
        <f t="shared" si="44"/>
        <v>267</v>
      </c>
      <c r="J247" s="352">
        <f t="shared" si="58"/>
        <v>2045</v>
      </c>
      <c r="K247" s="203">
        <f t="shared" si="59"/>
        <v>53144</v>
      </c>
      <c r="M247" s="353"/>
      <c r="N247" s="367">
        <f t="shared" si="57"/>
        <v>2.1800000000000042E-2</v>
      </c>
      <c r="O247" s="367">
        <f t="shared" si="57"/>
        <v>-5.0000000000000044E-3</v>
      </c>
      <c r="P247" s="367">
        <f t="shared" si="57"/>
        <v>2.6934673366834305E-2</v>
      </c>
      <c r="V247" s="333" t="str">
        <f t="shared" si="47"/>
        <v>Summer</v>
      </c>
      <c r="AA247" s="353">
        <f t="shared" si="50"/>
        <v>2.18E-2</v>
      </c>
      <c r="AB247" s="354">
        <f t="shared" si="54"/>
        <v>-5.0000000000000001E-3</v>
      </c>
    </row>
    <row r="248" spans="2:28" ht="17.45" customHeight="1">
      <c r="B248" s="203">
        <f t="shared" si="51"/>
        <v>53175</v>
      </c>
      <c r="C248" s="355">
        <v>1381114.1487886284</v>
      </c>
      <c r="D248" s="356">
        <f>IF(ISNUMBER($F248),VLOOKUP($J248,'Table 1'!$B$13:$C$37,2,FALSE)/12*1000*Study_MW,"")</f>
        <v>0</v>
      </c>
      <c r="E248" s="356">
        <f t="shared" si="52"/>
        <v>1381114.1487886284</v>
      </c>
      <c r="F248" s="355">
        <v>21453.565373098652</v>
      </c>
      <c r="G248" s="357">
        <f t="shared" si="55"/>
        <v>64.376905412675782</v>
      </c>
      <c r="I248" s="358">
        <f t="shared" si="44"/>
        <v>268</v>
      </c>
      <c r="J248" s="352">
        <f t="shared" si="58"/>
        <v>2045</v>
      </c>
      <c r="K248" s="203">
        <f t="shared" si="59"/>
        <v>53175</v>
      </c>
      <c r="M248" s="353"/>
      <c r="N248" s="367">
        <f t="shared" si="57"/>
        <v>2.1800000000000042E-2</v>
      </c>
      <c r="O248" s="367">
        <f t="shared" si="57"/>
        <v>-5.0000000000000044E-3</v>
      </c>
      <c r="P248" s="367">
        <f t="shared" si="57"/>
        <v>2.6934673366834083E-2</v>
      </c>
      <c r="V248" s="333" t="str">
        <f t="shared" si="47"/>
        <v>Summer</v>
      </c>
      <c r="AA248" s="353">
        <f t="shared" si="50"/>
        <v>2.18E-2</v>
      </c>
      <c r="AB248" s="354">
        <f t="shared" si="54"/>
        <v>-5.0000000000000001E-3</v>
      </c>
    </row>
    <row r="249" spans="2:28" ht="17.45" customHeight="1">
      <c r="B249" s="203">
        <f t="shared" si="51"/>
        <v>53206</v>
      </c>
      <c r="C249" s="355">
        <v>926266.23676706885</v>
      </c>
      <c r="D249" s="356">
        <f>IF(ISNUMBER($F249),VLOOKUP($J249,'Table 1'!$B$13:$C$37,2,FALSE)/12*1000*Study_MW,"")</f>
        <v>0</v>
      </c>
      <c r="E249" s="356">
        <f t="shared" si="52"/>
        <v>926266.23676706885</v>
      </c>
      <c r="F249" s="355">
        <v>17782.247957622199</v>
      </c>
      <c r="G249" s="357">
        <f t="shared" si="55"/>
        <v>52.089378068200496</v>
      </c>
      <c r="I249" s="358">
        <f t="shared" si="44"/>
        <v>269</v>
      </c>
      <c r="J249" s="352">
        <f t="shared" si="58"/>
        <v>2045</v>
      </c>
      <c r="K249" s="203">
        <f t="shared" si="59"/>
        <v>53206</v>
      </c>
      <c r="M249" s="353"/>
      <c r="N249" s="367">
        <f t="shared" si="57"/>
        <v>2.1800000000000042E-2</v>
      </c>
      <c r="O249" s="367">
        <f t="shared" si="57"/>
        <v>-5.0000000000000044E-3</v>
      </c>
      <c r="P249" s="367">
        <f t="shared" si="57"/>
        <v>2.6934673366834305E-2</v>
      </c>
      <c r="V249" s="333" t="str">
        <f t="shared" si="47"/>
        <v>Winter</v>
      </c>
      <c r="AA249" s="353">
        <f t="shared" si="50"/>
        <v>2.18E-2</v>
      </c>
      <c r="AB249" s="354">
        <f t="shared" si="54"/>
        <v>-5.0000000000000001E-3</v>
      </c>
    </row>
    <row r="250" spans="2:28" ht="17.45" customHeight="1">
      <c r="B250" s="203">
        <f t="shared" si="51"/>
        <v>53236</v>
      </c>
      <c r="C250" s="355">
        <v>646932.17214094836</v>
      </c>
      <c r="D250" s="356">
        <f>IF(ISNUMBER($F250),VLOOKUP($J250,'Table 1'!$B$13:$C$37,2,FALSE)/12*1000*Study_MW,"")</f>
        <v>0</v>
      </c>
      <c r="E250" s="356">
        <f t="shared" si="52"/>
        <v>646932.17214094836</v>
      </c>
      <c r="F250" s="355">
        <v>13725.98696229425</v>
      </c>
      <c r="G250" s="357">
        <f t="shared" si="55"/>
        <v>47.131923840383422</v>
      </c>
      <c r="I250" s="358">
        <f t="shared" si="44"/>
        <v>270</v>
      </c>
      <c r="J250" s="352">
        <f t="shared" si="58"/>
        <v>2045</v>
      </c>
      <c r="K250" s="203">
        <f t="shared" si="59"/>
        <v>53236</v>
      </c>
      <c r="M250" s="353"/>
      <c r="N250" s="367">
        <f t="shared" si="57"/>
        <v>2.1800000000000042E-2</v>
      </c>
      <c r="O250" s="367">
        <f t="shared" si="57"/>
        <v>-5.0000000000000044E-3</v>
      </c>
      <c r="P250" s="367">
        <f t="shared" si="57"/>
        <v>2.6934673366834305E-2</v>
      </c>
      <c r="V250" s="333" t="str">
        <f t="shared" si="47"/>
        <v>Winter</v>
      </c>
      <c r="AA250" s="353">
        <f t="shared" si="50"/>
        <v>2.18E-2</v>
      </c>
      <c r="AB250" s="354">
        <f t="shared" si="54"/>
        <v>-5.0000000000000001E-3</v>
      </c>
    </row>
    <row r="251" spans="2:28" ht="17.45" customHeight="1">
      <c r="B251" s="203">
        <f t="shared" si="51"/>
        <v>53267</v>
      </c>
      <c r="C251" s="355">
        <v>560838.90109981084</v>
      </c>
      <c r="D251" s="356">
        <f>IF(ISNUMBER($F251),VLOOKUP($J251,'Table 1'!$B$13:$C$37,2,FALSE)/12*1000*Study_MW,"")</f>
        <v>0</v>
      </c>
      <c r="E251" s="356">
        <f t="shared" si="52"/>
        <v>560838.90109981084</v>
      </c>
      <c r="F251" s="355">
        <v>10077.05442040585</v>
      </c>
      <c r="G251" s="357">
        <f t="shared" si="55"/>
        <v>55.655043398805347</v>
      </c>
      <c r="I251" s="358">
        <f t="shared" si="44"/>
        <v>271</v>
      </c>
      <c r="J251" s="352">
        <f t="shared" si="58"/>
        <v>2045</v>
      </c>
      <c r="K251" s="203">
        <f t="shared" si="59"/>
        <v>53267</v>
      </c>
      <c r="M251" s="353"/>
      <c r="N251" s="367">
        <f t="shared" si="57"/>
        <v>2.1800000000000042E-2</v>
      </c>
      <c r="O251" s="367">
        <f t="shared" si="57"/>
        <v>-5.0000000000000044E-3</v>
      </c>
      <c r="P251" s="367">
        <f t="shared" si="57"/>
        <v>2.6934673366834305E-2</v>
      </c>
      <c r="V251" s="333" t="str">
        <f t="shared" si="47"/>
        <v>Winter</v>
      </c>
      <c r="AA251" s="353">
        <f t="shared" si="50"/>
        <v>2.18E-2</v>
      </c>
      <c r="AB251" s="354">
        <f t="shared" si="54"/>
        <v>-5.0000000000000001E-3</v>
      </c>
    </row>
    <row r="252" spans="2:28" ht="17.45" customHeight="1" collapsed="1">
      <c r="B252" s="204">
        <f t="shared" si="51"/>
        <v>53297</v>
      </c>
      <c r="C252" s="362">
        <v>643795.89278489316</v>
      </c>
      <c r="D252" s="363">
        <f>IF(ISNUMBER($F252),VLOOKUP($J252,'Table 1'!$B$13:$C$37,2,FALSE)/12*1000*Study_MW,"")</f>
        <v>0</v>
      </c>
      <c r="E252" s="363">
        <f t="shared" si="52"/>
        <v>643795.89278489316</v>
      </c>
      <c r="F252" s="362">
        <v>6940.97030386396</v>
      </c>
      <c r="G252" s="364">
        <f t="shared" si="55"/>
        <v>92.753010688793651</v>
      </c>
      <c r="I252" s="365">
        <f t="shared" si="44"/>
        <v>272</v>
      </c>
      <c r="J252" s="352">
        <f t="shared" si="58"/>
        <v>2045</v>
      </c>
      <c r="K252" s="204">
        <f t="shared" si="59"/>
        <v>53297</v>
      </c>
      <c r="M252" s="353"/>
      <c r="N252" s="367">
        <f t="shared" si="57"/>
        <v>2.1800000000000042E-2</v>
      </c>
      <c r="O252" s="367">
        <f t="shared" si="57"/>
        <v>-5.0000000000000044E-3</v>
      </c>
      <c r="P252" s="367">
        <f t="shared" si="57"/>
        <v>2.6934673366834083E-2</v>
      </c>
      <c r="V252" s="333" t="str">
        <f t="shared" si="47"/>
        <v>Winter</v>
      </c>
      <c r="AA252" s="353">
        <f t="shared" si="50"/>
        <v>2.18E-2</v>
      </c>
      <c r="AB252" s="354">
        <f t="shared" si="54"/>
        <v>-5.0000000000000001E-3</v>
      </c>
    </row>
    <row r="253" spans="2:28" ht="17.45" customHeight="1">
      <c r="B253" s="202">
        <f t="shared" ref="B253:B276" si="60">EDATE(B252,1)</f>
        <v>53328</v>
      </c>
      <c r="C253" s="346">
        <v>376028.64552321291</v>
      </c>
      <c r="D253" s="347">
        <f>IF(ISNUMBER($F253),VLOOKUP($J253,'Table 1'!$B$13:$C$37,2,FALSE)/12*1000*Study_MW,"")</f>
        <v>0</v>
      </c>
      <c r="E253" s="348">
        <f t="shared" si="52"/>
        <v>376028.64552321291</v>
      </c>
      <c r="F253" s="349">
        <v>7134.910369104924</v>
      </c>
      <c r="G253" s="350">
        <f t="shared" si="55"/>
        <v>52.702644612252612</v>
      </c>
      <c r="I253" s="366">
        <f t="shared" ref="I253:I276" si="61">I241+13</f>
        <v>274</v>
      </c>
      <c r="J253" s="352">
        <f t="shared" ref="J253:J276" si="62">YEAR(B253)</f>
        <v>2046</v>
      </c>
      <c r="K253" s="202">
        <f t="shared" ref="K253:K276" si="63">IF(ISNUMBER(F253),IF(F253&lt;&gt;0,B253,""),"")</f>
        <v>53328</v>
      </c>
      <c r="M253" s="353"/>
      <c r="N253" s="367">
        <f>E253/E241-1</f>
        <v>2.1800000000000042E-2</v>
      </c>
      <c r="O253" s="367">
        <f>F253/F241-1</f>
        <v>-5.0000000000000044E-3</v>
      </c>
      <c r="P253" s="367">
        <f>G253/G241-1</f>
        <v>2.6934673366834305E-2</v>
      </c>
      <c r="V253" s="333" t="str">
        <f t="shared" si="47"/>
        <v>Winter</v>
      </c>
      <c r="AA253" s="353">
        <f t="shared" si="50"/>
        <v>2.18E-2</v>
      </c>
      <c r="AB253" s="354">
        <f t="shared" si="54"/>
        <v>-5.0000000000000001E-3</v>
      </c>
    </row>
    <row r="254" spans="2:28" ht="17.45" customHeight="1">
      <c r="B254" s="203">
        <f t="shared" si="60"/>
        <v>53359</v>
      </c>
      <c r="C254" s="355">
        <v>642855.90194694349</v>
      </c>
      <c r="D254" s="356">
        <f>IF(ISNUMBER($F254),VLOOKUP($J254,'Table 1'!$B$13:$C$37,2,FALSE)/12*1000*Study_MW,"")</f>
        <v>0</v>
      </c>
      <c r="E254" s="356">
        <f t="shared" si="52"/>
        <v>642855.90194694349</v>
      </c>
      <c r="F254" s="355">
        <v>11835.713419608839</v>
      </c>
      <c r="G254" s="357">
        <f t="shared" si="55"/>
        <v>54.314926287577293</v>
      </c>
      <c r="I254" s="358">
        <f t="shared" si="61"/>
        <v>275</v>
      </c>
      <c r="J254" s="352">
        <f t="shared" si="62"/>
        <v>2046</v>
      </c>
      <c r="K254" s="203">
        <f t="shared" si="63"/>
        <v>53359</v>
      </c>
      <c r="M254" s="353"/>
      <c r="N254" s="367">
        <f t="shared" ref="N254:P269" si="64">E254/E242-1</f>
        <v>2.1800000000000042E-2</v>
      </c>
      <c r="O254" s="367">
        <f t="shared" si="64"/>
        <v>-4.9999999999998934E-3</v>
      </c>
      <c r="P254" s="367">
        <f t="shared" si="64"/>
        <v>2.6934673366834305E-2</v>
      </c>
      <c r="V254" s="333" t="str">
        <f t="shared" si="47"/>
        <v>Winter</v>
      </c>
      <c r="AA254" s="353">
        <f t="shared" si="50"/>
        <v>2.18E-2</v>
      </c>
      <c r="AB254" s="354">
        <f t="shared" si="54"/>
        <v>-5.0000000000000001E-3</v>
      </c>
    </row>
    <row r="255" spans="2:28" ht="17.45" customHeight="1">
      <c r="B255" s="203">
        <f t="shared" si="60"/>
        <v>53387</v>
      </c>
      <c r="C255" s="355">
        <v>471595.40928095736</v>
      </c>
      <c r="D255" s="356">
        <f>IF(ISNUMBER($F255),VLOOKUP($J255,'Table 1'!$B$13:$C$37,2,FALSE)/12*1000*Study_MW,"")</f>
        <v>0</v>
      </c>
      <c r="E255" s="356">
        <f t="shared" si="52"/>
        <v>471595.40928095736</v>
      </c>
      <c r="F255" s="355">
        <v>14106.388722794964</v>
      </c>
      <c r="G255" s="357">
        <f t="shared" si="55"/>
        <v>33.431335159429665</v>
      </c>
      <c r="I255" s="358">
        <f t="shared" si="61"/>
        <v>276</v>
      </c>
      <c r="J255" s="352">
        <f t="shared" si="62"/>
        <v>2046</v>
      </c>
      <c r="K255" s="203">
        <f t="shared" si="63"/>
        <v>53387</v>
      </c>
      <c r="M255" s="353"/>
      <c r="N255" s="367">
        <f t="shared" si="64"/>
        <v>2.1800000000000042E-2</v>
      </c>
      <c r="O255" s="367">
        <f t="shared" si="64"/>
        <v>-5.0000000000000044E-3</v>
      </c>
      <c r="P255" s="367">
        <f t="shared" si="64"/>
        <v>2.6934673366834527E-2</v>
      </c>
      <c r="V255" s="333" t="str">
        <f t="shared" si="47"/>
        <v>Winter</v>
      </c>
      <c r="AA255" s="353">
        <f t="shared" si="50"/>
        <v>2.18E-2</v>
      </c>
      <c r="AB255" s="354">
        <f t="shared" si="54"/>
        <v>-5.0000000000000001E-3</v>
      </c>
    </row>
    <row r="256" spans="2:28" ht="17.45" customHeight="1">
      <c r="B256" s="203">
        <f t="shared" si="60"/>
        <v>53418</v>
      </c>
      <c r="C256" s="355">
        <v>298631.05181482091</v>
      </c>
      <c r="D256" s="356">
        <f>IF(ISNUMBER($F256),VLOOKUP($J256,'Table 1'!$B$13:$C$37,2,FALSE)/12*1000*Study_MW,"")</f>
        <v>0</v>
      </c>
      <c r="E256" s="356">
        <f t="shared" si="52"/>
        <v>298631.05181482091</v>
      </c>
      <c r="F256" s="355">
        <v>17267.824258050387</v>
      </c>
      <c r="G256" s="357">
        <f t="shared" si="55"/>
        <v>17.29407523218201</v>
      </c>
      <c r="I256" s="358">
        <f t="shared" si="61"/>
        <v>277</v>
      </c>
      <c r="J256" s="352">
        <f t="shared" si="62"/>
        <v>2046</v>
      </c>
      <c r="K256" s="203">
        <f t="shared" si="63"/>
        <v>53418</v>
      </c>
      <c r="M256" s="353"/>
      <c r="N256" s="367">
        <f t="shared" si="64"/>
        <v>2.1800000000000042E-2</v>
      </c>
      <c r="O256" s="367">
        <f t="shared" si="64"/>
        <v>-5.0000000000001155E-3</v>
      </c>
      <c r="P256" s="367">
        <f t="shared" si="64"/>
        <v>2.6934673366834305E-2</v>
      </c>
      <c r="V256" s="333" t="str">
        <f t="shared" si="47"/>
        <v>Winter</v>
      </c>
      <c r="AA256" s="353">
        <f t="shared" si="50"/>
        <v>2.18E-2</v>
      </c>
      <c r="AB256" s="354">
        <f t="shared" si="54"/>
        <v>-5.0000000000000001E-3</v>
      </c>
    </row>
    <row r="257" spans="2:28" ht="17.45" customHeight="1">
      <c r="B257" s="203">
        <f t="shared" si="60"/>
        <v>53448</v>
      </c>
      <c r="C257" s="355">
        <v>174215.76280175697</v>
      </c>
      <c r="D257" s="356">
        <f>IF(ISNUMBER($F257),VLOOKUP($J257,'Table 1'!$B$13:$C$37,2,FALSE)/12*1000*Study_MW,"")</f>
        <v>0</v>
      </c>
      <c r="E257" s="356">
        <f t="shared" si="52"/>
        <v>174215.76280175697</v>
      </c>
      <c r="F257" s="355">
        <v>22056.751418380769</v>
      </c>
      <c r="G257" s="357">
        <f t="shared" si="55"/>
        <v>7.898523200319338</v>
      </c>
      <c r="I257" s="358">
        <f t="shared" si="61"/>
        <v>278</v>
      </c>
      <c r="J257" s="352">
        <f t="shared" si="62"/>
        <v>2046</v>
      </c>
      <c r="K257" s="203">
        <f t="shared" si="63"/>
        <v>53448</v>
      </c>
      <c r="M257" s="353"/>
      <c r="N257" s="367">
        <f t="shared" si="64"/>
        <v>2.1800000000000042E-2</v>
      </c>
      <c r="O257" s="367">
        <f t="shared" si="64"/>
        <v>-5.0000000000001155E-3</v>
      </c>
      <c r="P257" s="367">
        <f t="shared" si="64"/>
        <v>2.6934673366834305E-2</v>
      </c>
      <c r="V257" s="333" t="str">
        <f t="shared" si="47"/>
        <v>Summer</v>
      </c>
      <c r="AA257" s="353">
        <f t="shared" si="50"/>
        <v>2.18E-2</v>
      </c>
      <c r="AB257" s="354">
        <f t="shared" si="54"/>
        <v>-5.0000000000000001E-3</v>
      </c>
    </row>
    <row r="258" spans="2:28" ht="17.45" customHeight="1">
      <c r="B258" s="203">
        <f t="shared" si="60"/>
        <v>53479</v>
      </c>
      <c r="C258" s="355">
        <v>1123471.2307456534</v>
      </c>
      <c r="D258" s="356">
        <f>IF(ISNUMBER($F258),VLOOKUP($J258,'Table 1'!$B$13:$C$37,2,FALSE)/12*1000*Study_MW,"")</f>
        <v>0</v>
      </c>
      <c r="E258" s="356">
        <f t="shared" si="52"/>
        <v>1123471.2307456534</v>
      </c>
      <c r="F258" s="355">
        <v>25330.550133246772</v>
      </c>
      <c r="G258" s="357">
        <f t="shared" si="55"/>
        <v>44.352421279278829</v>
      </c>
      <c r="I258" s="358">
        <f t="shared" si="61"/>
        <v>279</v>
      </c>
      <c r="J258" s="352">
        <f t="shared" si="62"/>
        <v>2046</v>
      </c>
      <c r="K258" s="203">
        <f t="shared" si="63"/>
        <v>53479</v>
      </c>
      <c r="M258" s="353"/>
      <c r="N258" s="367">
        <f t="shared" si="64"/>
        <v>2.1800000000000042E-2</v>
      </c>
      <c r="O258" s="367">
        <f t="shared" si="64"/>
        <v>-5.0000000000000044E-3</v>
      </c>
      <c r="P258" s="367">
        <f t="shared" si="64"/>
        <v>2.6934673366834305E-2</v>
      </c>
      <c r="V258" s="333" t="str">
        <f t="shared" si="47"/>
        <v>Summer</v>
      </c>
      <c r="AA258" s="353">
        <f t="shared" si="50"/>
        <v>2.18E-2</v>
      </c>
      <c r="AB258" s="354">
        <f t="shared" si="54"/>
        <v>-5.0000000000000001E-3</v>
      </c>
    </row>
    <row r="259" spans="2:28" ht="17.45" customHeight="1">
      <c r="B259" s="203">
        <f t="shared" si="60"/>
        <v>53509</v>
      </c>
      <c r="C259" s="355">
        <v>1404539.7740978599</v>
      </c>
      <c r="D259" s="356">
        <f>IF(ISNUMBER($F259),VLOOKUP($J259,'Table 1'!$B$13:$C$37,2,FALSE)/12*1000*Study_MW,"")</f>
        <v>0</v>
      </c>
      <c r="E259" s="356">
        <f t="shared" si="52"/>
        <v>1404539.7740978599</v>
      </c>
      <c r="F259" s="355">
        <v>23811.457752999755</v>
      </c>
      <c r="G259" s="357">
        <f t="shared" si="55"/>
        <v>58.985879347135587</v>
      </c>
      <c r="I259" s="358">
        <f t="shared" si="61"/>
        <v>280</v>
      </c>
      <c r="J259" s="352">
        <f t="shared" si="62"/>
        <v>2046</v>
      </c>
      <c r="K259" s="203">
        <f t="shared" si="63"/>
        <v>53509</v>
      </c>
      <c r="M259" s="353"/>
      <c r="N259" s="367">
        <f t="shared" si="64"/>
        <v>2.1800000000000042E-2</v>
      </c>
      <c r="O259" s="367">
        <f t="shared" si="64"/>
        <v>-5.0000000000001155E-3</v>
      </c>
      <c r="P259" s="367">
        <f t="shared" si="64"/>
        <v>2.6934673366834305E-2</v>
      </c>
      <c r="V259" s="333" t="str">
        <f t="shared" si="47"/>
        <v>Summer</v>
      </c>
      <c r="AA259" s="353">
        <f t="shared" si="50"/>
        <v>2.18E-2</v>
      </c>
      <c r="AB259" s="354">
        <f t="shared" si="54"/>
        <v>-5.0000000000000001E-3</v>
      </c>
    </row>
    <row r="260" spans="2:28" ht="17.45" customHeight="1">
      <c r="B260" s="203">
        <f t="shared" si="60"/>
        <v>53540</v>
      </c>
      <c r="C260" s="355">
        <v>1411222.4372322205</v>
      </c>
      <c r="D260" s="356">
        <f>IF(ISNUMBER($F260),VLOOKUP($J260,'Table 1'!$B$13:$C$37,2,FALSE)/12*1000*Study_MW,"")</f>
        <v>0</v>
      </c>
      <c r="E260" s="356">
        <f t="shared" si="52"/>
        <v>1411222.4372322205</v>
      </c>
      <c r="F260" s="355">
        <v>21346.29754623316</v>
      </c>
      <c r="G260" s="357">
        <f t="shared" si="55"/>
        <v>66.110876332333788</v>
      </c>
      <c r="I260" s="358">
        <f t="shared" si="61"/>
        <v>281</v>
      </c>
      <c r="J260" s="352">
        <f t="shared" si="62"/>
        <v>2046</v>
      </c>
      <c r="K260" s="203">
        <f t="shared" si="63"/>
        <v>53540</v>
      </c>
      <c r="M260" s="353"/>
      <c r="N260" s="367">
        <f t="shared" si="64"/>
        <v>2.1800000000000042E-2</v>
      </c>
      <c r="O260" s="367">
        <f t="shared" si="64"/>
        <v>-5.0000000000000044E-3</v>
      </c>
      <c r="P260" s="367">
        <f t="shared" si="64"/>
        <v>2.6934673366834305E-2</v>
      </c>
      <c r="V260" s="333" t="str">
        <f t="shared" si="47"/>
        <v>Summer</v>
      </c>
      <c r="AA260" s="353">
        <f t="shared" si="50"/>
        <v>2.18E-2</v>
      </c>
      <c r="AB260" s="354">
        <f t="shared" si="54"/>
        <v>-5.0000000000000001E-3</v>
      </c>
    </row>
    <row r="261" spans="2:28" ht="17.45" customHeight="1">
      <c r="B261" s="203">
        <f t="shared" si="60"/>
        <v>53571</v>
      </c>
      <c r="C261" s="355">
        <v>946458.84072859096</v>
      </c>
      <c r="D261" s="356">
        <f>IF(ISNUMBER($F261),VLOOKUP($J261,'Table 1'!$B$13:$C$37,2,FALSE)/12*1000*Study_MW,"")</f>
        <v>0</v>
      </c>
      <c r="E261" s="356">
        <f t="shared" si="52"/>
        <v>946458.84072859096</v>
      </c>
      <c r="F261" s="355">
        <v>17693.336717834089</v>
      </c>
      <c r="G261" s="357">
        <f t="shared" si="55"/>
        <v>53.492388452349012</v>
      </c>
      <c r="I261" s="358">
        <f t="shared" si="61"/>
        <v>282</v>
      </c>
      <c r="J261" s="352">
        <f t="shared" si="62"/>
        <v>2046</v>
      </c>
      <c r="K261" s="203">
        <f t="shared" si="63"/>
        <v>53571</v>
      </c>
      <c r="M261" s="353"/>
      <c r="N261" s="367">
        <f t="shared" si="64"/>
        <v>2.1800000000000042E-2</v>
      </c>
      <c r="O261" s="367">
        <f t="shared" si="64"/>
        <v>-5.0000000000000044E-3</v>
      </c>
      <c r="P261" s="367">
        <f t="shared" si="64"/>
        <v>2.6934673366834083E-2</v>
      </c>
      <c r="V261" s="333" t="str">
        <f t="shared" si="47"/>
        <v>Winter</v>
      </c>
      <c r="AA261" s="353">
        <f t="shared" si="50"/>
        <v>2.18E-2</v>
      </c>
      <c r="AB261" s="354">
        <f t="shared" si="54"/>
        <v>-5.0000000000000001E-3</v>
      </c>
    </row>
    <row r="262" spans="2:28" ht="17.45" customHeight="1">
      <c r="B262" s="203">
        <f t="shared" si="60"/>
        <v>53601</v>
      </c>
      <c r="C262" s="355">
        <v>661035.29349362105</v>
      </c>
      <c r="D262" s="356">
        <f>IF(ISNUMBER($F262),VLOOKUP($J262,'Table 1'!$B$13:$C$37,2,FALSE)/12*1000*Study_MW,"")</f>
        <v>0</v>
      </c>
      <c r="E262" s="356">
        <f t="shared" si="52"/>
        <v>661035.29349362105</v>
      </c>
      <c r="F262" s="355">
        <v>13657.357027482778</v>
      </c>
      <c r="G262" s="357">
        <f t="shared" si="55"/>
        <v>48.401406814174656</v>
      </c>
      <c r="I262" s="358">
        <f t="shared" si="61"/>
        <v>283</v>
      </c>
      <c r="J262" s="352">
        <f t="shared" si="62"/>
        <v>2046</v>
      </c>
      <c r="K262" s="203">
        <f t="shared" si="63"/>
        <v>53601</v>
      </c>
      <c r="M262" s="353"/>
      <c r="N262" s="367">
        <f t="shared" si="64"/>
        <v>2.1800000000000042E-2</v>
      </c>
      <c r="O262" s="367">
        <f t="shared" si="64"/>
        <v>-5.0000000000000044E-3</v>
      </c>
      <c r="P262" s="367">
        <f t="shared" si="64"/>
        <v>2.6934673366834305E-2</v>
      </c>
      <c r="V262" s="333" t="str">
        <f t="shared" si="47"/>
        <v>Winter</v>
      </c>
      <c r="AA262" s="353">
        <f t="shared" si="50"/>
        <v>2.18E-2</v>
      </c>
      <c r="AB262" s="354">
        <f t="shared" si="54"/>
        <v>-5.0000000000000001E-3</v>
      </c>
    </row>
    <row r="263" spans="2:28" ht="17.45" customHeight="1">
      <c r="B263" s="203">
        <f t="shared" si="60"/>
        <v>53632</v>
      </c>
      <c r="C263" s="355">
        <v>573065.18914378679</v>
      </c>
      <c r="D263" s="356">
        <f>IF(ISNUMBER($F263),VLOOKUP($J263,'Table 1'!$B$13:$C$37,2,FALSE)/12*1000*Study_MW,"")</f>
        <v>0</v>
      </c>
      <c r="E263" s="356">
        <f t="shared" si="52"/>
        <v>573065.18914378679</v>
      </c>
      <c r="F263" s="355">
        <v>10026.669148303821</v>
      </c>
      <c r="G263" s="357">
        <f t="shared" si="55"/>
        <v>57.154093813969155</v>
      </c>
      <c r="I263" s="358">
        <f t="shared" si="61"/>
        <v>284</v>
      </c>
      <c r="J263" s="352">
        <f t="shared" si="62"/>
        <v>2046</v>
      </c>
      <c r="K263" s="203">
        <f t="shared" si="63"/>
        <v>53632</v>
      </c>
      <c r="M263" s="353"/>
      <c r="N263" s="367">
        <f t="shared" si="64"/>
        <v>2.1800000000000042E-2</v>
      </c>
      <c r="O263" s="367">
        <f t="shared" si="64"/>
        <v>-4.9999999999998934E-3</v>
      </c>
      <c r="P263" s="367">
        <f t="shared" si="64"/>
        <v>2.6934673366834305E-2</v>
      </c>
      <c r="V263" s="333" t="str">
        <f t="shared" si="47"/>
        <v>Winter</v>
      </c>
      <c r="AA263" s="353">
        <f t="shared" si="50"/>
        <v>2.18E-2</v>
      </c>
      <c r="AB263" s="354">
        <f t="shared" si="54"/>
        <v>-5.0000000000000001E-3</v>
      </c>
    </row>
    <row r="264" spans="2:28" ht="17.45" customHeight="1">
      <c r="B264" s="204">
        <f t="shared" si="60"/>
        <v>53662</v>
      </c>
      <c r="C264" s="362">
        <v>657830.6432476039</v>
      </c>
      <c r="D264" s="363">
        <f>IF(ISNUMBER($F264),VLOOKUP($J264,'Table 1'!$B$13:$C$37,2,FALSE)/12*1000*Study_MW,"")</f>
        <v>0</v>
      </c>
      <c r="E264" s="363">
        <f t="shared" si="52"/>
        <v>657830.6432476039</v>
      </c>
      <c r="F264" s="362">
        <v>6906.2654523446399</v>
      </c>
      <c r="G264" s="364">
        <f t="shared" si="55"/>
        <v>95.251282735486797</v>
      </c>
      <c r="I264" s="365">
        <f t="shared" si="61"/>
        <v>285</v>
      </c>
      <c r="J264" s="352">
        <f t="shared" si="62"/>
        <v>2046</v>
      </c>
      <c r="K264" s="204">
        <f t="shared" si="63"/>
        <v>53662</v>
      </c>
      <c r="M264" s="353"/>
      <c r="N264" s="367">
        <f t="shared" si="64"/>
        <v>2.1800000000000042E-2</v>
      </c>
      <c r="O264" s="367">
        <f t="shared" si="64"/>
        <v>-5.0000000000000044E-3</v>
      </c>
      <c r="P264" s="367">
        <f t="shared" si="64"/>
        <v>2.6934673366834305E-2</v>
      </c>
      <c r="V264" s="333" t="str">
        <f t="shared" si="47"/>
        <v>Winter</v>
      </c>
      <c r="AA264" s="353">
        <f t="shared" si="50"/>
        <v>2.18E-2</v>
      </c>
      <c r="AB264" s="354">
        <f t="shared" si="54"/>
        <v>-5.0000000000000001E-3</v>
      </c>
    </row>
    <row r="265" spans="2:28" ht="17.45" customHeight="1">
      <c r="B265" s="202">
        <f t="shared" si="60"/>
        <v>53693</v>
      </c>
      <c r="C265" s="346">
        <v>384226.06999561895</v>
      </c>
      <c r="D265" s="347">
        <f>IF(ISNUMBER($F265),VLOOKUP($J265,'Table 1'!$B$13:$C$37,2,FALSE)/12*1000*Study_MW,"")</f>
        <v>0</v>
      </c>
      <c r="E265" s="348">
        <f t="shared" si="52"/>
        <v>384226.06999561895</v>
      </c>
      <c r="F265" s="349">
        <v>7099.2358172593995</v>
      </c>
      <c r="G265" s="350">
        <f t="shared" si="55"/>
        <v>54.122173130451976</v>
      </c>
      <c r="I265" s="366">
        <f t="shared" si="61"/>
        <v>287</v>
      </c>
      <c r="J265" s="352">
        <f t="shared" si="62"/>
        <v>2047</v>
      </c>
      <c r="K265" s="202">
        <f t="shared" si="63"/>
        <v>53693</v>
      </c>
      <c r="M265" s="353"/>
      <c r="N265" s="367">
        <f t="shared" si="64"/>
        <v>2.1800000000000042E-2</v>
      </c>
      <c r="O265" s="367">
        <f t="shared" si="64"/>
        <v>-5.0000000000000044E-3</v>
      </c>
      <c r="P265" s="367">
        <f t="shared" si="64"/>
        <v>2.6934673366834083E-2</v>
      </c>
      <c r="V265" s="333" t="str">
        <f t="shared" si="47"/>
        <v>Winter</v>
      </c>
      <c r="AA265" s="353">
        <f t="shared" si="50"/>
        <v>2.18E-2</v>
      </c>
      <c r="AB265" s="354">
        <f t="shared" si="54"/>
        <v>-5.0000000000000001E-3</v>
      </c>
    </row>
    <row r="266" spans="2:28" ht="17.45" customHeight="1">
      <c r="B266" s="203">
        <f t="shared" si="60"/>
        <v>53724</v>
      </c>
      <c r="C266" s="355">
        <v>656870.16060938686</v>
      </c>
      <c r="D266" s="356">
        <f>IF(ISNUMBER($F266),VLOOKUP($J266,'Table 1'!$B$13:$C$37,2,FALSE)/12*1000*Study_MW,"")</f>
        <v>0</v>
      </c>
      <c r="E266" s="356">
        <f t="shared" si="52"/>
        <v>656870.16060938686</v>
      </c>
      <c r="F266" s="355">
        <v>11776.534852510795</v>
      </c>
      <c r="G266" s="357">
        <f t="shared" si="55"/>
        <v>55.777881086076867</v>
      </c>
      <c r="I266" s="358">
        <f t="shared" si="61"/>
        <v>288</v>
      </c>
      <c r="J266" s="352">
        <f t="shared" si="62"/>
        <v>2047</v>
      </c>
      <c r="K266" s="203">
        <f t="shared" si="63"/>
        <v>53724</v>
      </c>
      <c r="M266" s="353"/>
      <c r="N266" s="367">
        <f t="shared" si="64"/>
        <v>2.1800000000000042E-2</v>
      </c>
      <c r="O266" s="367">
        <f t="shared" si="64"/>
        <v>-5.0000000000000044E-3</v>
      </c>
      <c r="P266" s="367">
        <f t="shared" si="64"/>
        <v>2.6934673366834305E-2</v>
      </c>
      <c r="V266" s="333" t="str">
        <f t="shared" si="47"/>
        <v>Winter</v>
      </c>
      <c r="AA266" s="353">
        <f t="shared" si="50"/>
        <v>2.18E-2</v>
      </c>
      <c r="AB266" s="354">
        <f t="shared" si="54"/>
        <v>-5.0000000000000001E-3</v>
      </c>
    </row>
    <row r="267" spans="2:28" ht="17.45" customHeight="1">
      <c r="B267" s="203">
        <f t="shared" si="60"/>
        <v>53752</v>
      </c>
      <c r="C267" s="355">
        <v>481876.18920328224</v>
      </c>
      <c r="D267" s="356">
        <f>IF(ISNUMBER($F267),VLOOKUP($J267,'Table 1'!$B$13:$C$37,2,FALSE)/12*1000*Study_MW,"")</f>
        <v>0</v>
      </c>
      <c r="E267" s="356">
        <f t="shared" si="52"/>
        <v>481876.18920328224</v>
      </c>
      <c r="F267" s="355">
        <v>14035.856779180989</v>
      </c>
      <c r="G267" s="357">
        <f t="shared" si="55"/>
        <v>34.331797252166062</v>
      </c>
      <c r="I267" s="358">
        <f t="shared" si="61"/>
        <v>289</v>
      </c>
      <c r="J267" s="352">
        <f t="shared" si="62"/>
        <v>2047</v>
      </c>
      <c r="K267" s="203">
        <f t="shared" si="63"/>
        <v>53752</v>
      </c>
      <c r="M267" s="353"/>
      <c r="N267" s="367">
        <f t="shared" si="64"/>
        <v>2.1800000000000042E-2</v>
      </c>
      <c r="O267" s="367">
        <f t="shared" si="64"/>
        <v>-5.0000000000000044E-3</v>
      </c>
      <c r="P267" s="367">
        <f t="shared" si="64"/>
        <v>2.6934673366834083E-2</v>
      </c>
      <c r="V267" s="333" t="str">
        <f t="shared" si="47"/>
        <v>Winter</v>
      </c>
      <c r="AA267" s="353">
        <f t="shared" si="50"/>
        <v>2.18E-2</v>
      </c>
      <c r="AB267" s="354">
        <f t="shared" si="54"/>
        <v>-5.0000000000000001E-3</v>
      </c>
    </row>
    <row r="268" spans="2:28" ht="17.45" customHeight="1">
      <c r="B268" s="203">
        <f t="shared" si="60"/>
        <v>53783</v>
      </c>
      <c r="C268" s="355">
        <v>305141.208744384</v>
      </c>
      <c r="D268" s="356">
        <f>IF(ISNUMBER($F268),VLOOKUP($J268,'Table 1'!$B$13:$C$37,2,FALSE)/12*1000*Study_MW,"")</f>
        <v>0</v>
      </c>
      <c r="E268" s="356">
        <f t="shared" si="52"/>
        <v>305141.208744384</v>
      </c>
      <c r="F268" s="355">
        <v>17181.485136760133</v>
      </c>
      <c r="G268" s="357">
        <f t="shared" si="55"/>
        <v>17.759885499742293</v>
      </c>
      <c r="I268" s="358">
        <f t="shared" si="61"/>
        <v>290</v>
      </c>
      <c r="J268" s="352">
        <f t="shared" si="62"/>
        <v>2047</v>
      </c>
      <c r="K268" s="203">
        <f t="shared" si="63"/>
        <v>53783</v>
      </c>
      <c r="M268" s="353"/>
      <c r="N268" s="367">
        <f t="shared" si="64"/>
        <v>2.1800000000000042E-2</v>
      </c>
      <c r="O268" s="367">
        <f t="shared" si="64"/>
        <v>-5.0000000000001155E-3</v>
      </c>
      <c r="P268" s="367">
        <f t="shared" si="64"/>
        <v>2.6934673366834305E-2</v>
      </c>
      <c r="V268" s="333" t="str">
        <f t="shared" ref="V268:V276" si="65">IFERROR(IF(AND(MONTH(K269)&gt;=6,MONTH(K269)&lt;=9),"Summer","Winter"),"-")</f>
        <v>Winter</v>
      </c>
      <c r="AA268" s="353">
        <f t="shared" si="50"/>
        <v>2.18E-2</v>
      </c>
      <c r="AB268" s="354">
        <f t="shared" si="54"/>
        <v>-5.0000000000000001E-3</v>
      </c>
    </row>
    <row r="269" spans="2:28" ht="17.45" customHeight="1">
      <c r="B269" s="203">
        <f t="shared" si="60"/>
        <v>53813</v>
      </c>
      <c r="C269" s="355">
        <v>178013.66643083526</v>
      </c>
      <c r="D269" s="356">
        <f>IF(ISNUMBER($F269),VLOOKUP($J269,'Table 1'!$B$13:$C$37,2,FALSE)/12*1000*Study_MW,"")</f>
        <v>0</v>
      </c>
      <c r="E269" s="356">
        <f t="shared" si="52"/>
        <v>178013.66643083526</v>
      </c>
      <c r="F269" s="355">
        <v>21946.467661288865</v>
      </c>
      <c r="G269" s="357">
        <f t="shared" si="55"/>
        <v>8.1112673428002999</v>
      </c>
      <c r="I269" s="358">
        <f t="shared" si="61"/>
        <v>291</v>
      </c>
      <c r="J269" s="352">
        <f t="shared" si="62"/>
        <v>2047</v>
      </c>
      <c r="K269" s="203">
        <f t="shared" si="63"/>
        <v>53813</v>
      </c>
      <c r="M269" s="353"/>
      <c r="N269" s="367">
        <f t="shared" si="64"/>
        <v>2.1800000000000042E-2</v>
      </c>
      <c r="O269" s="367">
        <f t="shared" si="64"/>
        <v>-5.0000000000000044E-3</v>
      </c>
      <c r="P269" s="367">
        <f t="shared" si="64"/>
        <v>2.6934673366834083E-2</v>
      </c>
      <c r="V269" s="333" t="str">
        <f t="shared" si="65"/>
        <v>Summer</v>
      </c>
      <c r="AA269" s="353">
        <f t="shared" ref="AA269:AA332" si="66">Inflation</f>
        <v>2.18E-2</v>
      </c>
      <c r="AB269" s="354">
        <f t="shared" si="54"/>
        <v>-5.0000000000000001E-3</v>
      </c>
    </row>
    <row r="270" spans="2:28" ht="17.45" customHeight="1">
      <c r="B270" s="203">
        <f t="shared" si="60"/>
        <v>53844</v>
      </c>
      <c r="C270" s="355">
        <v>1147962.9035759086</v>
      </c>
      <c r="D270" s="356">
        <f>IF(ISNUMBER($F270),VLOOKUP($J270,'Table 1'!$B$13:$C$37,2,FALSE)/12*1000*Study_MW,"")</f>
        <v>0</v>
      </c>
      <c r="E270" s="356">
        <f t="shared" ref="E270:E276" si="67">IF(ISNUMBER(C270+D270),C270+D270,"")</f>
        <v>1147962.9035759086</v>
      </c>
      <c r="F270" s="355">
        <v>25203.897382580537</v>
      </c>
      <c r="G270" s="357">
        <f t="shared" si="55"/>
        <v>45.547039259464434</v>
      </c>
      <c r="I270" s="358">
        <f t="shared" si="61"/>
        <v>292</v>
      </c>
      <c r="J270" s="352">
        <f t="shared" si="62"/>
        <v>2047</v>
      </c>
      <c r="K270" s="203">
        <f t="shared" si="63"/>
        <v>53844</v>
      </c>
      <c r="M270" s="353"/>
      <c r="N270" s="367">
        <f t="shared" ref="N270:P276" si="68">E270/E258-1</f>
        <v>2.1800000000000042E-2</v>
      </c>
      <c r="O270" s="367">
        <f t="shared" si="68"/>
        <v>-5.0000000000000044E-3</v>
      </c>
      <c r="P270" s="367">
        <f t="shared" si="68"/>
        <v>2.6934673366834305E-2</v>
      </c>
      <c r="V270" s="333" t="str">
        <f t="shared" si="65"/>
        <v>Summer</v>
      </c>
      <c r="AA270" s="353">
        <f t="shared" si="66"/>
        <v>2.18E-2</v>
      </c>
      <c r="AB270" s="354">
        <f t="shared" ref="AB270:AB276" si="69">IF($AB$8="Solar",IFERROR(IF(J270&gt;$AD$1,-0.005,0),AB258),0)</f>
        <v>-5.0000000000000001E-3</v>
      </c>
    </row>
    <row r="271" spans="2:28" ht="17.45" customHeight="1">
      <c r="B271" s="203">
        <f t="shared" si="60"/>
        <v>53874</v>
      </c>
      <c r="C271" s="355">
        <v>1435158.7411731933</v>
      </c>
      <c r="D271" s="356">
        <f>IF(ISNUMBER($F271),VLOOKUP($J271,'Table 1'!$B$13:$C$37,2,FALSE)/12*1000*Study_MW,"")</f>
        <v>0</v>
      </c>
      <c r="E271" s="356">
        <f t="shared" si="67"/>
        <v>1435158.7411731933</v>
      </c>
      <c r="F271" s="355">
        <v>23692.400464234757</v>
      </c>
      <c r="G271" s="357">
        <f t="shared" ref="G271:G276" si="70">IF(ISNUMBER($F271),E271/$F271,"")</f>
        <v>60.574644740606182</v>
      </c>
      <c r="I271" s="358">
        <f t="shared" si="61"/>
        <v>293</v>
      </c>
      <c r="J271" s="352">
        <f t="shared" si="62"/>
        <v>2047</v>
      </c>
      <c r="K271" s="203">
        <f t="shared" si="63"/>
        <v>53874</v>
      </c>
      <c r="M271" s="353"/>
      <c r="N271" s="367">
        <f t="shared" si="68"/>
        <v>2.1800000000000042E-2</v>
      </c>
      <c r="O271" s="367">
        <f t="shared" si="68"/>
        <v>-5.0000000000000044E-3</v>
      </c>
      <c r="P271" s="367">
        <f t="shared" si="68"/>
        <v>2.6934673366834305E-2</v>
      </c>
      <c r="V271" s="333" t="str">
        <f t="shared" si="65"/>
        <v>Summer</v>
      </c>
      <c r="AA271" s="353">
        <f t="shared" si="66"/>
        <v>2.18E-2</v>
      </c>
      <c r="AB271" s="354">
        <f t="shared" si="69"/>
        <v>-5.0000000000000001E-3</v>
      </c>
    </row>
    <row r="272" spans="2:28" ht="17.45" customHeight="1">
      <c r="B272" s="203">
        <f t="shared" si="60"/>
        <v>53905</v>
      </c>
      <c r="C272" s="355">
        <v>1441987.086363883</v>
      </c>
      <c r="D272" s="356">
        <f>IF(ISNUMBER($F272),VLOOKUP($J272,'Table 1'!$B$13:$C$37,2,FALSE)/12*1000*Study_MW,"")</f>
        <v>0</v>
      </c>
      <c r="E272" s="356">
        <f t="shared" si="67"/>
        <v>1441987.086363883</v>
      </c>
      <c r="F272" s="355">
        <v>21239.566058501994</v>
      </c>
      <c r="G272" s="357">
        <f t="shared" si="70"/>
        <v>67.891551192340359</v>
      </c>
      <c r="I272" s="358">
        <f t="shared" si="61"/>
        <v>294</v>
      </c>
      <c r="J272" s="352">
        <f t="shared" si="62"/>
        <v>2047</v>
      </c>
      <c r="K272" s="203">
        <f t="shared" si="63"/>
        <v>53905</v>
      </c>
      <c r="M272" s="353"/>
      <c r="N272" s="367">
        <f t="shared" si="68"/>
        <v>2.1800000000000042E-2</v>
      </c>
      <c r="O272" s="367">
        <f t="shared" si="68"/>
        <v>-5.0000000000000044E-3</v>
      </c>
      <c r="P272" s="367">
        <f t="shared" si="68"/>
        <v>2.6934673366834083E-2</v>
      </c>
      <c r="V272" s="333" t="str">
        <f t="shared" si="65"/>
        <v>Summer</v>
      </c>
      <c r="AA272" s="353">
        <f t="shared" si="66"/>
        <v>2.18E-2</v>
      </c>
      <c r="AB272" s="354">
        <f t="shared" si="69"/>
        <v>-5.0000000000000001E-3</v>
      </c>
    </row>
    <row r="273" spans="2:28" ht="17.45" customHeight="1">
      <c r="B273" s="203">
        <f t="shared" si="60"/>
        <v>53936</v>
      </c>
      <c r="C273" s="355">
        <v>967091.6434564743</v>
      </c>
      <c r="D273" s="356">
        <f>IF(ISNUMBER($F273),VLOOKUP($J273,'Table 1'!$B$13:$C$37,2,FALSE)/12*1000*Study_MW,"")</f>
        <v>0</v>
      </c>
      <c r="E273" s="356">
        <f t="shared" si="67"/>
        <v>967091.6434564743</v>
      </c>
      <c r="F273" s="355">
        <v>17604.870034244919</v>
      </c>
      <c r="G273" s="357">
        <f t="shared" si="70"/>
        <v>54.933188462924846</v>
      </c>
      <c r="I273" s="358">
        <f t="shared" si="61"/>
        <v>295</v>
      </c>
      <c r="J273" s="352">
        <f t="shared" si="62"/>
        <v>2047</v>
      </c>
      <c r="K273" s="203">
        <f t="shared" si="63"/>
        <v>53936</v>
      </c>
      <c r="M273" s="353"/>
      <c r="N273" s="367">
        <f t="shared" si="68"/>
        <v>2.1800000000000042E-2</v>
      </c>
      <c r="O273" s="367">
        <f t="shared" si="68"/>
        <v>-4.9999999999998934E-3</v>
      </c>
      <c r="P273" s="367">
        <f t="shared" si="68"/>
        <v>2.6934673366834305E-2</v>
      </c>
      <c r="V273" s="333" t="str">
        <f t="shared" si="65"/>
        <v>Winter</v>
      </c>
      <c r="AA273" s="353">
        <f t="shared" si="66"/>
        <v>2.18E-2</v>
      </c>
      <c r="AB273" s="354">
        <f t="shared" si="69"/>
        <v>-5.0000000000000001E-3</v>
      </c>
    </row>
    <row r="274" spans="2:28" ht="17.45" customHeight="1">
      <c r="B274" s="203">
        <f t="shared" si="60"/>
        <v>53966</v>
      </c>
      <c r="C274" s="355">
        <v>675445.86289178208</v>
      </c>
      <c r="D274" s="356">
        <f>IF(ISNUMBER($F274),VLOOKUP($J274,'Table 1'!$B$13:$C$37,2,FALSE)/12*1000*Study_MW,"")</f>
        <v>0</v>
      </c>
      <c r="E274" s="356">
        <f t="shared" si="67"/>
        <v>675445.86289178208</v>
      </c>
      <c r="F274" s="355">
        <v>13589.070242345364</v>
      </c>
      <c r="G274" s="357">
        <f t="shared" si="70"/>
        <v>49.705082897209721</v>
      </c>
      <c r="I274" s="358">
        <f t="shared" si="61"/>
        <v>296</v>
      </c>
      <c r="J274" s="352">
        <f t="shared" si="62"/>
        <v>2047</v>
      </c>
      <c r="K274" s="203">
        <f t="shared" si="63"/>
        <v>53966</v>
      </c>
      <c r="M274" s="353"/>
      <c r="N274" s="367">
        <f t="shared" si="68"/>
        <v>2.1800000000000042E-2</v>
      </c>
      <c r="O274" s="367">
        <f t="shared" si="68"/>
        <v>-5.0000000000000044E-3</v>
      </c>
      <c r="P274" s="367">
        <f t="shared" si="68"/>
        <v>2.6934673366834305E-2</v>
      </c>
      <c r="V274" s="333" t="str">
        <f t="shared" si="65"/>
        <v>Winter</v>
      </c>
      <c r="AA274" s="353">
        <f t="shared" si="66"/>
        <v>2.18E-2</v>
      </c>
      <c r="AB274" s="354">
        <f t="shared" si="69"/>
        <v>-5.0000000000000001E-3</v>
      </c>
    </row>
    <row r="275" spans="2:28" ht="17.45" customHeight="1">
      <c r="B275" s="203">
        <f t="shared" si="60"/>
        <v>53997</v>
      </c>
      <c r="C275" s="355">
        <v>585558.01026712137</v>
      </c>
      <c r="D275" s="356">
        <f>IF(ISNUMBER($F275),VLOOKUP($J275,'Table 1'!$B$13:$C$37,2,FALSE)/12*1000*Study_MW,"")</f>
        <v>0</v>
      </c>
      <c r="E275" s="356">
        <f t="shared" si="67"/>
        <v>585558.01026712137</v>
      </c>
      <c r="F275" s="355">
        <v>9976.5358025623027</v>
      </c>
      <c r="G275" s="357">
        <f t="shared" si="70"/>
        <v>58.693520662425811</v>
      </c>
      <c r="I275" s="358">
        <f t="shared" si="61"/>
        <v>297</v>
      </c>
      <c r="J275" s="352">
        <f t="shared" si="62"/>
        <v>2047</v>
      </c>
      <c r="K275" s="203">
        <f t="shared" si="63"/>
        <v>53997</v>
      </c>
      <c r="M275" s="353"/>
      <c r="N275" s="367">
        <f t="shared" si="68"/>
        <v>2.1800000000000042E-2</v>
      </c>
      <c r="O275" s="367">
        <f t="shared" si="68"/>
        <v>-4.9999999999998934E-3</v>
      </c>
      <c r="P275" s="367">
        <f t="shared" si="68"/>
        <v>2.6934673366834083E-2</v>
      </c>
      <c r="V275" s="333" t="str">
        <f t="shared" si="65"/>
        <v>Winter</v>
      </c>
      <c r="AA275" s="353">
        <f t="shared" si="66"/>
        <v>2.18E-2</v>
      </c>
      <c r="AB275" s="354">
        <f t="shared" si="69"/>
        <v>-5.0000000000000001E-3</v>
      </c>
    </row>
    <row r="276" spans="2:28" ht="17.45" customHeight="1">
      <c r="B276" s="204">
        <f t="shared" si="60"/>
        <v>54027</v>
      </c>
      <c r="C276" s="362">
        <v>672171.35127040173</v>
      </c>
      <c r="D276" s="363">
        <f>IF(ISNUMBER($F276),VLOOKUP($J276,'Table 1'!$B$13:$C$37,2,FALSE)/12*1000*Study_MW,"")</f>
        <v>0</v>
      </c>
      <c r="E276" s="363">
        <f t="shared" si="67"/>
        <v>672171.35127040173</v>
      </c>
      <c r="F276" s="362">
        <v>6871.7341250829168</v>
      </c>
      <c r="G276" s="364">
        <f t="shared" si="70"/>
        <v>97.816844923739112</v>
      </c>
      <c r="I276" s="365">
        <f t="shared" si="61"/>
        <v>298</v>
      </c>
      <c r="J276" s="352">
        <f t="shared" si="62"/>
        <v>2047</v>
      </c>
      <c r="K276" s="204">
        <f t="shared" si="63"/>
        <v>54027</v>
      </c>
      <c r="M276" s="353"/>
      <c r="N276" s="367">
        <f t="shared" si="68"/>
        <v>2.1800000000000042E-2</v>
      </c>
      <c r="O276" s="367">
        <f t="shared" si="68"/>
        <v>-5.0000000000000044E-3</v>
      </c>
      <c r="P276" s="367">
        <f t="shared" si="68"/>
        <v>2.6934673366834305E-2</v>
      </c>
      <c r="V276" s="333" t="str">
        <f t="shared" si="65"/>
        <v>Winter</v>
      </c>
      <c r="AA276" s="353">
        <f t="shared" si="66"/>
        <v>2.18E-2</v>
      </c>
      <c r="AB276" s="354">
        <f t="shared" si="69"/>
        <v>-5.0000000000000001E-3</v>
      </c>
    </row>
    <row r="277" spans="2:28" ht="17.45" hidden="1" customHeight="1">
      <c r="B277" s="202"/>
      <c r="C277" s="346"/>
      <c r="D277" s="347"/>
      <c r="E277" s="348"/>
      <c r="F277" s="349"/>
      <c r="G277" s="350"/>
      <c r="I277" s="366"/>
      <c r="J277" s="352"/>
      <c r="K277" s="202"/>
      <c r="M277" s="353"/>
      <c r="N277" s="367"/>
      <c r="O277" s="367"/>
      <c r="P277" s="367"/>
      <c r="AA277" s="353"/>
      <c r="AB277" s="354"/>
    </row>
    <row r="278" spans="2:28" ht="17.45" hidden="1" customHeight="1">
      <c r="B278" s="203"/>
      <c r="C278" s="355"/>
      <c r="D278" s="356"/>
      <c r="E278" s="356"/>
      <c r="F278" s="355"/>
      <c r="G278" s="357"/>
      <c r="I278" s="358"/>
      <c r="J278" s="352"/>
      <c r="K278" s="203"/>
      <c r="M278" s="353"/>
      <c r="N278" s="367"/>
      <c r="O278" s="367"/>
      <c r="P278" s="367"/>
      <c r="AA278" s="353"/>
      <c r="AB278" s="354"/>
    </row>
    <row r="279" spans="2:28" ht="17.45" hidden="1" customHeight="1">
      <c r="B279" s="203"/>
      <c r="C279" s="355"/>
      <c r="D279" s="356"/>
      <c r="E279" s="356"/>
      <c r="F279" s="355"/>
      <c r="G279" s="357"/>
      <c r="I279" s="358"/>
      <c r="J279" s="352"/>
      <c r="K279" s="203"/>
      <c r="M279" s="353"/>
      <c r="N279" s="367"/>
      <c r="O279" s="367"/>
      <c r="P279" s="367"/>
      <c r="AA279" s="353"/>
      <c r="AB279" s="354"/>
    </row>
    <row r="280" spans="2:28" ht="17.45" hidden="1" customHeight="1">
      <c r="B280" s="203"/>
      <c r="C280" s="355"/>
      <c r="D280" s="356"/>
      <c r="E280" s="356"/>
      <c r="F280" s="355"/>
      <c r="G280" s="357"/>
      <c r="I280" s="358"/>
      <c r="J280" s="352"/>
      <c r="K280" s="203"/>
      <c r="M280" s="353"/>
      <c r="N280" s="367"/>
      <c r="O280" s="367"/>
      <c r="P280" s="367"/>
      <c r="AA280" s="353"/>
      <c r="AB280" s="354"/>
    </row>
    <row r="281" spans="2:28" ht="17.45" hidden="1" customHeight="1">
      <c r="B281" s="203"/>
      <c r="C281" s="355"/>
      <c r="D281" s="356"/>
      <c r="E281" s="356"/>
      <c r="F281" s="355"/>
      <c r="G281" s="357"/>
      <c r="I281" s="358"/>
      <c r="J281" s="352"/>
      <c r="K281" s="203"/>
      <c r="M281" s="353"/>
      <c r="N281" s="367"/>
      <c r="O281" s="367"/>
      <c r="P281" s="367"/>
      <c r="AA281" s="353"/>
      <c r="AB281" s="354"/>
    </row>
    <row r="282" spans="2:28" ht="17.45" hidden="1" customHeight="1">
      <c r="B282" s="203"/>
      <c r="C282" s="355"/>
      <c r="D282" s="356"/>
      <c r="E282" s="356"/>
      <c r="F282" s="355"/>
      <c r="G282" s="357"/>
      <c r="I282" s="358"/>
      <c r="J282" s="352"/>
      <c r="K282" s="203"/>
      <c r="M282" s="353"/>
      <c r="N282" s="367"/>
      <c r="O282" s="367"/>
      <c r="P282" s="367"/>
      <c r="AA282" s="353"/>
      <c r="AB282" s="354"/>
    </row>
    <row r="283" spans="2:28" ht="17.45" hidden="1" customHeight="1">
      <c r="B283" s="203"/>
      <c r="C283" s="355"/>
      <c r="D283" s="356"/>
      <c r="E283" s="356"/>
      <c r="F283" s="355"/>
      <c r="G283" s="357"/>
      <c r="I283" s="358"/>
      <c r="J283" s="352"/>
      <c r="K283" s="203"/>
      <c r="M283" s="353"/>
      <c r="N283" s="367"/>
      <c r="O283" s="367"/>
      <c r="P283" s="367"/>
      <c r="AA283" s="353"/>
      <c r="AB283" s="354"/>
    </row>
    <row r="284" spans="2:28" ht="17.45" hidden="1" customHeight="1">
      <c r="B284" s="203"/>
      <c r="C284" s="355"/>
      <c r="D284" s="356"/>
      <c r="E284" s="356"/>
      <c r="F284" s="355"/>
      <c r="G284" s="357"/>
      <c r="I284" s="358"/>
      <c r="J284" s="352"/>
      <c r="K284" s="203"/>
      <c r="M284" s="353"/>
      <c r="N284" s="367"/>
      <c r="O284" s="367"/>
      <c r="P284" s="367"/>
      <c r="AA284" s="353"/>
      <c r="AB284" s="354"/>
    </row>
    <row r="285" spans="2:28" ht="17.45" hidden="1" customHeight="1">
      <c r="B285" s="203"/>
      <c r="C285" s="355"/>
      <c r="D285" s="356"/>
      <c r="E285" s="356"/>
      <c r="F285" s="355"/>
      <c r="G285" s="357"/>
      <c r="I285" s="358"/>
      <c r="J285" s="352"/>
      <c r="K285" s="203"/>
      <c r="M285" s="353"/>
      <c r="N285" s="367"/>
      <c r="O285" s="367"/>
      <c r="P285" s="367"/>
      <c r="AA285" s="353"/>
      <c r="AB285" s="354"/>
    </row>
    <row r="286" spans="2:28" ht="17.45" hidden="1" customHeight="1">
      <c r="B286" s="203"/>
      <c r="C286" s="355"/>
      <c r="D286" s="356"/>
      <c r="E286" s="356"/>
      <c r="F286" s="355"/>
      <c r="G286" s="357"/>
      <c r="I286" s="358"/>
      <c r="J286" s="352"/>
      <c r="K286" s="203"/>
      <c r="M286" s="353"/>
      <c r="N286" s="367"/>
      <c r="O286" s="367"/>
      <c r="P286" s="367"/>
      <c r="AA286" s="353"/>
      <c r="AB286" s="354"/>
    </row>
    <row r="287" spans="2:28" ht="17.45" hidden="1" customHeight="1">
      <c r="B287" s="203"/>
      <c r="C287" s="355"/>
      <c r="D287" s="356"/>
      <c r="E287" s="356"/>
      <c r="F287" s="355"/>
      <c r="G287" s="357"/>
      <c r="I287" s="358"/>
      <c r="J287" s="352"/>
      <c r="K287" s="203"/>
      <c r="M287" s="353"/>
      <c r="N287" s="367"/>
      <c r="O287" s="367"/>
      <c r="P287" s="367"/>
      <c r="AA287" s="353"/>
      <c r="AB287" s="354"/>
    </row>
    <row r="288" spans="2:28" ht="17.45" hidden="1" customHeight="1">
      <c r="B288" s="204"/>
      <c r="C288" s="362"/>
      <c r="D288" s="363"/>
      <c r="E288" s="363"/>
      <c r="F288" s="362"/>
      <c r="G288" s="364"/>
      <c r="I288" s="365"/>
      <c r="J288" s="352"/>
      <c r="K288" s="204"/>
      <c r="M288" s="353"/>
      <c r="N288" s="367"/>
      <c r="O288" s="367"/>
      <c r="P288" s="367"/>
      <c r="AA288" s="353"/>
      <c r="AB288" s="354"/>
    </row>
    <row r="289" spans="2:28" ht="17.45" hidden="1" customHeight="1">
      <c r="B289" s="202"/>
      <c r="C289" s="346"/>
      <c r="D289" s="347"/>
      <c r="E289" s="348"/>
      <c r="F289" s="349"/>
      <c r="G289" s="350"/>
      <c r="I289" s="366"/>
      <c r="J289" s="352"/>
      <c r="K289" s="202"/>
      <c r="M289" s="353"/>
      <c r="N289" s="367"/>
      <c r="O289" s="367"/>
      <c r="P289" s="367"/>
      <c r="AA289" s="353"/>
      <c r="AB289" s="354"/>
    </row>
    <row r="290" spans="2:28" ht="17.45" hidden="1" customHeight="1">
      <c r="B290" s="203"/>
      <c r="C290" s="355"/>
      <c r="D290" s="356"/>
      <c r="E290" s="356"/>
      <c r="F290" s="355"/>
      <c r="G290" s="357"/>
      <c r="I290" s="358"/>
      <c r="J290" s="352"/>
      <c r="K290" s="203"/>
      <c r="M290" s="353"/>
      <c r="N290" s="367"/>
      <c r="O290" s="367"/>
      <c r="P290" s="367"/>
      <c r="AA290" s="353"/>
      <c r="AB290" s="354"/>
    </row>
    <row r="291" spans="2:28" ht="17.45" hidden="1" customHeight="1">
      <c r="B291" s="203"/>
      <c r="C291" s="355"/>
      <c r="D291" s="356"/>
      <c r="E291" s="356"/>
      <c r="F291" s="355"/>
      <c r="G291" s="357"/>
      <c r="I291" s="358"/>
      <c r="J291" s="352"/>
      <c r="K291" s="203"/>
      <c r="M291" s="353"/>
      <c r="N291" s="367"/>
      <c r="O291" s="367"/>
      <c r="P291" s="367"/>
      <c r="AA291" s="353"/>
      <c r="AB291" s="354"/>
    </row>
    <row r="292" spans="2:28" ht="17.45" hidden="1" customHeight="1">
      <c r="B292" s="203"/>
      <c r="C292" s="355"/>
      <c r="D292" s="356"/>
      <c r="E292" s="356"/>
      <c r="F292" s="355"/>
      <c r="G292" s="357"/>
      <c r="I292" s="358"/>
      <c r="J292" s="352"/>
      <c r="K292" s="203"/>
      <c r="M292" s="353"/>
      <c r="N292" s="367"/>
      <c r="O292" s="367"/>
      <c r="P292" s="367"/>
      <c r="AA292" s="353"/>
      <c r="AB292" s="354"/>
    </row>
    <row r="293" spans="2:28" ht="17.45" hidden="1" customHeight="1">
      <c r="B293" s="203"/>
      <c r="C293" s="355"/>
      <c r="D293" s="356"/>
      <c r="E293" s="356"/>
      <c r="F293" s="355"/>
      <c r="G293" s="357"/>
      <c r="I293" s="358"/>
      <c r="J293" s="352"/>
      <c r="K293" s="203"/>
      <c r="M293" s="353"/>
      <c r="N293" s="367"/>
      <c r="O293" s="367"/>
      <c r="P293" s="367"/>
      <c r="AA293" s="353"/>
      <c r="AB293" s="354"/>
    </row>
    <row r="294" spans="2:28" ht="17.45" hidden="1" customHeight="1">
      <c r="B294" s="203"/>
      <c r="C294" s="355"/>
      <c r="D294" s="356"/>
      <c r="E294" s="356"/>
      <c r="F294" s="355"/>
      <c r="G294" s="357"/>
      <c r="I294" s="358"/>
      <c r="J294" s="352"/>
      <c r="K294" s="203"/>
      <c r="M294" s="353"/>
      <c r="N294" s="367"/>
      <c r="O294" s="367"/>
      <c r="P294" s="367"/>
      <c r="AA294" s="353"/>
      <c r="AB294" s="354"/>
    </row>
    <row r="295" spans="2:28" ht="17.45" hidden="1" customHeight="1">
      <c r="B295" s="203"/>
      <c r="C295" s="355"/>
      <c r="D295" s="356"/>
      <c r="E295" s="356"/>
      <c r="F295" s="355"/>
      <c r="G295" s="357"/>
      <c r="I295" s="358"/>
      <c r="J295" s="352"/>
      <c r="K295" s="203"/>
      <c r="M295" s="353"/>
      <c r="N295" s="367"/>
      <c r="O295" s="367"/>
      <c r="P295" s="367"/>
      <c r="AA295" s="353"/>
      <c r="AB295" s="354"/>
    </row>
    <row r="296" spans="2:28" ht="17.45" hidden="1" customHeight="1">
      <c r="B296" s="203"/>
      <c r="C296" s="355"/>
      <c r="D296" s="356"/>
      <c r="E296" s="356"/>
      <c r="F296" s="355"/>
      <c r="G296" s="357"/>
      <c r="I296" s="358"/>
      <c r="J296" s="352"/>
      <c r="K296" s="203"/>
      <c r="M296" s="353"/>
      <c r="N296" s="367"/>
      <c r="O296" s="367"/>
      <c r="P296" s="367"/>
      <c r="AA296" s="353"/>
      <c r="AB296" s="354"/>
    </row>
    <row r="297" spans="2:28" ht="17.45" hidden="1" customHeight="1">
      <c r="B297" s="203"/>
      <c r="C297" s="355"/>
      <c r="D297" s="356"/>
      <c r="E297" s="356"/>
      <c r="F297" s="355"/>
      <c r="G297" s="357"/>
      <c r="I297" s="358"/>
      <c r="J297" s="352"/>
      <c r="K297" s="203"/>
      <c r="M297" s="353"/>
      <c r="N297" s="367"/>
      <c r="O297" s="367"/>
      <c r="P297" s="367"/>
      <c r="AA297" s="353"/>
      <c r="AB297" s="354"/>
    </row>
    <row r="298" spans="2:28" ht="17.45" hidden="1" customHeight="1">
      <c r="B298" s="203"/>
      <c r="C298" s="355"/>
      <c r="D298" s="356"/>
      <c r="E298" s="356"/>
      <c r="F298" s="355"/>
      <c r="G298" s="357"/>
      <c r="I298" s="358"/>
      <c r="J298" s="352"/>
      <c r="K298" s="203"/>
      <c r="M298" s="353"/>
      <c r="N298" s="367"/>
      <c r="O298" s="367"/>
      <c r="P298" s="367"/>
      <c r="AA298" s="353"/>
      <c r="AB298" s="354"/>
    </row>
    <row r="299" spans="2:28" ht="17.45" hidden="1" customHeight="1">
      <c r="B299" s="203"/>
      <c r="C299" s="355"/>
      <c r="D299" s="356"/>
      <c r="E299" s="356"/>
      <c r="F299" s="355"/>
      <c r="G299" s="357"/>
      <c r="I299" s="358"/>
      <c r="J299" s="352"/>
      <c r="K299" s="203"/>
      <c r="M299" s="353"/>
      <c r="N299" s="367"/>
      <c r="O299" s="367"/>
      <c r="P299" s="367"/>
      <c r="AA299" s="353"/>
      <c r="AB299" s="354"/>
    </row>
    <row r="300" spans="2:28" ht="17.45" hidden="1" customHeight="1">
      <c r="B300" s="204"/>
      <c r="C300" s="362"/>
      <c r="D300" s="363"/>
      <c r="E300" s="363"/>
      <c r="F300" s="362"/>
      <c r="G300" s="364"/>
      <c r="I300" s="365"/>
      <c r="J300" s="352"/>
      <c r="K300" s="204"/>
      <c r="M300" s="353"/>
      <c r="N300" s="367"/>
      <c r="O300" s="367"/>
      <c r="P300" s="367"/>
      <c r="AA300" s="353"/>
      <c r="AB300" s="354"/>
    </row>
    <row r="301" spans="2:28" ht="17.45" hidden="1" customHeight="1">
      <c r="B301" s="202"/>
      <c r="C301" s="346"/>
      <c r="D301" s="347"/>
      <c r="E301" s="348"/>
      <c r="F301" s="349"/>
      <c r="G301" s="350"/>
      <c r="I301" s="366"/>
      <c r="J301" s="352"/>
      <c r="K301" s="202"/>
      <c r="M301" s="353"/>
      <c r="N301" s="367"/>
      <c r="O301" s="367"/>
      <c r="P301" s="367"/>
      <c r="AA301" s="353"/>
      <c r="AB301" s="354"/>
    </row>
    <row r="302" spans="2:28" ht="17.45" hidden="1" customHeight="1">
      <c r="B302" s="203"/>
      <c r="C302" s="355"/>
      <c r="D302" s="356"/>
      <c r="E302" s="356"/>
      <c r="F302" s="355"/>
      <c r="G302" s="357"/>
      <c r="I302" s="358"/>
      <c r="J302" s="352"/>
      <c r="K302" s="203"/>
      <c r="M302" s="353"/>
      <c r="N302" s="367"/>
      <c r="O302" s="367"/>
      <c r="P302" s="367"/>
      <c r="AA302" s="353"/>
      <c r="AB302" s="354"/>
    </row>
    <row r="303" spans="2:28" ht="17.45" hidden="1" customHeight="1">
      <c r="B303" s="203"/>
      <c r="C303" s="355"/>
      <c r="D303" s="356"/>
      <c r="E303" s="356"/>
      <c r="F303" s="355"/>
      <c r="G303" s="357"/>
      <c r="I303" s="358"/>
      <c r="J303" s="352"/>
      <c r="K303" s="203"/>
      <c r="M303" s="353"/>
      <c r="N303" s="367"/>
      <c r="O303" s="367"/>
      <c r="P303" s="367"/>
      <c r="AA303" s="353"/>
      <c r="AB303" s="354"/>
    </row>
    <row r="304" spans="2:28" ht="17.45" hidden="1" customHeight="1">
      <c r="B304" s="203"/>
      <c r="C304" s="355"/>
      <c r="D304" s="356"/>
      <c r="E304" s="356"/>
      <c r="F304" s="355"/>
      <c r="G304" s="357"/>
      <c r="I304" s="358"/>
      <c r="J304" s="352"/>
      <c r="K304" s="203"/>
      <c r="M304" s="353"/>
      <c r="N304" s="367"/>
      <c r="O304" s="367"/>
      <c r="P304" s="367"/>
      <c r="AA304" s="353"/>
      <c r="AB304" s="354"/>
    </row>
    <row r="305" spans="2:28" ht="17.45" hidden="1" customHeight="1">
      <c r="B305" s="203"/>
      <c r="C305" s="355"/>
      <c r="D305" s="356"/>
      <c r="E305" s="356"/>
      <c r="F305" s="355"/>
      <c r="G305" s="357"/>
      <c r="I305" s="358"/>
      <c r="J305" s="352"/>
      <c r="K305" s="203"/>
      <c r="M305" s="353"/>
      <c r="N305" s="367"/>
      <c r="O305" s="367"/>
      <c r="P305" s="367"/>
      <c r="AA305" s="353"/>
      <c r="AB305" s="354"/>
    </row>
    <row r="306" spans="2:28" ht="17.45" hidden="1" customHeight="1">
      <c r="B306" s="203"/>
      <c r="C306" s="355"/>
      <c r="D306" s="356"/>
      <c r="E306" s="356"/>
      <c r="F306" s="355"/>
      <c r="G306" s="357"/>
      <c r="I306" s="358"/>
      <c r="J306" s="352"/>
      <c r="K306" s="203"/>
      <c r="M306" s="353"/>
      <c r="N306" s="367"/>
      <c r="O306" s="367"/>
      <c r="P306" s="367"/>
      <c r="AA306" s="353"/>
      <c r="AB306" s="354"/>
    </row>
    <row r="307" spans="2:28" ht="17.45" hidden="1" customHeight="1">
      <c r="B307" s="203"/>
      <c r="C307" s="355"/>
      <c r="D307" s="356"/>
      <c r="E307" s="356"/>
      <c r="F307" s="355"/>
      <c r="G307" s="357"/>
      <c r="I307" s="358"/>
      <c r="J307" s="352"/>
      <c r="K307" s="203"/>
      <c r="M307" s="353"/>
      <c r="N307" s="367"/>
      <c r="O307" s="367"/>
      <c r="P307" s="367"/>
      <c r="AA307" s="353"/>
      <c r="AB307" s="354"/>
    </row>
    <row r="308" spans="2:28" ht="17.45" hidden="1" customHeight="1">
      <c r="B308" s="203"/>
      <c r="C308" s="355"/>
      <c r="D308" s="356"/>
      <c r="E308" s="356"/>
      <c r="F308" s="355"/>
      <c r="G308" s="357"/>
      <c r="I308" s="358"/>
      <c r="J308" s="352"/>
      <c r="K308" s="203"/>
      <c r="M308" s="353"/>
      <c r="N308" s="367"/>
      <c r="O308" s="367"/>
      <c r="P308" s="367"/>
      <c r="AA308" s="353"/>
      <c r="AB308" s="354"/>
    </row>
    <row r="309" spans="2:28" ht="17.45" hidden="1" customHeight="1">
      <c r="B309" s="203"/>
      <c r="C309" s="355"/>
      <c r="D309" s="356"/>
      <c r="E309" s="356"/>
      <c r="F309" s="355"/>
      <c r="G309" s="357"/>
      <c r="I309" s="358"/>
      <c r="J309" s="352"/>
      <c r="K309" s="203"/>
      <c r="M309" s="353"/>
      <c r="N309" s="367"/>
      <c r="O309" s="367"/>
      <c r="P309" s="367"/>
      <c r="AA309" s="353"/>
      <c r="AB309" s="354"/>
    </row>
    <row r="310" spans="2:28" ht="17.45" hidden="1" customHeight="1">
      <c r="B310" s="203"/>
      <c r="C310" s="355"/>
      <c r="D310" s="356"/>
      <c r="E310" s="356"/>
      <c r="F310" s="355"/>
      <c r="G310" s="357"/>
      <c r="I310" s="358"/>
      <c r="J310" s="352"/>
      <c r="K310" s="203"/>
      <c r="M310" s="353"/>
      <c r="N310" s="367"/>
      <c r="O310" s="367"/>
      <c r="P310" s="367"/>
      <c r="AA310" s="353"/>
      <c r="AB310" s="354"/>
    </row>
    <row r="311" spans="2:28" ht="17.45" hidden="1" customHeight="1">
      <c r="B311" s="203"/>
      <c r="C311" s="355"/>
      <c r="D311" s="356"/>
      <c r="E311" s="356"/>
      <c r="F311" s="355"/>
      <c r="G311" s="357"/>
      <c r="I311" s="358"/>
      <c r="J311" s="352"/>
      <c r="K311" s="203"/>
      <c r="M311" s="353"/>
      <c r="N311" s="367"/>
      <c r="O311" s="367"/>
      <c r="P311" s="367"/>
      <c r="AA311" s="353"/>
      <c r="AB311" s="354"/>
    </row>
    <row r="312" spans="2:28" ht="17.45" hidden="1" customHeight="1">
      <c r="B312" s="204"/>
      <c r="C312" s="362"/>
      <c r="D312" s="363"/>
      <c r="E312" s="363"/>
      <c r="F312" s="362"/>
      <c r="G312" s="364"/>
      <c r="I312" s="365"/>
      <c r="J312" s="352"/>
      <c r="K312" s="204"/>
      <c r="M312" s="353"/>
      <c r="N312" s="367"/>
      <c r="O312" s="367"/>
      <c r="P312" s="367"/>
      <c r="AA312" s="353"/>
      <c r="AB312" s="354"/>
    </row>
    <row r="313" spans="2:28" ht="17.45" hidden="1" customHeight="1">
      <c r="B313" s="202"/>
      <c r="C313" s="346"/>
      <c r="D313" s="368"/>
      <c r="E313" s="368"/>
      <c r="F313" s="346"/>
      <c r="G313" s="369"/>
      <c r="I313" s="366"/>
      <c r="J313" s="352"/>
      <c r="K313" s="202"/>
      <c r="M313" s="353"/>
      <c r="AA313" s="353">
        <f t="shared" si="66"/>
        <v>2.18E-2</v>
      </c>
      <c r="AB313" s="354">
        <f t="shared" ref="AB313:AB333" si="71">IF($AB$8="Solar",IFERROR(IF(J313&gt;$AD$1,-0.005,0),AB301),0)</f>
        <v>0</v>
      </c>
    </row>
    <row r="314" spans="2:28" ht="17.45" hidden="1" customHeight="1">
      <c r="B314" s="203"/>
      <c r="C314" s="355"/>
      <c r="D314" s="370"/>
      <c r="E314" s="370"/>
      <c r="F314" s="355"/>
      <c r="G314" s="371"/>
      <c r="I314" s="358"/>
      <c r="J314" s="352"/>
      <c r="K314" s="203"/>
      <c r="M314" s="353"/>
      <c r="AA314" s="353">
        <f t="shared" si="66"/>
        <v>2.18E-2</v>
      </c>
      <c r="AB314" s="354">
        <f t="shared" si="71"/>
        <v>0</v>
      </c>
    </row>
    <row r="315" spans="2:28" ht="17.45" hidden="1" customHeight="1">
      <c r="B315" s="203"/>
      <c r="C315" s="355"/>
      <c r="D315" s="370"/>
      <c r="E315" s="370"/>
      <c r="F315" s="355"/>
      <c r="G315" s="371"/>
      <c r="I315" s="358"/>
      <c r="J315" s="352"/>
      <c r="K315" s="203"/>
      <c r="M315" s="353"/>
      <c r="AA315" s="353">
        <f t="shared" si="66"/>
        <v>2.18E-2</v>
      </c>
      <c r="AB315" s="354">
        <f t="shared" si="71"/>
        <v>0</v>
      </c>
    </row>
    <row r="316" spans="2:28" ht="17.45" hidden="1" customHeight="1">
      <c r="B316" s="203"/>
      <c r="C316" s="355"/>
      <c r="D316" s="370"/>
      <c r="E316" s="370"/>
      <c r="F316" s="355"/>
      <c r="G316" s="371"/>
      <c r="I316" s="358"/>
      <c r="J316" s="352"/>
      <c r="K316" s="203"/>
      <c r="M316" s="353"/>
      <c r="AA316" s="353">
        <f t="shared" si="66"/>
        <v>2.18E-2</v>
      </c>
      <c r="AB316" s="354">
        <f t="shared" si="71"/>
        <v>0</v>
      </c>
    </row>
    <row r="317" spans="2:28" ht="17.45" hidden="1" customHeight="1">
      <c r="B317" s="203"/>
      <c r="C317" s="355"/>
      <c r="D317" s="370"/>
      <c r="E317" s="370"/>
      <c r="F317" s="355"/>
      <c r="G317" s="371"/>
      <c r="I317" s="358"/>
      <c r="J317" s="352"/>
      <c r="K317" s="203"/>
      <c r="M317" s="353"/>
      <c r="AA317" s="353">
        <f t="shared" si="66"/>
        <v>2.18E-2</v>
      </c>
      <c r="AB317" s="354">
        <f t="shared" si="71"/>
        <v>0</v>
      </c>
    </row>
    <row r="318" spans="2:28" ht="17.45" hidden="1" customHeight="1">
      <c r="B318" s="203"/>
      <c r="C318" s="355"/>
      <c r="D318" s="370"/>
      <c r="E318" s="370"/>
      <c r="F318" s="355"/>
      <c r="G318" s="371"/>
      <c r="I318" s="358"/>
      <c r="J318" s="352"/>
      <c r="K318" s="203"/>
      <c r="M318" s="353"/>
      <c r="AA318" s="353">
        <f t="shared" si="66"/>
        <v>2.18E-2</v>
      </c>
      <c r="AB318" s="354">
        <f t="shared" si="71"/>
        <v>0</v>
      </c>
    </row>
    <row r="319" spans="2:28" ht="17.45" hidden="1" customHeight="1">
      <c r="B319" s="203"/>
      <c r="C319" s="355"/>
      <c r="D319" s="370"/>
      <c r="E319" s="370"/>
      <c r="F319" s="355"/>
      <c r="G319" s="371"/>
      <c r="I319" s="358"/>
      <c r="J319" s="352"/>
      <c r="K319" s="203"/>
      <c r="M319" s="353"/>
      <c r="AA319" s="353">
        <f t="shared" si="66"/>
        <v>2.18E-2</v>
      </c>
      <c r="AB319" s="354">
        <f t="shared" si="71"/>
        <v>0</v>
      </c>
    </row>
    <row r="320" spans="2:28" ht="17.45" hidden="1" customHeight="1">
      <c r="B320" s="203"/>
      <c r="C320" s="355"/>
      <c r="D320" s="370"/>
      <c r="E320" s="370"/>
      <c r="F320" s="355"/>
      <c r="G320" s="371"/>
      <c r="I320" s="358"/>
      <c r="J320" s="352"/>
      <c r="K320" s="203"/>
      <c r="M320" s="353"/>
      <c r="AA320" s="353">
        <f t="shared" si="66"/>
        <v>2.18E-2</v>
      </c>
      <c r="AB320" s="354">
        <f t="shared" si="71"/>
        <v>0</v>
      </c>
    </row>
    <row r="321" spans="2:28" ht="17.45" hidden="1" customHeight="1">
      <c r="B321" s="203"/>
      <c r="C321" s="355"/>
      <c r="D321" s="370"/>
      <c r="E321" s="370"/>
      <c r="F321" s="355"/>
      <c r="G321" s="371"/>
      <c r="I321" s="358"/>
      <c r="J321" s="352"/>
      <c r="K321" s="203"/>
      <c r="M321" s="353"/>
      <c r="AA321" s="353">
        <f t="shared" si="66"/>
        <v>2.18E-2</v>
      </c>
      <c r="AB321" s="354">
        <f t="shared" si="71"/>
        <v>0</v>
      </c>
    </row>
    <row r="322" spans="2:28" ht="17.45" hidden="1" customHeight="1">
      <c r="B322" s="203"/>
      <c r="C322" s="355"/>
      <c r="D322" s="370"/>
      <c r="E322" s="370"/>
      <c r="F322" s="355"/>
      <c r="G322" s="371"/>
      <c r="I322" s="358"/>
      <c r="J322" s="352"/>
      <c r="K322" s="203"/>
      <c r="M322" s="353"/>
      <c r="AA322" s="353">
        <f t="shared" si="66"/>
        <v>2.18E-2</v>
      </c>
      <c r="AB322" s="354">
        <f t="shared" si="71"/>
        <v>0</v>
      </c>
    </row>
    <row r="323" spans="2:28" ht="17.45" hidden="1" customHeight="1">
      <c r="B323" s="203"/>
      <c r="C323" s="355"/>
      <c r="D323" s="370"/>
      <c r="E323" s="370"/>
      <c r="F323" s="355"/>
      <c r="G323" s="371"/>
      <c r="I323" s="358"/>
      <c r="J323" s="352"/>
      <c r="K323" s="203"/>
      <c r="M323" s="353"/>
      <c r="AA323" s="353">
        <f t="shared" si="66"/>
        <v>2.18E-2</v>
      </c>
      <c r="AB323" s="354">
        <f t="shared" si="71"/>
        <v>0</v>
      </c>
    </row>
    <row r="324" spans="2:28" ht="17.45" hidden="1" customHeight="1">
      <c r="B324" s="203"/>
      <c r="C324" s="362"/>
      <c r="D324" s="372"/>
      <c r="E324" s="372"/>
      <c r="F324" s="362"/>
      <c r="G324" s="373"/>
      <c r="I324" s="358"/>
      <c r="J324" s="352"/>
      <c r="K324" s="203"/>
      <c r="M324" s="353"/>
      <c r="AA324" s="353">
        <f t="shared" si="66"/>
        <v>2.18E-2</v>
      </c>
      <c r="AB324" s="354">
        <f t="shared" si="71"/>
        <v>0</v>
      </c>
    </row>
    <row r="325" spans="2:28" ht="17.45" hidden="1" customHeight="1">
      <c r="AA325" s="353">
        <f t="shared" si="66"/>
        <v>2.18E-2</v>
      </c>
      <c r="AB325" s="354">
        <f t="shared" si="71"/>
        <v>0</v>
      </c>
    </row>
    <row r="326" spans="2:28" ht="17.45" hidden="1" customHeight="1">
      <c r="AA326" s="353">
        <f t="shared" si="66"/>
        <v>2.18E-2</v>
      </c>
      <c r="AB326" s="354">
        <f t="shared" si="71"/>
        <v>0</v>
      </c>
    </row>
    <row r="327" spans="2:28" ht="17.45" hidden="1" customHeight="1">
      <c r="AA327" s="353">
        <f t="shared" si="66"/>
        <v>2.18E-2</v>
      </c>
      <c r="AB327" s="354">
        <f t="shared" si="71"/>
        <v>0</v>
      </c>
    </row>
    <row r="328" spans="2:28" ht="17.45" hidden="1" customHeight="1">
      <c r="AA328" s="353">
        <f t="shared" si="66"/>
        <v>2.18E-2</v>
      </c>
      <c r="AB328" s="354">
        <f t="shared" si="71"/>
        <v>0</v>
      </c>
    </row>
    <row r="329" spans="2:28" ht="17.45" hidden="1" customHeight="1">
      <c r="AA329" s="353">
        <f t="shared" si="66"/>
        <v>2.18E-2</v>
      </c>
      <c r="AB329" s="354">
        <f t="shared" si="71"/>
        <v>0</v>
      </c>
    </row>
    <row r="330" spans="2:28" ht="17.45" hidden="1" customHeight="1">
      <c r="AA330" s="353">
        <f t="shared" si="66"/>
        <v>2.18E-2</v>
      </c>
      <c r="AB330" s="354">
        <f t="shared" si="71"/>
        <v>0</v>
      </c>
    </row>
    <row r="331" spans="2:28" ht="17.45" hidden="1" customHeight="1">
      <c r="AA331" s="353">
        <f t="shared" si="66"/>
        <v>2.18E-2</v>
      </c>
      <c r="AB331" s="354">
        <f t="shared" si="71"/>
        <v>0</v>
      </c>
    </row>
    <row r="332" spans="2:28" ht="17.45" hidden="1" customHeight="1">
      <c r="AA332" s="353">
        <f t="shared" si="66"/>
        <v>2.18E-2</v>
      </c>
      <c r="AB332" s="354">
        <f t="shared" si="71"/>
        <v>0</v>
      </c>
    </row>
    <row r="333" spans="2:28" ht="17.45" hidden="1" customHeight="1">
      <c r="AA333" s="353">
        <f t="shared" ref="AA333:AA367" si="72">Inflation</f>
        <v>2.18E-2</v>
      </c>
      <c r="AB333" s="354">
        <f t="shared" si="71"/>
        <v>0</v>
      </c>
    </row>
    <row r="334" spans="2:28" ht="17.45" hidden="1" customHeight="1">
      <c r="AA334" s="353">
        <f t="shared" si="72"/>
        <v>2.18E-2</v>
      </c>
    </row>
    <row r="335" spans="2:28" ht="17.45" hidden="1" customHeight="1">
      <c r="AA335" s="353">
        <f t="shared" si="72"/>
        <v>2.18E-2</v>
      </c>
    </row>
    <row r="336" spans="2:28" ht="17.45" hidden="1" customHeight="1">
      <c r="AA336" s="353">
        <f t="shared" si="72"/>
        <v>2.18E-2</v>
      </c>
    </row>
    <row r="337" spans="27:27" ht="17.45" hidden="1" customHeight="1">
      <c r="AA337" s="353">
        <f t="shared" si="72"/>
        <v>2.18E-2</v>
      </c>
    </row>
    <row r="338" spans="27:27" ht="17.45" hidden="1" customHeight="1">
      <c r="AA338" s="353">
        <f t="shared" si="72"/>
        <v>2.18E-2</v>
      </c>
    </row>
    <row r="339" spans="27:27" ht="17.45" hidden="1" customHeight="1">
      <c r="AA339" s="353">
        <f t="shared" si="72"/>
        <v>2.18E-2</v>
      </c>
    </row>
    <row r="340" spans="27:27" ht="17.45" hidden="1" customHeight="1">
      <c r="AA340" s="353">
        <f t="shared" si="72"/>
        <v>2.18E-2</v>
      </c>
    </row>
    <row r="341" spans="27:27" ht="17.45" hidden="1" customHeight="1">
      <c r="AA341" s="353">
        <f t="shared" si="72"/>
        <v>2.18E-2</v>
      </c>
    </row>
    <row r="342" spans="27:27" ht="17.45" hidden="1" customHeight="1">
      <c r="AA342" s="353">
        <f t="shared" si="72"/>
        <v>2.18E-2</v>
      </c>
    </row>
    <row r="343" spans="27:27" ht="17.45" hidden="1" customHeight="1">
      <c r="AA343" s="353">
        <f t="shared" si="72"/>
        <v>2.18E-2</v>
      </c>
    </row>
    <row r="344" spans="27:27" ht="17.45" hidden="1" customHeight="1">
      <c r="AA344" s="353">
        <f t="shared" si="72"/>
        <v>2.18E-2</v>
      </c>
    </row>
    <row r="345" spans="27:27" ht="17.45" hidden="1" customHeight="1">
      <c r="AA345" s="353">
        <f t="shared" si="72"/>
        <v>2.18E-2</v>
      </c>
    </row>
    <row r="346" spans="27:27" ht="17.45" hidden="1" customHeight="1">
      <c r="AA346" s="353">
        <f t="shared" si="72"/>
        <v>2.18E-2</v>
      </c>
    </row>
    <row r="347" spans="27:27" ht="17.45" hidden="1" customHeight="1">
      <c r="AA347" s="353">
        <f t="shared" si="72"/>
        <v>2.18E-2</v>
      </c>
    </row>
    <row r="348" spans="27:27" ht="17.45" hidden="1" customHeight="1">
      <c r="AA348" s="353">
        <f t="shared" si="72"/>
        <v>2.18E-2</v>
      </c>
    </row>
    <row r="349" spans="27:27" ht="17.45" hidden="1" customHeight="1">
      <c r="AA349" s="353">
        <f t="shared" si="72"/>
        <v>2.18E-2</v>
      </c>
    </row>
    <row r="350" spans="27:27" ht="17.45" hidden="1" customHeight="1">
      <c r="AA350" s="353">
        <f t="shared" si="72"/>
        <v>2.18E-2</v>
      </c>
    </row>
    <row r="351" spans="27:27" ht="17.45" hidden="1" customHeight="1">
      <c r="AA351" s="353">
        <f t="shared" si="72"/>
        <v>2.18E-2</v>
      </c>
    </row>
    <row r="352" spans="27:27" ht="17.45" hidden="1" customHeight="1">
      <c r="AA352" s="353">
        <f t="shared" si="72"/>
        <v>2.18E-2</v>
      </c>
    </row>
    <row r="353" spans="27:27" ht="17.45" hidden="1" customHeight="1">
      <c r="AA353" s="353">
        <f t="shared" si="72"/>
        <v>2.18E-2</v>
      </c>
    </row>
    <row r="354" spans="27:27" ht="17.45" hidden="1" customHeight="1">
      <c r="AA354" s="353">
        <f t="shared" si="72"/>
        <v>2.18E-2</v>
      </c>
    </row>
    <row r="355" spans="27:27" ht="17.45" hidden="1" customHeight="1">
      <c r="AA355" s="353">
        <f t="shared" si="72"/>
        <v>2.18E-2</v>
      </c>
    </row>
    <row r="356" spans="27:27" ht="17.45" hidden="1" customHeight="1">
      <c r="AA356" s="353">
        <f t="shared" si="72"/>
        <v>2.18E-2</v>
      </c>
    </row>
    <row r="357" spans="27:27" ht="17.45" hidden="1" customHeight="1">
      <c r="AA357" s="353">
        <f t="shared" si="72"/>
        <v>2.18E-2</v>
      </c>
    </row>
    <row r="358" spans="27:27" ht="17.45" hidden="1" customHeight="1">
      <c r="AA358" s="353">
        <f t="shared" si="72"/>
        <v>2.18E-2</v>
      </c>
    </row>
    <row r="359" spans="27:27" ht="17.45" hidden="1" customHeight="1">
      <c r="AA359" s="353">
        <f t="shared" si="72"/>
        <v>2.18E-2</v>
      </c>
    </row>
    <row r="360" spans="27:27" ht="17.45" hidden="1" customHeight="1">
      <c r="AA360" s="353">
        <f t="shared" si="72"/>
        <v>2.18E-2</v>
      </c>
    </row>
    <row r="361" spans="27:27" ht="17.45" hidden="1" customHeight="1">
      <c r="AA361" s="353">
        <f t="shared" si="72"/>
        <v>2.18E-2</v>
      </c>
    </row>
    <row r="362" spans="27:27" ht="17.45" hidden="1" customHeight="1">
      <c r="AA362" s="353">
        <f t="shared" si="72"/>
        <v>2.18E-2</v>
      </c>
    </row>
    <row r="363" spans="27:27" ht="17.45" hidden="1" customHeight="1">
      <c r="AA363" s="353">
        <f t="shared" si="72"/>
        <v>2.18E-2</v>
      </c>
    </row>
    <row r="364" spans="27:27" ht="17.45" hidden="1" customHeight="1">
      <c r="AA364" s="353">
        <f t="shared" si="72"/>
        <v>2.18E-2</v>
      </c>
    </row>
    <row r="365" spans="27:27" ht="17.45" hidden="1" customHeight="1">
      <c r="AA365" s="353">
        <f t="shared" si="72"/>
        <v>2.18E-2</v>
      </c>
    </row>
    <row r="366" spans="27:27" ht="17.45" hidden="1" customHeight="1">
      <c r="AA366" s="353">
        <f t="shared" si="72"/>
        <v>2.18E-2</v>
      </c>
    </row>
    <row r="367" spans="27:27" ht="17.45" hidden="1" customHeight="1">
      <c r="AA367" s="353">
        <f t="shared" si="72"/>
        <v>2.18E-2</v>
      </c>
    </row>
    <row r="368" spans="27:27" ht="17.45" hidden="1" customHeight="1"/>
    <row r="369" ht="17.45" hidden="1" customHeight="1"/>
    <row r="370" ht="17.45" hidden="1" customHeight="1"/>
    <row r="371" ht="17.45" hidden="1" customHeight="1"/>
    <row r="372" ht="17.45" hidden="1" customHeight="1"/>
    <row r="373" ht="17.45" hidden="1" customHeight="1"/>
    <row r="374" ht="17.45" hidden="1" customHeight="1"/>
    <row r="375" ht="17.45" hidden="1" customHeight="1"/>
    <row r="376" ht="17.45" hidden="1" customHeight="1"/>
    <row r="377" ht="17.45" hidden="1" customHeight="1"/>
    <row r="378" ht="17.45" hidden="1" customHeight="1"/>
    <row r="379" ht="17.45" hidden="1" customHeight="1"/>
    <row r="380" ht="17.45" hidden="1" customHeight="1"/>
  </sheetData>
  <printOptions horizontalCentered="1"/>
  <pageMargins left="0.25" right="0.25" top="0.75" bottom="0.75" header="0.3" footer="0.3"/>
  <pageSetup scale="46" orientation="portrait" r:id="rId1"/>
  <headerFooter alignWithMargins="0">
    <oddFooter>&amp;L&amp;8NPC Group - &amp;F   ( &amp;A )&amp;C &amp;R &amp;8&amp;D 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62AFC-0E02-488B-9437-8EACD545CAEC}">
  <dimension ref="A1:N78"/>
  <sheetViews>
    <sheetView zoomScaleNormal="100" workbookViewId="0">
      <selection activeCell="C56" sqref="C56"/>
    </sheetView>
  </sheetViews>
  <sheetFormatPr defaultRowHeight="12.75"/>
  <cols>
    <col min="1" max="1" width="42.5" customWidth="1"/>
    <col min="2" max="4" width="28.5" customWidth="1"/>
    <col min="5" max="5" width="23.33203125" customWidth="1"/>
    <col min="6" max="6" width="21.6640625" customWidth="1"/>
    <col min="7" max="7" width="21.1640625" customWidth="1"/>
    <col min="8" max="8" width="16" customWidth="1"/>
    <col min="9" max="9" width="17.33203125" customWidth="1"/>
    <col min="10" max="11" width="16.5" customWidth="1"/>
    <col min="12" max="12" width="14.5" customWidth="1"/>
    <col min="13" max="13" width="15.83203125" customWidth="1"/>
    <col min="14" max="15" width="15.5" customWidth="1"/>
    <col min="16" max="16" width="14.5" customWidth="1"/>
    <col min="17" max="17" width="16.1640625" customWidth="1"/>
    <col min="18" max="19" width="16" customWidth="1"/>
    <col min="20" max="20" width="17.5" customWidth="1"/>
    <col min="21" max="21" width="17.1640625" customWidth="1"/>
    <col min="22" max="22" width="16.6640625" customWidth="1"/>
    <col min="23" max="23" width="14.5" customWidth="1"/>
    <col min="24" max="24" width="15.33203125" customWidth="1"/>
    <col min="25" max="25" width="14.5" customWidth="1"/>
  </cols>
  <sheetData>
    <row r="1" spans="1:14">
      <c r="A1" s="147" t="s">
        <v>87</v>
      </c>
    </row>
    <row r="2" spans="1:14" ht="51">
      <c r="A2" s="147" t="s">
        <v>9</v>
      </c>
      <c r="B2" s="91" t="str">
        <f>'WD_.PX.BDG._.PTC.2029'!$B$2</f>
        <v>WD_.PX.BDG._.PTC.Utility_Scale</v>
      </c>
      <c r="C2" s="91" t="str">
        <f>'WD_.PX.BDG._.PTC.2030'!$B$2</f>
        <v>WD_.PX.BDG._.PTC.Utility_Scale</v>
      </c>
      <c r="D2" s="91" t="str">
        <f>'WD_.PX.BDG._.PTC.2031'!$B$2</f>
        <v>WD_.PX.BDG._.PTC.Utility_Scale</v>
      </c>
      <c r="E2" s="91" t="str">
        <f>'WD_.PX.DJW._.PTC.2029'!$B$2</f>
        <v>WD_.PX.DJW._.PTC.Utility_Scale</v>
      </c>
      <c r="F2" s="91" t="str">
        <f>'WD_.PX.DJW._.PTC.2030'!$B$2</f>
        <v>WD_.PX.DJW._.PTC.Utility_Scale</v>
      </c>
      <c r="G2" s="91" t="str">
        <f>'WD_.PX.DJW._.PTC.2031'!$B$2</f>
        <v>WD_.PX.DJW._.PTC.Utility_Scale</v>
      </c>
      <c r="H2" s="91" t="str">
        <f>'PV_.PX.BDG._.PTC.2031'!$B$2</f>
        <v>PV_.PX.BDG._.PTC.Utility_Scale</v>
      </c>
      <c r="I2" s="91" t="str">
        <f>'PV_.PX.HTG._.PTC.2031'!$B$2</f>
        <v>PV_.PX.HTG._.PTC.Utility_Scale</v>
      </c>
      <c r="J2" s="91" t="str">
        <f>'Table 3 PV_.PX.NTN._.PTC.2031'!$B$2</f>
        <v>PV_.PX.NTN._.PTC.Utility_Scale</v>
      </c>
      <c r="K2" s="91" t="str">
        <f>'PV_.PX.UTS._.PTC.2031'!$B$2</f>
        <v>PV_.PX.UTS._.PTC.Utility_Scale</v>
      </c>
    </row>
    <row r="3" spans="1:14" s="147" customFormat="1">
      <c r="A3" s="147" t="s">
        <v>83</v>
      </c>
      <c r="B3" s="174">
        <f>'WD_.PX.BDG._.PTC.2029'!$R$57</f>
        <v>2029</v>
      </c>
      <c r="C3" s="174">
        <f>'WD_.PX.BDG._.PTC.2030'!$R$57</f>
        <v>2030</v>
      </c>
      <c r="D3" s="174">
        <f>'WD_.PX.BDG._.PTC.2031'!$R$57</f>
        <v>2031</v>
      </c>
      <c r="E3" s="175">
        <f>'WD_.PX.DJW._.PTC.2029'!$R$57</f>
        <v>2029</v>
      </c>
      <c r="F3" s="175">
        <f>'WD_.PX.DJW._.PTC.2030'!$R$57</f>
        <v>2030</v>
      </c>
      <c r="G3" s="175">
        <f>'WD_.PX.DJW._.PTC.2031'!$R$57</f>
        <v>2031</v>
      </c>
      <c r="H3" s="168">
        <f>'PV_.PX.BDG._.PTC.2031'!$R$57</f>
        <v>2031</v>
      </c>
      <c r="I3" s="168">
        <f>'PV_.PX.HTG._.PTC.2031'!$R$57</f>
        <v>2031</v>
      </c>
      <c r="J3" s="168">
        <f>'Table 3 PV_.PX.NTN._.PTC.2031'!$R$57</f>
        <v>2031</v>
      </c>
      <c r="K3" s="168">
        <f>'PV_.PX.UTS._.PTC.2031'!$S$57</f>
        <v>2031</v>
      </c>
    </row>
    <row r="4" spans="1:14">
      <c r="B4" s="176" t="s">
        <v>114</v>
      </c>
      <c r="C4" s="176" t="s">
        <v>114</v>
      </c>
      <c r="D4" s="176" t="s">
        <v>114</v>
      </c>
      <c r="E4" s="177" t="s">
        <v>114</v>
      </c>
      <c r="F4" s="177" t="s">
        <v>114</v>
      </c>
      <c r="G4" s="177" t="s">
        <v>114</v>
      </c>
      <c r="H4" s="148" t="s">
        <v>111</v>
      </c>
      <c r="I4" s="148" t="s">
        <v>111</v>
      </c>
      <c r="J4" s="148" t="s">
        <v>111</v>
      </c>
      <c r="K4" s="148" t="s">
        <v>111</v>
      </c>
    </row>
    <row r="5" spans="1:14" ht="53.25" customHeight="1">
      <c r="B5" s="163" t="str">
        <f t="shared" ref="B5:K5" si="0">CONCATENATE(B2,B3)</f>
        <v>WD_.PX.BDG._.PTC.Utility_Scale2029</v>
      </c>
      <c r="C5" s="163" t="str">
        <f t="shared" si="0"/>
        <v>WD_.PX.BDG._.PTC.Utility_Scale2030</v>
      </c>
      <c r="D5" s="163" t="str">
        <f t="shared" si="0"/>
        <v>WD_.PX.BDG._.PTC.Utility_Scale2031</v>
      </c>
      <c r="E5" s="163" t="str">
        <f t="shared" si="0"/>
        <v>WD_.PX.DJW._.PTC.Utility_Scale2029</v>
      </c>
      <c r="F5" s="163" t="str">
        <f t="shared" si="0"/>
        <v>WD_.PX.DJW._.PTC.Utility_Scale2030</v>
      </c>
      <c r="G5" s="163" t="str">
        <f t="shared" si="0"/>
        <v>WD_.PX.DJW._.PTC.Utility_Scale2031</v>
      </c>
      <c r="H5" s="91" t="str">
        <f t="shared" si="0"/>
        <v>PV_.PX.BDG._.PTC.Utility_Scale2031</v>
      </c>
      <c r="I5" s="91" t="str">
        <f t="shared" si="0"/>
        <v>PV_.PX.HTG._.PTC.Utility_Scale2031</v>
      </c>
      <c r="J5" s="91" t="str">
        <f t="shared" si="0"/>
        <v>PV_.PX.NTN._.PTC.Utility_Scale2031</v>
      </c>
      <c r="K5" s="91" t="str">
        <f t="shared" si="0"/>
        <v>PV_.PX.UTS._.PTC.Utility_Scale2031</v>
      </c>
    </row>
    <row r="6" spans="1:14">
      <c r="A6" s="68">
        <v>2024</v>
      </c>
      <c r="B6" s="69">
        <f>IFERROR(INDEX('WD_.PX.BDG._.PTC.2029'!$L$9:$L$45,MATCH($A6,'WD_.PX.BDG._.PTC.2029'!$B$9:$B$45,0),1),0)</f>
        <v>0</v>
      </c>
      <c r="C6" s="69">
        <f>IFERROR(INDEX('WD_.PX.BDG._.PTC.2030'!$L$9:$L$47,MATCH($A6,'WD_.PX.BDG._.PTC.2030'!$B$9:$B$47,0),1),0)</f>
        <v>0</v>
      </c>
      <c r="D6" s="69">
        <f>IFERROR(INDEX('WD_.PX.BDG._.PTC.2031'!$L$9:$L$47,MATCH($A6,'WD_.PX.BDG._.PTC.2031'!$B$9:$B$47,0),1),0)</f>
        <v>0</v>
      </c>
      <c r="E6" s="69">
        <f>IFERROR(INDEX('WD_.PX.DJW._.PTC.2029'!$L$9:$L$48,MATCH($A6,'WD_.PX.DJW._.PTC.2029'!$B$9:$B$48,0),1),0)</f>
        <v>0</v>
      </c>
      <c r="F6" s="69">
        <f>IFERROR(INDEX('WD_.PX.DJW._.PTC.2030'!$L$9:$L$47,MATCH($A6,'WD_.PX.DJW._.PTC.2030'!$B$9:$B$47,0),1),0)</f>
        <v>0</v>
      </c>
      <c r="G6" s="69">
        <f>IFERROR(INDEX('WD_.PX.DJW._.PTC.2031'!$L$9:$L$47,MATCH($A6,'WD_.PX.DJW._.PTC.2031'!$B$9:$B$47,0),1),0)</f>
        <v>0</v>
      </c>
      <c r="H6" s="69">
        <f>IFERROR(INDEX('PV_.PX.BDG._.PTC.2031'!$L$9:$L$47,MATCH($A6,'PV_.PX.BDG._.PTC.2031'!$B$9:$B$47,0),1),0)</f>
        <v>0</v>
      </c>
      <c r="I6" s="69">
        <f>IFERROR(INDEX('PV_.PX.HTG._.PTC.2031'!$L$9:$L$47,MATCH($A6,'PV_.PX.HTG._.PTC.2031'!$B$9:$B$47,0),1),0)</f>
        <v>0</v>
      </c>
      <c r="J6" s="69">
        <f>IFERROR(INDEX('Table 3 PV_.PX.NTN._.PTC.2031'!$L$9:$L$47,MATCH($A6,'Table 3 PV_.PX.NTN._.PTC.2031'!$B$9:$B$47,0),1),0)</f>
        <v>0</v>
      </c>
      <c r="K6" s="69">
        <f>IFERROR(INDEX('PV_.PX.UTS._.PTC.2031'!$M$9:$M$47,MATCH($A6,'PV_.PX.UTS._.PTC.2031'!$B$9:$B$47,0),1),0)</f>
        <v>0</v>
      </c>
      <c r="N6" s="45"/>
    </row>
    <row r="7" spans="1:14">
      <c r="A7" s="68">
        <f t="shared" ref="A7:A27" si="1">A6+1</f>
        <v>2025</v>
      </c>
      <c r="B7" s="69">
        <f>IFERROR(INDEX('WD_.PX.BDG._.PTC.2029'!$L$9:$L$45,MATCH($A7,'WD_.PX.BDG._.PTC.2029'!$B$9:$B$45,0),1),0)</f>
        <v>0</v>
      </c>
      <c r="C7" s="69">
        <f>IFERROR(INDEX('WD_.PX.BDG._.PTC.2030'!$L$9:$L$47,MATCH($A7,'WD_.PX.BDG._.PTC.2030'!$B$9:$B$47,0),1),0)</f>
        <v>0</v>
      </c>
      <c r="D7" s="69">
        <f>IFERROR(INDEX('WD_.PX.BDG._.PTC.2031'!$L$9:$L$47,MATCH($A7,'WD_.PX.BDG._.PTC.2031'!$B$9:$B$47,0),1),0)</f>
        <v>0</v>
      </c>
      <c r="E7" s="69">
        <f>IFERROR(INDEX('WD_.PX.DJW._.PTC.2029'!$L$9:$L$48,MATCH($A7,'WD_.PX.DJW._.PTC.2029'!$B$9:$B$48,0),1),0)</f>
        <v>0</v>
      </c>
      <c r="F7" s="69">
        <f>IFERROR(INDEX('WD_.PX.DJW._.PTC.2030'!$L$9:$L$47,MATCH($A7,'WD_.PX.DJW._.PTC.2030'!$B$9:$B$47,0),1),0)</f>
        <v>0</v>
      </c>
      <c r="G7" s="69">
        <f>IFERROR(INDEX('WD_.PX.DJW._.PTC.2031'!$L$9:$L$47,MATCH($A7,'WD_.PX.DJW._.PTC.2031'!$B$9:$B$47,0),1),0)</f>
        <v>0</v>
      </c>
      <c r="H7" s="69">
        <f>IFERROR(INDEX('PV_.PX.BDG._.PTC.2031'!$L$9:$L$47,MATCH($A7,'PV_.PX.BDG._.PTC.2031'!$B$9:$B$47,0),1),0)</f>
        <v>0</v>
      </c>
      <c r="I7" s="69">
        <f>IFERROR(INDEX('PV_.PX.HTG._.PTC.2031'!$L$9:$L$47,MATCH($A7,'PV_.PX.HTG._.PTC.2031'!$B$9:$B$47,0),1),0)</f>
        <v>0</v>
      </c>
      <c r="J7" s="69">
        <f>IFERROR(INDEX('Table 3 PV_.PX.NTN._.PTC.2031'!$L$9:$L$47,MATCH($A7,'Table 3 PV_.PX.NTN._.PTC.2031'!$B$9:$B$47,0),1),0)</f>
        <v>0</v>
      </c>
      <c r="K7" s="69">
        <f>IFERROR(INDEX('PV_.PX.UTS._.PTC.2031'!$M$9:$M$47,MATCH($A7,'PV_.PX.UTS._.PTC.2031'!$B$9:$B$47,0),1),0)</f>
        <v>0</v>
      </c>
    </row>
    <row r="8" spans="1:14">
      <c r="A8" s="68">
        <f t="shared" si="1"/>
        <v>2026</v>
      </c>
      <c r="B8" s="69">
        <f>IFERROR(INDEX('WD_.PX.BDG._.PTC.2029'!$L$9:$L$45,MATCH($A8,'WD_.PX.BDG._.PTC.2029'!$B$9:$B$45,0),1),0)</f>
        <v>0</v>
      </c>
      <c r="C8" s="69">
        <f>IFERROR(INDEX('WD_.PX.BDG._.PTC.2030'!$L$9:$L$47,MATCH($A8,'WD_.PX.BDG._.PTC.2030'!$B$9:$B$47,0),1),0)</f>
        <v>0</v>
      </c>
      <c r="D8" s="69">
        <f>IFERROR(INDEX('WD_.PX.BDG._.PTC.2031'!$L$9:$L$47,MATCH($A8,'WD_.PX.BDG._.PTC.2031'!$B$9:$B$47,0),1),0)</f>
        <v>0</v>
      </c>
      <c r="E8" s="69">
        <f>IFERROR(INDEX('WD_.PX.DJW._.PTC.2029'!$L$9:$L$48,MATCH($A8,'WD_.PX.DJW._.PTC.2029'!$B$9:$B$48,0),1),0)</f>
        <v>0</v>
      </c>
      <c r="F8" s="69">
        <f>IFERROR(INDEX('WD_.PX.DJW._.PTC.2030'!$L$9:$L$47,MATCH($A8,'WD_.PX.DJW._.PTC.2030'!$B$9:$B$47,0),1),0)</f>
        <v>0</v>
      </c>
      <c r="G8" s="69">
        <f>IFERROR(INDEX('WD_.PX.DJW._.PTC.2031'!$L$9:$L$47,MATCH($A8,'WD_.PX.DJW._.PTC.2031'!$B$9:$B$47,0),1),0)</f>
        <v>0</v>
      </c>
      <c r="H8" s="69">
        <f>IFERROR(INDEX('PV_.PX.BDG._.PTC.2031'!$L$9:$L$47,MATCH($A8,'PV_.PX.BDG._.PTC.2031'!$B$9:$B$47,0),1),0)</f>
        <v>0</v>
      </c>
      <c r="I8" s="69">
        <f>IFERROR(INDEX('PV_.PX.HTG._.PTC.2031'!$L$9:$L$47,MATCH($A8,'PV_.PX.HTG._.PTC.2031'!$B$9:$B$47,0),1),0)</f>
        <v>0</v>
      </c>
      <c r="J8" s="69">
        <f>IFERROR(INDEX('Table 3 PV_.PX.NTN._.PTC.2031'!$L$9:$L$47,MATCH($A8,'Table 3 PV_.PX.NTN._.PTC.2031'!$B$9:$B$47,0),1),0)</f>
        <v>0</v>
      </c>
      <c r="K8" s="69">
        <f>IFERROR(INDEX('PV_.PX.UTS._.PTC.2031'!$M$9:$M$47,MATCH($A8,'PV_.PX.UTS._.PTC.2031'!$B$9:$B$47,0),1),0)</f>
        <v>0</v>
      </c>
    </row>
    <row r="9" spans="1:14">
      <c r="A9" s="68">
        <f t="shared" si="1"/>
        <v>2027</v>
      </c>
      <c r="B9" s="69">
        <f>IFERROR(INDEX('WD_.PX.BDG._.PTC.2029'!$L$9:$L$45,MATCH($A9,'WD_.PX.BDG._.PTC.2029'!$B$9:$B$45,0),1),0)</f>
        <v>0</v>
      </c>
      <c r="C9" s="69">
        <f>IFERROR(INDEX('WD_.PX.BDG._.PTC.2030'!$L$9:$L$47,MATCH($A9,'WD_.PX.BDG._.PTC.2030'!$B$9:$B$47,0),1),0)</f>
        <v>0</v>
      </c>
      <c r="D9" s="69">
        <f>IFERROR(INDEX('WD_.PX.BDG._.PTC.2031'!$L$9:$L$47,MATCH($A9,'WD_.PX.BDG._.PTC.2031'!$B$9:$B$47,0),1),0)</f>
        <v>0</v>
      </c>
      <c r="E9" s="69">
        <f>IFERROR(INDEX('WD_.PX.DJW._.PTC.2029'!$L$9:$L$48,MATCH($A9,'WD_.PX.DJW._.PTC.2029'!$B$9:$B$48,0),1),0)</f>
        <v>0</v>
      </c>
      <c r="F9" s="69">
        <f>IFERROR(INDEX('WD_.PX.DJW._.PTC.2030'!$L$9:$L$47,MATCH($A9,'WD_.PX.DJW._.PTC.2030'!$B$9:$B$47,0),1),0)</f>
        <v>0</v>
      </c>
      <c r="G9" s="69">
        <f>IFERROR(INDEX('WD_.PX.DJW._.PTC.2031'!$L$9:$L$47,MATCH($A9,'WD_.PX.DJW._.PTC.2031'!$B$9:$B$47,0),1),0)</f>
        <v>0</v>
      </c>
      <c r="H9" s="69">
        <f>IFERROR(INDEX('PV_.PX.BDG._.PTC.2031'!$L$9:$L$47,MATCH($A9,'PV_.PX.BDG._.PTC.2031'!$B$9:$B$47,0),1),0)</f>
        <v>0</v>
      </c>
      <c r="I9" s="69">
        <f>IFERROR(INDEX('PV_.PX.HTG._.PTC.2031'!$L$9:$L$47,MATCH($A9,'PV_.PX.HTG._.PTC.2031'!$B$9:$B$47,0),1),0)</f>
        <v>0</v>
      </c>
      <c r="J9" s="69">
        <f>IFERROR(INDEX('Table 3 PV_.PX.NTN._.PTC.2031'!$L$9:$L$47,MATCH($A9,'Table 3 PV_.PX.NTN._.PTC.2031'!$B$9:$B$47,0),1),0)</f>
        <v>0</v>
      </c>
      <c r="K9" s="69">
        <f>IFERROR(INDEX('PV_.PX.UTS._.PTC.2031'!$M$9:$M$47,MATCH($A9,'PV_.PX.UTS._.PTC.2031'!$B$9:$B$47,0),1),0)</f>
        <v>0</v>
      </c>
    </row>
    <row r="10" spans="1:14">
      <c r="A10" s="68">
        <f t="shared" si="1"/>
        <v>2028</v>
      </c>
      <c r="B10" s="69">
        <f>IFERROR(INDEX('WD_.PX.BDG._.PTC.2029'!$L$9:$L$45,MATCH($A10,'WD_.PX.BDG._.PTC.2029'!$B$9:$B$45,0),1),0)</f>
        <v>0</v>
      </c>
      <c r="C10" s="69">
        <f>IFERROR(INDEX('WD_.PX.BDG._.PTC.2030'!$L$9:$L$47,MATCH($A10,'WD_.PX.BDG._.PTC.2030'!$B$9:$B$47,0),1),0)</f>
        <v>0</v>
      </c>
      <c r="D10" s="69">
        <f>IFERROR(INDEX('WD_.PX.BDG._.PTC.2031'!$L$9:$L$47,MATCH($A10,'WD_.PX.BDG._.PTC.2031'!$B$9:$B$47,0),1),0)</f>
        <v>0</v>
      </c>
      <c r="E10" s="69">
        <f>IFERROR(INDEX('WD_.PX.DJW._.PTC.2029'!$L$9:$L$48,MATCH($A10,'WD_.PX.DJW._.PTC.2029'!$B$9:$B$48,0),1),0)</f>
        <v>0</v>
      </c>
      <c r="F10" s="69">
        <f>IFERROR(INDEX('WD_.PX.DJW._.PTC.2030'!$L$9:$L$47,MATCH($A10,'WD_.PX.DJW._.PTC.2030'!$B$9:$B$47,0),1),0)</f>
        <v>0</v>
      </c>
      <c r="G10" s="69">
        <f>IFERROR(INDEX('WD_.PX.DJW._.PTC.2031'!$L$9:$L$47,MATCH($A10,'WD_.PX.DJW._.PTC.2031'!$B$9:$B$47,0),1),0)</f>
        <v>0</v>
      </c>
      <c r="H10" s="69">
        <f>IFERROR(INDEX('PV_.PX.BDG._.PTC.2031'!$L$9:$L$47,MATCH($A10,'PV_.PX.BDG._.PTC.2031'!$B$9:$B$47,0),1),0)</f>
        <v>0</v>
      </c>
      <c r="I10" s="69">
        <f>IFERROR(INDEX('PV_.PX.HTG._.PTC.2031'!$L$9:$L$47,MATCH($A10,'PV_.PX.HTG._.PTC.2031'!$B$9:$B$47,0),1),0)</f>
        <v>0</v>
      </c>
      <c r="J10" s="69">
        <f>IFERROR(INDEX('Table 3 PV_.PX.NTN._.PTC.2031'!$L$9:$L$47,MATCH($A10,'Table 3 PV_.PX.NTN._.PTC.2031'!$B$9:$B$47,0),1),0)</f>
        <v>0</v>
      </c>
      <c r="K10" s="69">
        <f>IFERROR(INDEX('PV_.PX.UTS._.PTC.2031'!$M$9:$M$47,MATCH($A10,'PV_.PX.UTS._.PTC.2031'!$B$9:$B$47,0),1),0)</f>
        <v>0</v>
      </c>
    </row>
    <row r="11" spans="1:14">
      <c r="A11" s="68">
        <f t="shared" si="1"/>
        <v>2029</v>
      </c>
      <c r="B11" s="69">
        <f>IFERROR(INDEX('WD_.PX.BDG._.PTC.2029'!$L$9:$L$45,MATCH($A11,'WD_.PX.BDG._.PTC.2029'!$B$9:$B$45,0),1),0)</f>
        <v>123.30914837857404</v>
      </c>
      <c r="C11" s="69">
        <f>IFERROR(INDEX('WD_.PX.BDG._.PTC.2030'!$L$9:$L$47,MATCH($A11,'WD_.PX.BDG._.PTC.2030'!$B$9:$B$47,0),1),0)</f>
        <v>0</v>
      </c>
      <c r="D11" s="69">
        <f>IFERROR(INDEX('WD_.PX.BDG._.PTC.2031'!$L$9:$L$47,MATCH($A11,'WD_.PX.BDG._.PTC.2031'!$B$9:$B$47,0),1),0)</f>
        <v>0</v>
      </c>
      <c r="E11" s="69">
        <f>IFERROR(INDEX('WD_.PX.DJW._.PTC.2029'!$L$9:$L$48,MATCH($A11,'WD_.PX.DJW._.PTC.2029'!$B$9:$B$48,0),1),0)</f>
        <v>123.30914837857404</v>
      </c>
      <c r="F11" s="69">
        <f>IFERROR(INDEX('WD_.PX.DJW._.PTC.2030'!$L$9:$L$47,MATCH($A11,'WD_.PX.DJW._.PTC.2030'!$B$9:$B$47,0),1),0)</f>
        <v>0</v>
      </c>
      <c r="G11" s="69">
        <f>IFERROR(INDEX('WD_.PX.DJW._.PTC.2031'!$L$9:$L$47,MATCH($A11,'WD_.PX.DJW._.PTC.2031'!$B$9:$B$47,0),1),0)</f>
        <v>0</v>
      </c>
      <c r="H11" s="69">
        <f>IFERROR(INDEX('PV_.PX.BDG._.PTC.2031'!$L$9:$L$47,MATCH($A11,'PV_.PX.BDG._.PTC.2031'!$B$9:$B$47,0),1),0)</f>
        <v>0</v>
      </c>
      <c r="I11" s="69">
        <f>IFERROR(INDEX('PV_.PX.HTG._.PTC.2031'!$L$9:$L$47,MATCH($A11,'PV_.PX.HTG._.PTC.2031'!$B$9:$B$47,0),1),0)</f>
        <v>0</v>
      </c>
      <c r="J11" s="69">
        <f>IFERROR(INDEX('Table 3 PV_.PX.NTN._.PTC.2031'!$L$9:$L$47,MATCH($A11,'Table 3 PV_.PX.NTN._.PTC.2031'!$B$9:$B$47,0),1),0)</f>
        <v>0</v>
      </c>
      <c r="K11" s="69">
        <f>IFERROR(INDEX('PV_.PX.UTS._.PTC.2031'!$M$9:$M$47,MATCH($A11,'PV_.PX.UTS._.PTC.2031'!$B$9:$B$47,0),1),0)</f>
        <v>0</v>
      </c>
    </row>
    <row r="12" spans="1:14">
      <c r="A12" s="68">
        <f t="shared" si="1"/>
        <v>2030</v>
      </c>
      <c r="B12" s="69">
        <f>IFERROR(INDEX('WD_.PX.BDG._.PTC.2029'!$L$9:$L$45,MATCH($A12,'WD_.PX.BDG._.PTC.2029'!$B$9:$B$45,0),1),0)</f>
        <v>125.99728774828759</v>
      </c>
      <c r="C12" s="69">
        <f>IFERROR(INDEX('WD_.PX.BDG._.PTC.2030'!$L$9:$L$47,MATCH($A12,'WD_.PX.BDG._.PTC.2030'!$B$9:$B$47,0),1),0)</f>
        <v>123.98377517629999</v>
      </c>
      <c r="D12" s="69">
        <f>IFERROR(INDEX('WD_.PX.BDG._.PTC.2031'!$L$9:$L$47,MATCH($A12,'WD_.PX.BDG._.PTC.2031'!$B$9:$B$47,0),1),0)</f>
        <v>0</v>
      </c>
      <c r="E12" s="69">
        <f>IFERROR(INDEX('WD_.PX.DJW._.PTC.2029'!$L$9:$L$48,MATCH($A12,'WD_.PX.DJW._.PTC.2029'!$B$9:$B$48,0),1),0)</f>
        <v>125.99728774828759</v>
      </c>
      <c r="F12" s="69">
        <f>IFERROR(INDEX('WD_.PX.DJW._.PTC.2030'!$L$9:$L$47,MATCH($A12,'WD_.PX.DJW._.PTC.2030'!$B$9:$B$47,0),1),0)</f>
        <v>123.98377517629999</v>
      </c>
      <c r="G12" s="69">
        <f>IFERROR(INDEX('WD_.PX.DJW._.PTC.2031'!$L$9:$L$47,MATCH($A12,'WD_.PX.DJW._.PTC.2031'!$B$9:$B$47,0),1),0)</f>
        <v>0</v>
      </c>
      <c r="H12" s="69">
        <f>IFERROR(INDEX('PV_.PX.BDG._.PTC.2031'!$L$9:$L$47,MATCH($A12,'PV_.PX.BDG._.PTC.2031'!$B$9:$B$47,0),1),0)</f>
        <v>0</v>
      </c>
      <c r="I12" s="69">
        <f>IFERROR(INDEX('PV_.PX.HTG._.PTC.2031'!$L$9:$L$47,MATCH($A12,'PV_.PX.HTG._.PTC.2031'!$B$9:$B$47,0),1),0)</f>
        <v>0</v>
      </c>
      <c r="J12" s="69">
        <f>IFERROR(INDEX('Table 3 PV_.PX.NTN._.PTC.2031'!$L$9:$L$47,MATCH($A12,'Table 3 PV_.PX.NTN._.PTC.2031'!$B$9:$B$47,0),1),0)</f>
        <v>0</v>
      </c>
      <c r="K12" s="69">
        <f>IFERROR(INDEX('PV_.PX.UTS._.PTC.2031'!$M$9:$M$47,MATCH($A12,'PV_.PX.UTS._.PTC.2031'!$B$9:$B$47,0),1),0)</f>
        <v>0</v>
      </c>
    </row>
    <row r="13" spans="1:14">
      <c r="A13" s="68">
        <f t="shared" si="1"/>
        <v>2031</v>
      </c>
      <c r="B13" s="69">
        <f>IFERROR(INDEX('WD_.PX.BDG._.PTC.2029'!$L$9:$L$45,MATCH($A13,'WD_.PX.BDG._.PTC.2029'!$B$9:$B$45,0),1),0)</f>
        <v>128.74402861681637</v>
      </c>
      <c r="C13" s="69">
        <f>IFERROR(INDEX('WD_.PX.BDG._.PTC.2030'!$L$9:$L$47,MATCH($A13,'WD_.PX.BDG._.PTC.2030'!$B$9:$B$47,0),1),0)</f>
        <v>126.68662147082951</v>
      </c>
      <c r="D13" s="69">
        <f>IFERROR(INDEX('WD_.PX.BDG._.PTC.2031'!$L$9:$L$47,MATCH($A13,'WD_.PX.BDG._.PTC.2031'!$B$9:$B$47,0),1),0)</f>
        <v>125.75126857814824</v>
      </c>
      <c r="E13" s="69">
        <f>IFERROR(INDEX('WD_.PX.DJW._.PTC.2029'!$L$9:$L$48,MATCH($A13,'WD_.PX.DJW._.PTC.2029'!$B$9:$B$48,0),1),0)</f>
        <v>128.74402861681637</v>
      </c>
      <c r="F13" s="69">
        <f>IFERROR(INDEX('WD_.PX.DJW._.PTC.2030'!$L$9:$L$47,MATCH($A13,'WD_.PX.DJW._.PTC.2030'!$B$9:$B$47,0),1),0)</f>
        <v>126.68662147082951</v>
      </c>
      <c r="G13" s="69">
        <f>IFERROR(INDEX('WD_.PX.DJW._.PTC.2031'!$L$9:$L$47,MATCH($A13,'WD_.PX.DJW._.PTC.2031'!$B$9:$B$47,0),1),0)</f>
        <v>125.75126857814824</v>
      </c>
      <c r="H13" s="69">
        <f>IFERROR(INDEX('PV_.PX.BDG._.PTC.2031'!$L$9:$L$47,MATCH($A13,'PV_.PX.BDG._.PTC.2031'!$B$9:$B$47,0),1),0)</f>
        <v>100.77501427340231</v>
      </c>
      <c r="I13" s="69">
        <f>IFERROR(INDEX('PV_.PX.HTG._.PTC.2031'!$L$9:$L$47,MATCH($A13,'PV_.PX.HTG._.PTC.2031'!$B$9:$B$47,0),1),0)</f>
        <v>100.77501427340231</v>
      </c>
      <c r="J13" s="69">
        <f>IFERROR(INDEX('Table 3 PV_.PX.NTN._.PTC.2031'!$L$9:$L$47,MATCH($A13,'Table 3 PV_.PX.NTN._.PTC.2031'!$B$9:$B$47,0),1),0)</f>
        <v>100.77501427340231</v>
      </c>
      <c r="K13" s="69">
        <f>IFERROR(INDEX('PV_.PX.UTS._.PTC.2031'!$M$9:$M$47,MATCH($A13,'PV_.PX.UTS._.PTC.2031'!$B$9:$B$47,0),1),0)</f>
        <v>100.77501427340231</v>
      </c>
    </row>
    <row r="14" spans="1:14">
      <c r="A14" s="68">
        <f t="shared" si="1"/>
        <v>2032</v>
      </c>
      <c r="B14" s="69">
        <f>IFERROR(INDEX('WD_.PX.BDG._.PTC.2029'!$L$9:$L$45,MATCH($A14,'WD_.PX.BDG._.PTC.2029'!$B$9:$B$45,0),1),0)</f>
        <v>131.55064840494967</v>
      </c>
      <c r="C14" s="69">
        <f>IFERROR(INDEX('WD_.PX.BDG._.PTC.2030'!$L$9:$L$47,MATCH($A14,'WD_.PX.BDG._.PTC.2030'!$B$9:$B$47,0),1),0)</f>
        <v>129.448389783751</v>
      </c>
      <c r="D14" s="69">
        <f>IFERROR(INDEX('WD_.PX.BDG._.PTC.2031'!$L$9:$L$47,MATCH($A14,'WD_.PX.BDG._.PTC.2031'!$B$9:$B$47,0),1),0)</f>
        <v>128.49264619826874</v>
      </c>
      <c r="E14" s="69">
        <f>IFERROR(INDEX('WD_.PX.DJW._.PTC.2029'!$L$9:$L$48,MATCH($A14,'WD_.PX.DJW._.PTC.2029'!$B$9:$B$48,0),1),0)</f>
        <v>131.55064840494967</v>
      </c>
      <c r="F14" s="69">
        <f>IFERROR(INDEX('WD_.PX.DJW._.PTC.2030'!$L$9:$L$47,MATCH($A14,'WD_.PX.DJW._.PTC.2030'!$B$9:$B$47,0),1),0)</f>
        <v>129.448389783751</v>
      </c>
      <c r="G14" s="69">
        <f>IFERROR(INDEX('WD_.PX.DJW._.PTC.2031'!$L$9:$L$47,MATCH($A14,'WD_.PX.DJW._.PTC.2031'!$B$9:$B$47,0),1),0)</f>
        <v>128.49264619826874</v>
      </c>
      <c r="H14" s="69">
        <f>IFERROR(INDEX('PV_.PX.BDG._.PTC.2031'!$L$9:$L$47,MATCH($A14,'PV_.PX.BDG._.PTC.2031'!$B$9:$B$47,0),1),0)</f>
        <v>102.9719095566077</v>
      </c>
      <c r="I14" s="69">
        <f>IFERROR(INDEX('PV_.PX.HTG._.PTC.2031'!$L$9:$L$47,MATCH($A14,'PV_.PX.HTG._.PTC.2031'!$B$9:$B$47,0),1),0)</f>
        <v>102.9719095566077</v>
      </c>
      <c r="J14" s="69">
        <f>IFERROR(INDEX('Table 3 PV_.PX.NTN._.PTC.2031'!$L$9:$L$47,MATCH($A14,'Table 3 PV_.PX.NTN._.PTC.2031'!$B$9:$B$47,0),1),0)</f>
        <v>102.9719095566077</v>
      </c>
      <c r="K14" s="69">
        <f>IFERROR(INDEX('PV_.PX.UTS._.PTC.2031'!$M$9:$M$47,MATCH($A14,'PV_.PX.UTS._.PTC.2031'!$B$9:$B$47,0),1),0)</f>
        <v>102.9719095566077</v>
      </c>
    </row>
    <row r="15" spans="1:14">
      <c r="A15" s="68">
        <f t="shared" si="1"/>
        <v>2033</v>
      </c>
      <c r="B15" s="69">
        <f>IFERROR(INDEX('WD_.PX.BDG._.PTC.2029'!$L$9:$L$45,MATCH($A15,'WD_.PX.BDG._.PTC.2029'!$B$9:$B$45,0),1),0)</f>
        <v>134.41845254174956</v>
      </c>
      <c r="C15" s="69">
        <f>IFERROR(INDEX('WD_.PX.BDG._.PTC.2030'!$L$9:$L$47,MATCH($A15,'WD_.PX.BDG._.PTC.2030'!$B$9:$B$47,0),1),0)</f>
        <v>132.27036468258365</v>
      </c>
      <c r="D15" s="69">
        <f>IFERROR(INDEX('WD_.PX.BDG._.PTC.2031'!$L$9:$L$47,MATCH($A15,'WD_.PX.BDG._.PTC.2031'!$B$9:$B$47,0),1),0)</f>
        <v>131.29378588692646</v>
      </c>
      <c r="E15" s="69">
        <f>IFERROR(INDEX('WD_.PX.DJW._.PTC.2029'!$L$9:$L$48,MATCH($A15,'WD_.PX.DJW._.PTC.2029'!$B$9:$B$48,0),1),0)</f>
        <v>134.41845254174956</v>
      </c>
      <c r="F15" s="69">
        <f>IFERROR(INDEX('WD_.PX.DJW._.PTC.2030'!$L$9:$L$47,MATCH($A15,'WD_.PX.DJW._.PTC.2030'!$B$9:$B$47,0),1),0)</f>
        <v>132.27036468258365</v>
      </c>
      <c r="G15" s="69">
        <f>IFERROR(INDEX('WD_.PX.DJW._.PTC.2031'!$L$9:$L$47,MATCH($A15,'WD_.PX.DJW._.PTC.2031'!$B$9:$B$47,0),1),0)</f>
        <v>131.29378588692646</v>
      </c>
      <c r="H15" s="69">
        <f>IFERROR(INDEX('PV_.PX.BDG._.PTC.2031'!$L$9:$L$47,MATCH($A15,'PV_.PX.BDG._.PTC.2031'!$B$9:$B$47,0),1),0)</f>
        <v>105.21669718617223</v>
      </c>
      <c r="I15" s="69">
        <f>IFERROR(INDEX('PV_.PX.HTG._.PTC.2031'!$L$9:$L$47,MATCH($A15,'PV_.PX.HTG._.PTC.2031'!$B$9:$B$47,0),1),0)</f>
        <v>105.21669718617223</v>
      </c>
      <c r="J15" s="69">
        <f>IFERROR(INDEX('Table 3 PV_.PX.NTN._.PTC.2031'!$L$9:$L$47,MATCH($A15,'Table 3 PV_.PX.NTN._.PTC.2031'!$B$9:$B$47,0),1),0)</f>
        <v>105.21669718617223</v>
      </c>
      <c r="K15" s="69">
        <f>IFERROR(INDEX('PV_.PX.UTS._.PTC.2031'!$M$9:$M$47,MATCH($A15,'PV_.PX.UTS._.PTC.2031'!$B$9:$B$47,0),1),0)</f>
        <v>105.21669718617223</v>
      </c>
    </row>
    <row r="16" spans="1:14">
      <c r="A16" s="68">
        <f t="shared" si="1"/>
        <v>2034</v>
      </c>
      <c r="B16" s="69">
        <f>IFERROR(INDEX('WD_.PX.BDG._.PTC.2029'!$L$9:$L$45,MATCH($A16,'WD_.PX.BDG._.PTC.2029'!$B$9:$B$45,0),1),0)</f>
        <v>137.34877490736955</v>
      </c>
      <c r="C16" s="69">
        <f>IFERROR(INDEX('WD_.PX.BDG._.PTC.2030'!$L$9:$L$47,MATCH($A16,'WD_.PX.BDG._.PTC.2030'!$B$9:$B$47,0),1),0)</f>
        <v>135.15385873127238</v>
      </c>
      <c r="D16" s="69">
        <f>IFERROR(INDEX('WD_.PX.BDG._.PTC.2031'!$L$9:$L$47,MATCH($A16,'WD_.PX.BDG._.PTC.2031'!$B$9:$B$47,0),1),0)</f>
        <v>134.15599051714182</v>
      </c>
      <c r="E16" s="69">
        <f>IFERROR(INDEX('WD_.PX.DJW._.PTC.2029'!$L$9:$L$48,MATCH($A16,'WD_.PX.DJW._.PTC.2029'!$B$9:$B$48,0),1),0)</f>
        <v>137.34877490736955</v>
      </c>
      <c r="F16" s="69">
        <f>IFERROR(INDEX('WD_.PX.DJW._.PTC.2030'!$L$9:$L$47,MATCH($A16,'WD_.PX.DJW._.PTC.2030'!$B$9:$B$47,0),1),0)</f>
        <v>135.15385873127238</v>
      </c>
      <c r="G16" s="69">
        <f>IFERROR(INDEX('WD_.PX.DJW._.PTC.2031'!$L$9:$L$47,MATCH($A16,'WD_.PX.DJW._.PTC.2031'!$B$9:$B$47,0),1),0)</f>
        <v>134.15599051714182</v>
      </c>
      <c r="H16" s="69">
        <f>IFERROR(INDEX('PV_.PX.BDG._.PTC.2031'!$L$9:$L$47,MATCH($A16,'PV_.PX.BDG._.PTC.2031'!$B$9:$B$47,0),1),0)</f>
        <v>107.51042126327052</v>
      </c>
      <c r="I16" s="69">
        <f>IFERROR(INDEX('PV_.PX.HTG._.PTC.2031'!$L$9:$L$47,MATCH($A16,'PV_.PX.HTG._.PTC.2031'!$B$9:$B$47,0),1),0)</f>
        <v>107.51042126327052</v>
      </c>
      <c r="J16" s="69">
        <f>IFERROR(INDEX('Table 3 PV_.PX.NTN._.PTC.2031'!$L$9:$L$47,MATCH($A16,'Table 3 PV_.PX.NTN._.PTC.2031'!$B$9:$B$47,0),1),0)</f>
        <v>107.51042126327052</v>
      </c>
      <c r="K16" s="69">
        <f>IFERROR(INDEX('PV_.PX.UTS._.PTC.2031'!$M$9:$M$47,MATCH($A16,'PV_.PX.UTS._.PTC.2031'!$B$9:$B$47,0),1),0)</f>
        <v>107.51042126327052</v>
      </c>
    </row>
    <row r="17" spans="1:11">
      <c r="A17" s="68">
        <f t="shared" si="1"/>
        <v>2035</v>
      </c>
      <c r="B17" s="69">
        <f>IFERROR(INDEX('WD_.PX.BDG._.PTC.2029'!$L$9:$L$45,MATCH($A17,'WD_.PX.BDG._.PTC.2029'!$B$9:$B$45,0),1),0)</f>
        <v>140.34297816516823</v>
      </c>
      <c r="C17" s="69">
        <f>IFERROR(INDEX('WD_.PX.BDG._.PTC.2030'!$L$9:$L$47,MATCH($A17,'WD_.PX.BDG._.PTC.2030'!$B$9:$B$47,0),1),0)</f>
        <v>138.10021281699443</v>
      </c>
      <c r="D17" s="69">
        <f>IFERROR(INDEX('WD_.PX.BDG._.PTC.2031'!$L$9:$L$47,MATCH($A17,'WD_.PX.BDG._.PTC.2031'!$B$9:$B$47,0),1),0)</f>
        <v>137.08059107605141</v>
      </c>
      <c r="E17" s="69">
        <f>IFERROR(INDEX('WD_.PX.DJW._.PTC.2029'!$L$9:$L$48,MATCH($A17,'WD_.PX.DJW._.PTC.2029'!$B$9:$B$48,0),1),0)</f>
        <v>140.34297816516823</v>
      </c>
      <c r="F17" s="69">
        <f>IFERROR(INDEX('WD_.PX.DJW._.PTC.2030'!$L$9:$L$47,MATCH($A17,'WD_.PX.DJW._.PTC.2030'!$B$9:$B$47,0),1),0)</f>
        <v>138.10021281699443</v>
      </c>
      <c r="G17" s="69">
        <f>IFERROR(INDEX('WD_.PX.DJW._.PTC.2031'!$L$9:$L$47,MATCH($A17,'WD_.PX.DJW._.PTC.2031'!$B$9:$B$47,0),1),0)</f>
        <v>137.08059107605141</v>
      </c>
      <c r="H17" s="69">
        <f>IFERROR(INDEX('PV_.PX.BDG._.PTC.2031'!$L$9:$L$47,MATCH($A17,'PV_.PX.BDG._.PTC.2031'!$B$9:$B$47,0),1),0)</f>
        <v>109.85414841927098</v>
      </c>
      <c r="I17" s="69">
        <f>IFERROR(INDEX('PV_.PX.HTG._.PTC.2031'!$L$9:$L$47,MATCH($A17,'PV_.PX.HTG._.PTC.2031'!$B$9:$B$47,0),1),0)</f>
        <v>109.85414841927098</v>
      </c>
      <c r="J17" s="69">
        <f>IFERROR(INDEX('Table 3 PV_.PX.NTN._.PTC.2031'!$L$9:$L$47,MATCH($A17,'Table 3 PV_.PX.NTN._.PTC.2031'!$B$9:$B$47,0),1),0)</f>
        <v>109.85414841927098</v>
      </c>
      <c r="K17" s="69">
        <f>IFERROR(INDEX('PV_.PX.UTS._.PTC.2031'!$M$9:$M$47,MATCH($A17,'PV_.PX.UTS._.PTC.2031'!$B$9:$B$47,0),1),0)</f>
        <v>109.85414841927098</v>
      </c>
    </row>
    <row r="18" spans="1:11">
      <c r="A18" s="68">
        <f t="shared" si="1"/>
        <v>2036</v>
      </c>
      <c r="B18" s="69">
        <f>IFERROR(INDEX('WD_.PX.BDG._.PTC.2029'!$L$9:$L$45,MATCH($A18,'WD_.PX.BDG._.PTC.2029'!$B$9:$B$45,0),1),0)</f>
        <v>143.40245509016526</v>
      </c>
      <c r="C18" s="69">
        <f>IFERROR(INDEX('WD_.PX.BDG._.PTC.2030'!$L$9:$L$47,MATCH($A18,'WD_.PX.BDG._.PTC.2030'!$B$9:$B$47,0),1),0)</f>
        <v>141.1107974573853</v>
      </c>
      <c r="D18" s="69">
        <f>IFERROR(INDEX('WD_.PX.BDG._.PTC.2031'!$L$9:$L$47,MATCH($A18,'WD_.PX.BDG._.PTC.2031'!$B$9:$B$47,0),1),0)</f>
        <v>140.0689479624825</v>
      </c>
      <c r="E18" s="69">
        <f>IFERROR(INDEX('WD_.PX.DJW._.PTC.2029'!$L$9:$L$48,MATCH($A18,'WD_.PX.DJW._.PTC.2029'!$B$9:$B$48,0),1),0)</f>
        <v>143.40245509016526</v>
      </c>
      <c r="F18" s="69">
        <f>IFERROR(INDEX('WD_.PX.DJW._.PTC.2030'!$L$9:$L$47,MATCH($A18,'WD_.PX.DJW._.PTC.2030'!$B$9:$B$47,0),1),0)</f>
        <v>141.1107974573853</v>
      </c>
      <c r="G18" s="69">
        <f>IFERROR(INDEX('WD_.PX.DJW._.PTC.2031'!$L$9:$L$47,MATCH($A18,'WD_.PX.DJW._.PTC.2031'!$B$9:$B$47,0),1),0)</f>
        <v>140.0689479624825</v>
      </c>
      <c r="H18" s="69">
        <f>IFERROR(INDEX('PV_.PX.BDG._.PTC.2031'!$L$9:$L$47,MATCH($A18,'PV_.PX.BDG._.PTC.2031'!$B$9:$B$47,0),1),0)</f>
        <v>112.24896885559099</v>
      </c>
      <c r="I18" s="69">
        <f>IFERROR(INDEX('PV_.PX.HTG._.PTC.2031'!$L$9:$L$47,MATCH($A18,'PV_.PX.HTG._.PTC.2031'!$B$9:$B$47,0),1),0)</f>
        <v>112.24896885559099</v>
      </c>
      <c r="J18" s="69">
        <f>IFERROR(INDEX('Table 3 PV_.PX.NTN._.PTC.2031'!$L$9:$L$47,MATCH($A18,'Table 3 PV_.PX.NTN._.PTC.2031'!$B$9:$B$47,0),1),0)</f>
        <v>112.24896885559099</v>
      </c>
      <c r="K18" s="69">
        <f>IFERROR(INDEX('PV_.PX.UTS._.PTC.2031'!$M$9:$M$47,MATCH($A18,'PV_.PX.UTS._.PTC.2031'!$B$9:$B$47,0),1),0)</f>
        <v>112.24896885559099</v>
      </c>
    </row>
    <row r="19" spans="1:11">
      <c r="A19" s="68">
        <f t="shared" si="1"/>
        <v>2037</v>
      </c>
      <c r="B19" s="69">
        <f>IFERROR(INDEX('WD_.PX.BDG._.PTC.2029'!$L$9:$L$45,MATCH($A19,'WD_.PX.BDG._.PTC.2029'!$B$9:$B$45,0),1),0)</f>
        <v>146.52862856904096</v>
      </c>
      <c r="C19" s="69">
        <f>IFERROR(INDEX('WD_.PX.BDG._.PTC.2030'!$L$9:$L$47,MATCH($A19,'WD_.PX.BDG._.PTC.2030'!$B$9:$B$47,0),1),0)</f>
        <v>144.18701280053904</v>
      </c>
      <c r="D19" s="69">
        <f>IFERROR(INDEX('WD_.PX.BDG._.PTC.2031'!$L$9:$L$47,MATCH($A19,'WD_.PX.BDG._.PTC.2031'!$B$9:$B$47,0),1),0)</f>
        <v>143.12245098695314</v>
      </c>
      <c r="E19" s="69">
        <f>IFERROR(INDEX('WD_.PX.DJW._.PTC.2029'!$L$9:$L$48,MATCH($A19,'WD_.PX.DJW._.PTC.2029'!$B$9:$B$48,0),1),0)</f>
        <v>146.52862856904096</v>
      </c>
      <c r="F19" s="69">
        <f>IFERROR(INDEX('WD_.PX.DJW._.PTC.2030'!$L$9:$L$47,MATCH($A19,'WD_.PX.DJW._.PTC.2030'!$B$9:$B$47,0),1),0)</f>
        <v>144.18701280053904</v>
      </c>
      <c r="G19" s="69">
        <f>IFERROR(INDEX('WD_.PX.DJW._.PTC.2031'!$L$9:$L$47,MATCH($A19,'WD_.PX.DJW._.PTC.2031'!$B$9:$B$47,0),1),0)</f>
        <v>143.12245098695314</v>
      </c>
      <c r="H19" s="69">
        <f>IFERROR(INDEX('PV_.PX.BDG._.PTC.2031'!$L$9:$L$47,MATCH($A19,'PV_.PX.BDG._.PTC.2031'!$B$9:$B$47,0),1),0)</f>
        <v>114.69599634369681</v>
      </c>
      <c r="I19" s="69">
        <f>IFERROR(INDEX('PV_.PX.HTG._.PTC.2031'!$L$9:$L$47,MATCH($A19,'PV_.PX.HTG._.PTC.2031'!$B$9:$B$47,0),1),0)</f>
        <v>114.69599634369681</v>
      </c>
      <c r="J19" s="69">
        <f>IFERROR(INDEX('Table 3 PV_.PX.NTN._.PTC.2031'!$L$9:$L$47,MATCH($A19,'Table 3 PV_.PX.NTN._.PTC.2031'!$B$9:$B$47,0),1),0)</f>
        <v>114.69599634369681</v>
      </c>
      <c r="K19" s="69">
        <f>IFERROR(INDEX('PV_.PX.UTS._.PTC.2031'!$M$9:$M$47,MATCH($A19,'PV_.PX.UTS._.PTC.2031'!$B$9:$B$47,0),1),0)</f>
        <v>114.69599634369681</v>
      </c>
    </row>
    <row r="20" spans="1:11">
      <c r="A20" s="68">
        <f t="shared" si="1"/>
        <v>2038</v>
      </c>
      <c r="B20" s="69">
        <f>IFERROR(INDEX('WD_.PX.BDG._.PTC.2029'!$L$9:$L$45,MATCH($A20,'WD_.PX.BDG._.PTC.2029'!$B$9:$B$45,0),1),0)</f>
        <v>149.72295270718297</v>
      </c>
      <c r="C20" s="69">
        <f>IFERROR(INDEX('WD_.PX.BDG._.PTC.2030'!$L$9:$L$47,MATCH($A20,'WD_.PX.BDG._.PTC.2030'!$B$9:$B$47,0),1),0)</f>
        <v>147.330289714363</v>
      </c>
      <c r="D20" s="69">
        <f>IFERROR(INDEX('WD_.PX.BDG._.PTC.2031'!$L$9:$L$47,MATCH($A20,'WD_.PX.BDG._.PTC.2031'!$B$9:$B$47,0),1),0)</f>
        <v>146.24252045298422</v>
      </c>
      <c r="E20" s="69">
        <f>IFERROR(INDEX('WD_.PX.DJW._.PTC.2029'!$L$9:$L$48,MATCH($A20,'WD_.PX.DJW._.PTC.2029'!$B$9:$B$48,0),1),0)</f>
        <v>149.72295270718297</v>
      </c>
      <c r="F20" s="69">
        <f>IFERROR(INDEX('WD_.PX.DJW._.PTC.2030'!$L$9:$L$47,MATCH($A20,'WD_.PX.DJW._.PTC.2030'!$B$9:$B$47,0),1),0)</f>
        <v>147.330289714363</v>
      </c>
      <c r="G20" s="69">
        <f>IFERROR(INDEX('WD_.PX.DJW._.PTC.2031'!$L$9:$L$47,MATCH($A20,'WD_.PX.DJW._.PTC.2031'!$B$9:$B$47,0),1),0)</f>
        <v>146.24252045298422</v>
      </c>
      <c r="H20" s="69">
        <f>IFERROR(INDEX('PV_.PX.BDG._.PTC.2031'!$L$9:$L$47,MATCH($A20,'PV_.PX.BDG._.PTC.2031'!$B$9:$B$47,0),1),0)</f>
        <v>117.19636909164954</v>
      </c>
      <c r="I20" s="69">
        <f>IFERROR(INDEX('PV_.PX.HTG._.PTC.2031'!$L$9:$L$47,MATCH($A20,'PV_.PX.HTG._.PTC.2031'!$B$9:$B$47,0),1),0)</f>
        <v>117.19636909164954</v>
      </c>
      <c r="J20" s="69">
        <f>IFERROR(INDEX('Table 3 PV_.PX.NTN._.PTC.2031'!$L$9:$L$47,MATCH($A20,'Table 3 PV_.PX.NTN._.PTC.2031'!$B$9:$B$47,0),1),0)</f>
        <v>117.19636909164954</v>
      </c>
      <c r="K20" s="69">
        <f>IFERROR(INDEX('PV_.PX.UTS._.PTC.2031'!$M$9:$M$47,MATCH($A20,'PV_.PX.UTS._.PTC.2031'!$B$9:$B$47,0),1),0)</f>
        <v>117.19636909164954</v>
      </c>
    </row>
    <row r="21" spans="1:11">
      <c r="A21" s="68">
        <f t="shared" si="1"/>
        <v>2039</v>
      </c>
      <c r="B21" s="69">
        <f>IFERROR(INDEX('WD_.PX.BDG._.PTC.2029'!$L$9:$L$45,MATCH($A21,'WD_.PX.BDG._.PTC.2029'!$B$9:$B$45,0),1),0)</f>
        <v>152.98691305009541</v>
      </c>
      <c r="C21" s="69">
        <f>IFERROR(INDEX('WD_.PX.BDG._.PTC.2030'!$L$9:$L$47,MATCH($A21,'WD_.PX.BDG._.PTC.2030'!$B$9:$B$47,0),1),0)</f>
        <v>150.54209000444914</v>
      </c>
      <c r="D21" s="69">
        <f>IFERROR(INDEX('WD_.PX.BDG._.PTC.2031'!$L$9:$L$47,MATCH($A21,'WD_.PX.BDG._.PTC.2031'!$B$9:$B$47,0),1),0)</f>
        <v>149.43060737336194</v>
      </c>
      <c r="E21" s="69">
        <f>IFERROR(INDEX('WD_.PX.DJW._.PTC.2029'!$L$9:$L$48,MATCH($A21,'WD_.PX.DJW._.PTC.2029'!$B$9:$B$48,0),1),0)</f>
        <v>152.98691305009541</v>
      </c>
      <c r="F21" s="69">
        <f>IFERROR(INDEX('WD_.PX.DJW._.PTC.2030'!$L$9:$L$47,MATCH($A21,'WD_.PX.DJW._.PTC.2030'!$B$9:$B$47,0),1),0)</f>
        <v>150.54209000444914</v>
      </c>
      <c r="G21" s="69">
        <f>IFERROR(INDEX('WD_.PX.DJW._.PTC.2031'!$L$9:$L$47,MATCH($A21,'WD_.PX.DJW._.PTC.2031'!$B$9:$B$47,0),1),0)</f>
        <v>149.43060737336194</v>
      </c>
      <c r="H21" s="69">
        <f>IFERROR(INDEX('PV_.PX.BDG._.PTC.2031'!$L$9:$L$47,MATCH($A21,'PV_.PX.BDG._.PTC.2031'!$B$9:$B$47,0),1),0)</f>
        <v>119.75124991741436</v>
      </c>
      <c r="I21" s="69">
        <f>IFERROR(INDEX('PV_.PX.HTG._.PTC.2031'!$L$9:$L$47,MATCH($A21,'PV_.PX.HTG._.PTC.2031'!$B$9:$B$47,0),1),0)</f>
        <v>119.75124991741436</v>
      </c>
      <c r="J21" s="69">
        <f>IFERROR(INDEX('Table 3 PV_.PX.NTN._.PTC.2031'!$L$9:$L$47,MATCH($A21,'Table 3 PV_.PX.NTN._.PTC.2031'!$B$9:$B$47,0),1),0)</f>
        <v>119.75124991741436</v>
      </c>
      <c r="K21" s="69">
        <f>IFERROR(INDEX('PV_.PX.UTS._.PTC.2031'!$M$9:$M$47,MATCH($A21,'PV_.PX.UTS._.PTC.2031'!$B$9:$B$47,0),1),0)</f>
        <v>119.75124991741436</v>
      </c>
    </row>
    <row r="22" spans="1:11">
      <c r="A22" s="68">
        <f t="shared" si="1"/>
        <v>2040</v>
      </c>
      <c r="B22" s="69">
        <f>IFERROR(INDEX('WD_.PX.BDG._.PTC.2029'!$L$9:$L$45,MATCH($A22,'WD_.PX.BDG._.PTC.2029'!$B$9:$B$45,0),1),0)</f>
        <v>156.32202780114989</v>
      </c>
      <c r="C22" s="69">
        <f>IFERROR(INDEX('WD_.PX.BDG._.PTC.2030'!$L$9:$L$47,MATCH($A22,'WD_.PX.BDG._.PTC.2030'!$B$9:$B$47,0),1),0)</f>
        <v>153.82390761236439</v>
      </c>
      <c r="D22" s="69">
        <f>IFERROR(INDEX('WD_.PX.BDG._.PTC.2031'!$L$9:$L$47,MATCH($A22,'WD_.PX.BDG._.PTC.2031'!$B$9:$B$47,0),1),0)</f>
        <v>152.68819465958123</v>
      </c>
      <c r="E22" s="69">
        <f>IFERROR(INDEX('WD_.PX.DJW._.PTC.2029'!$L$9:$L$48,MATCH($A22,'WD_.PX.DJW._.PTC.2029'!$B$9:$B$48,0),1),0)</f>
        <v>156.32202780114989</v>
      </c>
      <c r="F22" s="69">
        <f>IFERROR(INDEX('WD_.PX.DJW._.PTC.2030'!$L$9:$L$47,MATCH($A22,'WD_.PX.DJW._.PTC.2030'!$B$9:$B$47,0),1),0)</f>
        <v>153.82390761236439</v>
      </c>
      <c r="G22" s="69">
        <f>IFERROR(INDEX('WD_.PX.DJW._.PTC.2031'!$L$9:$L$47,MATCH($A22,'WD_.PX.DJW._.PTC.2031'!$B$9:$B$47,0),1),0)</f>
        <v>152.68819465958123</v>
      </c>
      <c r="H22" s="69">
        <f>IFERROR(INDEX('PV_.PX.BDG._.PTC.2031'!$L$9:$L$47,MATCH($A22,'PV_.PX.BDG._.PTC.2031'!$B$9:$B$47,0),1),0)</f>
        <v>122.36182720206089</v>
      </c>
      <c r="I22" s="69">
        <f>IFERROR(INDEX('PV_.PX.HTG._.PTC.2031'!$L$9:$L$47,MATCH($A22,'PV_.PX.HTG._.PTC.2031'!$B$9:$B$47,0),1),0)</f>
        <v>122.36182720206089</v>
      </c>
      <c r="J22" s="69">
        <f>IFERROR(INDEX('Table 3 PV_.PX.NTN._.PTC.2031'!$L$9:$L$47,MATCH($A22,'Table 3 PV_.PX.NTN._.PTC.2031'!$B$9:$B$47,0),1),0)</f>
        <v>122.36182720206089</v>
      </c>
      <c r="K22" s="69">
        <f>IFERROR(INDEX('PV_.PX.UTS._.PTC.2031'!$M$9:$M$47,MATCH($A22,'PV_.PX.UTS._.PTC.2031'!$B$9:$B$47,0),1),0)</f>
        <v>122.36182720206089</v>
      </c>
    </row>
    <row r="23" spans="1:11">
      <c r="A23" s="68">
        <f t="shared" si="1"/>
        <v>2041</v>
      </c>
      <c r="B23" s="69">
        <f>IFERROR(INDEX('WD_.PX.BDG._.PTC.2029'!$L$9:$L$45,MATCH($A23,'WD_.PX.BDG._.PTC.2029'!$B$9:$B$45,0),1),0)</f>
        <v>159.72984793229006</v>
      </c>
      <c r="C23" s="69">
        <f>IFERROR(INDEX('WD_.PX.BDG._.PTC.2030'!$L$9:$L$47,MATCH($A23,'WD_.PX.BDG._.PTC.2030'!$B$9:$B$47,0),1),0)</f>
        <v>157.17726872458636</v>
      </c>
      <c r="D23" s="69">
        <f>IFERROR(INDEX('WD_.PX.BDG._.PTC.2031'!$L$9:$L$47,MATCH($A23,'WD_.PX.BDG._.PTC.2031'!$B$9:$B$47,0),1),0)</f>
        <v>156.0167972299769</v>
      </c>
      <c r="E23" s="69">
        <f>IFERROR(INDEX('WD_.PX.DJW._.PTC.2029'!$L$9:$L$48,MATCH($A23,'WD_.PX.DJW._.PTC.2029'!$B$9:$B$48,0),1),0)</f>
        <v>159.72984793229006</v>
      </c>
      <c r="F23" s="69">
        <f>IFERROR(INDEX('WD_.PX.DJW._.PTC.2030'!$L$9:$L$47,MATCH($A23,'WD_.PX.DJW._.PTC.2030'!$B$9:$B$47,0),1),0)</f>
        <v>157.17726872458636</v>
      </c>
      <c r="G23" s="69">
        <f>IFERROR(INDEX('WD_.PX.DJW._.PTC.2031'!$L$9:$L$47,MATCH($A23,'WD_.PX.DJW._.PTC.2031'!$B$9:$B$47,0),1),0)</f>
        <v>156.0167972299769</v>
      </c>
      <c r="H23" s="69">
        <f>IFERROR(INDEX('PV_.PX.BDG._.PTC.2031'!$L$9:$L$47,MATCH($A23,'PV_.PX.BDG._.PTC.2031'!$B$9:$B$47,0),1),0)</f>
        <v>125.02931497641799</v>
      </c>
      <c r="I23" s="69">
        <f>IFERROR(INDEX('PV_.PX.HTG._.PTC.2031'!$L$9:$L$47,MATCH($A23,'PV_.PX.HTG._.PTC.2031'!$B$9:$B$47,0),1),0)</f>
        <v>125.02931497641799</v>
      </c>
      <c r="J23" s="69">
        <f>IFERROR(INDEX('Table 3 PV_.PX.NTN._.PTC.2031'!$L$9:$L$47,MATCH($A23,'Table 3 PV_.PX.NTN._.PTC.2031'!$B$9:$B$47,0),1),0)</f>
        <v>125.02931497641799</v>
      </c>
      <c r="K23" s="69">
        <f>IFERROR(INDEX('PV_.PX.UTS._.PTC.2031'!$M$9:$M$47,MATCH($A23,'PV_.PX.UTS._.PTC.2031'!$B$9:$B$47,0),1),0)</f>
        <v>125.02931497641799</v>
      </c>
    </row>
    <row r="24" spans="1:11">
      <c r="A24" s="68">
        <f t="shared" si="1"/>
        <v>2042</v>
      </c>
      <c r="B24" s="69">
        <f>IFERROR(INDEX('WD_.PX.BDG._.PTC.2029'!$L$9:$L$45,MATCH($A24,'WD_.PX.BDG._.PTC.2029'!$B$9:$B$45,0),1),0)</f>
        <v>163.21195862319203</v>
      </c>
      <c r="C24" s="69">
        <f>IFERROR(INDEX('WD_.PX.BDG._.PTC.2030'!$L$9:$L$47,MATCH($A24,'WD_.PX.BDG._.PTC.2030'!$B$9:$B$47,0),1),0)</f>
        <v>160.60373318866488</v>
      </c>
      <c r="D24" s="69">
        <f>IFERROR(INDEX('WD_.PX.BDG._.PTC.2031'!$L$9:$L$47,MATCH($A24,'WD_.PX.BDG._.PTC.2031'!$B$9:$B$47,0),1),0)</f>
        <v>159.41796341542948</v>
      </c>
      <c r="E24" s="69">
        <f>IFERROR(INDEX('WD_.PX.DJW._.PTC.2029'!$L$9:$L$48,MATCH($A24,'WD_.PX.DJW._.PTC.2029'!$B$9:$B$48,0),1),0)</f>
        <v>163.21195862319203</v>
      </c>
      <c r="F24" s="69">
        <f>IFERROR(INDEX('WD_.PX.DJW._.PTC.2030'!$L$9:$L$47,MATCH($A24,'WD_.PX.DJW._.PTC.2030'!$B$9:$B$47,0),1),0)</f>
        <v>160.60373318866488</v>
      </c>
      <c r="G24" s="69">
        <f>IFERROR(INDEX('WD_.PX.DJW._.PTC.2031'!$L$9:$L$47,MATCH($A24,'WD_.PX.DJW._.PTC.2031'!$B$9:$B$47,0),1),0)</f>
        <v>159.41796341542948</v>
      </c>
      <c r="H24" s="69">
        <f>IFERROR(INDEX('PV_.PX.BDG._.PTC.2031'!$L$9:$L$47,MATCH($A24,'PV_.PX.BDG._.PTC.2031'!$B$9:$B$47,0),1),0)</f>
        <v>127.75495404758324</v>
      </c>
      <c r="I24" s="69">
        <f>IFERROR(INDEX('PV_.PX.HTG._.PTC.2031'!$L$9:$L$47,MATCH($A24,'PV_.PX.HTG._.PTC.2031'!$B$9:$B$47,0),1),0)</f>
        <v>127.75495404758324</v>
      </c>
      <c r="J24" s="69">
        <f>IFERROR(INDEX('Table 3 PV_.PX.NTN._.PTC.2031'!$L$9:$L$47,MATCH($A24,'Table 3 PV_.PX.NTN._.PTC.2031'!$B$9:$B$47,0),1),0)</f>
        <v>127.75495404758324</v>
      </c>
      <c r="K24" s="69">
        <f>IFERROR(INDEX('PV_.PX.UTS._.PTC.2031'!$M$9:$M$47,MATCH($A24,'PV_.PX.UTS._.PTC.2031'!$B$9:$B$47,0),1),0)</f>
        <v>127.75495404758324</v>
      </c>
    </row>
    <row r="25" spans="1:11">
      <c r="A25" s="68">
        <f t="shared" si="1"/>
        <v>2043</v>
      </c>
      <c r="B25" s="69">
        <f>IFERROR(INDEX('WD_.PX.BDG._.PTC.2029'!$L$9:$L$45,MATCH($A25,'WD_.PX.BDG._.PTC.2029'!$B$9:$B$45,0),1),0)</f>
        <v>166.7699793719689</v>
      </c>
      <c r="C25" s="69">
        <f>IFERROR(INDEX('WD_.PX.BDG._.PTC.2030'!$L$9:$L$47,MATCH($A25,'WD_.PX.BDG._.PTC.2030'!$B$9:$B$47,0),1),0)</f>
        <v>164.10489462215736</v>
      </c>
      <c r="D25" s="69">
        <f>IFERROR(INDEX('WD_.PX.BDG._.PTC.2031'!$L$9:$L$47,MATCH($A25,'WD_.PX.BDG._.PTC.2031'!$B$9:$B$47,0),1),0)</f>
        <v>162.89327506749646</v>
      </c>
      <c r="E25" s="69">
        <f>IFERROR(INDEX('WD_.PX.DJW._.PTC.2029'!$L$9:$L$48,MATCH($A25,'WD_.PX.DJW._.PTC.2029'!$B$9:$B$48,0),1),0)</f>
        <v>166.7699793719689</v>
      </c>
      <c r="F25" s="69">
        <f>IFERROR(INDEX('WD_.PX.DJW._.PTC.2030'!$L$9:$L$47,MATCH($A25,'WD_.PX.DJW._.PTC.2030'!$B$9:$B$47,0),1),0)</f>
        <v>164.10489462215736</v>
      </c>
      <c r="G25" s="69">
        <f>IFERROR(INDEX('WD_.PX.DJW._.PTC.2031'!$L$9:$L$47,MATCH($A25,'WD_.PX.DJW._.PTC.2031'!$B$9:$B$47,0),1),0)</f>
        <v>162.89327506749646</v>
      </c>
      <c r="H25" s="69">
        <f>IFERROR(INDEX('PV_.PX.BDG._.PTC.2031'!$L$9:$L$47,MATCH($A25,'PV_.PX.BDG._.PTC.2031'!$B$9:$B$47,0),1),0)</f>
        <v>130.5400120855777</v>
      </c>
      <c r="I25" s="69">
        <f>IFERROR(INDEX('PV_.PX.HTG._.PTC.2031'!$L$9:$L$47,MATCH($A25,'PV_.PX.HTG._.PTC.2031'!$B$9:$B$47,0),1),0)</f>
        <v>130.5400120855777</v>
      </c>
      <c r="J25" s="69">
        <f>IFERROR(INDEX('Table 3 PV_.PX.NTN._.PTC.2031'!$L$9:$L$47,MATCH($A25,'Table 3 PV_.PX.NTN._.PTC.2031'!$B$9:$B$47,0),1),0)</f>
        <v>130.5400120855777</v>
      </c>
      <c r="K25" s="69">
        <f>IFERROR(INDEX('PV_.PX.UTS._.PTC.2031'!$M$9:$M$47,MATCH($A25,'PV_.PX.UTS._.PTC.2031'!$B$9:$B$47,0),1),0)</f>
        <v>130.5400120855777</v>
      </c>
    </row>
    <row r="26" spans="1:11">
      <c r="A26" s="68">
        <f t="shared" si="1"/>
        <v>2044</v>
      </c>
      <c r="B26" s="69">
        <f>IFERROR(INDEX('WD_.PX.BDG._.PTC.2029'!$L$9:$L$45,MATCH($A26,'WD_.PX.BDG._.PTC.2029'!$B$9:$B$45,0),1),0)</f>
        <v>170.40556488080787</v>
      </c>
      <c r="C26" s="69">
        <f>IFERROR(INDEX('WD_.PX.BDG._.PTC.2030'!$L$9:$L$47,MATCH($A26,'WD_.PX.BDG._.PTC.2030'!$B$9:$B$47,0),1),0)</f>
        <v>167.68238128411315</v>
      </c>
      <c r="D26" s="69">
        <f>IFERROR(INDEX('WD_.PX.BDG._.PTC.2031'!$L$9:$L$47,MATCH($A26,'WD_.PX.BDG._.PTC.2031'!$B$9:$B$47,0),1),0)</f>
        <v>166.44434842346192</v>
      </c>
      <c r="E26" s="69">
        <f>IFERROR(INDEX('WD_.PX.DJW._.PTC.2029'!$L$9:$L$48,MATCH($A26,'WD_.PX.DJW._.PTC.2029'!$B$9:$B$48,0),1),0)</f>
        <v>170.40556488080787</v>
      </c>
      <c r="F26" s="69">
        <f>IFERROR(INDEX('WD_.PX.DJW._.PTC.2030'!$L$9:$L$47,MATCH($A26,'WD_.PX.DJW._.PTC.2030'!$B$9:$B$47,0),1),0)</f>
        <v>167.68238128411315</v>
      </c>
      <c r="G26" s="69">
        <f>IFERROR(INDEX('WD_.PX.DJW._.PTC.2031'!$L$9:$L$47,MATCH($A26,'WD_.PX.DJW._.PTC.2031'!$B$9:$B$47,0),1),0)</f>
        <v>166.44434842346192</v>
      </c>
      <c r="H26" s="69">
        <f>IFERROR(INDEX('PV_.PX.BDG._.PTC.2031'!$L$9:$L$47,MATCH($A26,'PV_.PX.BDG._.PTC.2031'!$B$9:$B$47,0),1),0)</f>
        <v>133.38578431658249</v>
      </c>
      <c r="I26" s="69">
        <f>IFERROR(INDEX('PV_.PX.HTG._.PTC.2031'!$L$9:$L$47,MATCH($A26,'PV_.PX.HTG._.PTC.2031'!$B$9:$B$47,0),1),0)</f>
        <v>133.38578431658249</v>
      </c>
      <c r="J26" s="69">
        <f>IFERROR(INDEX('Table 3 PV_.PX.NTN._.PTC.2031'!$L$9:$L$47,MATCH($A26,'Table 3 PV_.PX.NTN._.PTC.2031'!$B$9:$B$47,0),1),0)</f>
        <v>133.38578431658249</v>
      </c>
      <c r="K26" s="69">
        <f>IFERROR(INDEX('PV_.PX.UTS._.PTC.2031'!$M$9:$M$47,MATCH($A26,'PV_.PX.UTS._.PTC.2031'!$B$9:$B$47,0),1),0)</f>
        <v>133.38578431658249</v>
      </c>
    </row>
    <row r="27" spans="1:11">
      <c r="A27" s="68">
        <f t="shared" si="1"/>
        <v>2045</v>
      </c>
      <c r="B27" s="69">
        <f>IFERROR(INDEX('WD_.PX.BDG._.PTC.2029'!$L$9:$L$45,MATCH($A27,'WD_.PX.BDG._.PTC.2029'!$B$9:$B$45,0),1),0)</f>
        <v>174.12040627372122</v>
      </c>
      <c r="C27" s="69">
        <f>IFERROR(INDEX('WD_.PX.BDG._.PTC.2030'!$L$9:$L$47,MATCH($A27,'WD_.PX.BDG._.PTC.2030'!$B$9:$B$47,0),1),0)</f>
        <v>171.33785727336391</v>
      </c>
      <c r="D27" s="69">
        <f>IFERROR(INDEX('WD_.PX.BDG._.PTC.2031'!$L$9:$L$47,MATCH($A27,'WD_.PX.BDG._.PTC.2031'!$B$9:$B$47,0),1),0)</f>
        <v>170.07283529578007</v>
      </c>
      <c r="E27" s="69">
        <f>IFERROR(INDEX('WD_.PX.DJW._.PTC.2029'!$L$9:$L$48,MATCH($A27,'WD_.PX.DJW._.PTC.2029'!$B$9:$B$48,0),1),0)</f>
        <v>174.12040627372122</v>
      </c>
      <c r="F27" s="69">
        <f>IFERROR(INDEX('WD_.PX.DJW._.PTC.2030'!$L$9:$L$47,MATCH($A27,'WD_.PX.DJW._.PTC.2030'!$B$9:$B$47,0),1),0)</f>
        <v>171.33785727336391</v>
      </c>
      <c r="G27" s="69">
        <f>IFERROR(INDEX('WD_.PX.DJW._.PTC.2031'!$L$9:$L$47,MATCH($A27,'WD_.PX.DJW._.PTC.2031'!$B$9:$B$47,0),1),0)</f>
        <v>170.07283529578007</v>
      </c>
      <c r="H27" s="69">
        <f>IFERROR(INDEX('PV_.PX.BDG._.PTC.2031'!$L$9:$L$47,MATCH($A27,'PV_.PX.BDG._.PTC.2031'!$B$9:$B$47,0),1),0)</f>
        <v>136.29359447613942</v>
      </c>
      <c r="I27" s="69">
        <f>IFERROR(INDEX('PV_.PX.HTG._.PTC.2031'!$L$9:$L$47,MATCH($A27,'PV_.PX.HTG._.PTC.2031'!$B$9:$B$47,0),1),0)</f>
        <v>136.29359447613942</v>
      </c>
      <c r="J27" s="69">
        <f>IFERROR(INDEX('Table 3 PV_.PX.NTN._.PTC.2031'!$L$9:$L$47,MATCH($A27,'Table 3 PV_.PX.NTN._.PTC.2031'!$B$9:$B$47,0),1),0)</f>
        <v>136.29359447613942</v>
      </c>
      <c r="K27" s="69">
        <f>IFERROR(INDEX('PV_.PX.UTS._.PTC.2031'!$M$9:$M$47,MATCH($A27,'PV_.PX.UTS._.PTC.2031'!$B$9:$B$47,0),1),0)</f>
        <v>136.29359447613942</v>
      </c>
    </row>
    <row r="28" spans="1:11">
      <c r="A28" s="68">
        <f>A27+1</f>
        <v>2046</v>
      </c>
      <c r="B28" s="69">
        <f>IFERROR(INDEX('WD_.PX.BDG._.PTC.2029'!$L$9:$L$45,MATCH($A28,'WD_.PX.BDG._.PTC.2029'!$B$9:$B$45,0),1),0)</f>
        <v>177.91623109654628</v>
      </c>
      <c r="C28" s="69">
        <f>IFERROR(INDEX('WD_.PX.BDG._.PTC.2030'!$L$9:$L$47,MATCH($A28,'WD_.PX.BDG._.PTC.2030'!$B$9:$B$47,0),1),0)</f>
        <v>175.07302252852358</v>
      </c>
      <c r="D28" s="69">
        <f>IFERROR(INDEX('WD_.PX.BDG._.PTC.2031'!$L$9:$L$47,MATCH($A28,'WD_.PX.BDG._.PTC.2031'!$B$9:$B$47,0),1),0)</f>
        <v>173.78042307207502</v>
      </c>
      <c r="E28" s="69">
        <f>IFERROR(INDEX('WD_.PX.DJW._.PTC.2029'!$L$9:$L$48,MATCH($A28,'WD_.PX.DJW._.PTC.2029'!$B$9:$B$48,0),1),0)</f>
        <v>177.91623109654628</v>
      </c>
      <c r="F28" s="69">
        <f>IFERROR(INDEX('WD_.PX.DJW._.PTC.2030'!$L$9:$L$47,MATCH($A28,'WD_.PX.DJW._.PTC.2030'!$B$9:$B$47,0),1),0)</f>
        <v>175.07302252852358</v>
      </c>
      <c r="G28" s="69">
        <f>IFERROR(INDEX('WD_.PX.DJW._.PTC.2031'!$L$9:$L$47,MATCH($A28,'WD_.PX.DJW._.PTC.2031'!$B$9:$B$47,0),1),0)</f>
        <v>173.78042307207502</v>
      </c>
      <c r="H28" s="69">
        <f>IFERROR(INDEX('PV_.PX.BDG._.PTC.2031'!$L$9:$L$47,MATCH($A28,'PV_.PX.BDG._.PTC.2031'!$B$9:$B$47,0),1),0)</f>
        <v>139.26479480915094</v>
      </c>
      <c r="I28" s="69">
        <f>IFERROR(INDEX('PV_.PX.HTG._.PTC.2031'!$L$9:$L$47,MATCH($A28,'PV_.PX.HTG._.PTC.2031'!$B$9:$B$47,0),1),0)</f>
        <v>139.26479480915094</v>
      </c>
      <c r="J28" s="69">
        <f>IFERROR(INDEX('Table 3 PV_.PX.NTN._.PTC.2031'!$L$9:$L$47,MATCH($A28,'Table 3 PV_.PX.NTN._.PTC.2031'!$B$9:$B$47,0),1),0)</f>
        <v>139.26479480915094</v>
      </c>
      <c r="K28" s="69">
        <f>IFERROR(INDEX('PV_.PX.UTS._.PTC.2031'!$M$9:$M$47,MATCH($A28,'PV_.PX.UTS._.PTC.2031'!$B$9:$B$47,0),1),0)</f>
        <v>139.26479480915094</v>
      </c>
    </row>
    <row r="29" spans="1:11">
      <c r="A29" s="68">
        <f>A28+1</f>
        <v>2047</v>
      </c>
      <c r="B29" s="69">
        <f>IFERROR(INDEX('WD_.PX.BDG._.PTC.2029'!$L$9:$L$45,MATCH($A29,'WD_.PX.BDG._.PTC.2029'!$B$9:$B$45,0),1),0)</f>
        <v>181.79480486681047</v>
      </c>
      <c r="C29" s="69">
        <f>IFERROR(INDEX('WD_.PX.BDG._.PTC.2030'!$L$9:$L$47,MATCH($A29,'WD_.PX.BDG._.PTC.2030'!$B$9:$B$47,0),1),0)</f>
        <v>178.88961435308579</v>
      </c>
      <c r="D29" s="69">
        <f>IFERROR(INDEX('WD_.PX.BDG._.PTC.2031'!$L$9:$L$47,MATCH($A29,'WD_.PX.BDG._.PTC.2031'!$B$9:$B$47,0),1),0)</f>
        <v>177.56883622897806</v>
      </c>
      <c r="E29" s="69">
        <f>IFERROR(INDEX('WD_.PX.DJW._.PTC.2029'!$L$9:$L$48,MATCH($A29,'WD_.PX.DJW._.PTC.2029'!$B$9:$B$48,0),1),0)</f>
        <v>181.79480486681047</v>
      </c>
      <c r="F29" s="69">
        <f>IFERROR(INDEX('WD_.PX.DJW._.PTC.2030'!$L$9:$L$47,MATCH($A29,'WD_.PX.DJW._.PTC.2030'!$B$9:$B$47,0),1),0)</f>
        <v>178.88961435308579</v>
      </c>
      <c r="G29" s="69">
        <f>IFERROR(INDEX('WD_.PX.DJW._.PTC.2031'!$L$9:$L$47,MATCH($A29,'WD_.PX.DJW._.PTC.2031'!$B$9:$B$47,0),1),0)</f>
        <v>177.56883622897806</v>
      </c>
      <c r="H29" s="69">
        <f>IFERROR(INDEX('PV_.PX.BDG._.PTC.2031'!$L$9:$L$47,MATCH($A29,'PV_.PX.BDG._.PTC.2031'!$B$9:$B$47,0),1),0)</f>
        <v>142.30076728304451</v>
      </c>
      <c r="I29" s="69">
        <f>IFERROR(INDEX('PV_.PX.HTG._.PTC.2031'!$L$9:$L$47,MATCH($A29,'PV_.PX.HTG._.PTC.2031'!$B$9:$B$47,0),1),0)</f>
        <v>142.30076728304451</v>
      </c>
      <c r="J29" s="69">
        <f>IFERROR(INDEX('Table 3 PV_.PX.NTN._.PTC.2031'!$L$9:$L$47,MATCH($A29,'Table 3 PV_.PX.NTN._.PTC.2031'!$B$9:$B$47,0),1),0)</f>
        <v>142.30076728304451</v>
      </c>
      <c r="K29" s="69">
        <f>IFERROR(INDEX('PV_.PX.UTS._.PTC.2031'!$M$9:$M$47,MATCH($A29,'PV_.PX.UTS._.PTC.2031'!$B$9:$B$47,0),1),0)</f>
        <v>142.30076728304451</v>
      </c>
    </row>
    <row r="30" spans="1:11">
      <c r="A30" s="68">
        <f>A29+1</f>
        <v>2048</v>
      </c>
      <c r="B30" s="69">
        <f>IFERROR(INDEX('WD_.PX.BDG._.PTC.2029'!$L$9:$L$45,MATCH($A30,'WD_.PX.BDG._.PTC.2029'!$B$9:$B$45,0),1),0)</f>
        <v>185.75793154379184</v>
      </c>
      <c r="C30" s="69">
        <f>IFERROR(INDEX('WD_.PX.BDG._.PTC.2030'!$L$9:$L$47,MATCH($A30,'WD_.PX.BDG._.PTC.2030'!$B$9:$B$47,0),1),0)</f>
        <v>182.78940787797245</v>
      </c>
      <c r="D30" s="69">
        <f>IFERROR(INDEX('WD_.PX.BDG._.PTC.2031'!$L$9:$L$47,MATCH($A30,'WD_.PX.BDG._.PTC.2031'!$B$9:$B$47,0),1),0)</f>
        <v>181.43983679126131</v>
      </c>
      <c r="E30" s="69">
        <f>IFERROR(INDEX('WD_.PX.DJW._.PTC.2029'!$L$9:$L$48,MATCH($A30,'WD_.PX.DJW._.PTC.2029'!$B$9:$B$48,0),1),0)</f>
        <v>185.75793154379184</v>
      </c>
      <c r="F30" s="69">
        <f>IFERROR(INDEX('WD_.PX.DJW._.PTC.2030'!$L$9:$L$47,MATCH($A30,'WD_.PX.DJW._.PTC.2030'!$B$9:$B$47,0),1),0)</f>
        <v>182.78940787797245</v>
      </c>
      <c r="G30" s="69">
        <f>IFERROR(INDEX('WD_.PX.DJW._.PTC.2031'!$L$9:$L$47,MATCH($A30,'WD_.PX.DJW._.PTC.2031'!$B$9:$B$47,0),1),0)</f>
        <v>181.43983679126131</v>
      </c>
      <c r="H30" s="69">
        <f>IFERROR(INDEX('PV_.PX.BDG._.PTC.2031'!$L$9:$L$47,MATCH($A30,'PV_.PX.BDG._.PTC.2031'!$B$9:$B$47,0),1),0)</f>
        <v>145.4029239557147</v>
      </c>
      <c r="I30" s="69">
        <f>IFERROR(INDEX('PV_.PX.HTG._.PTC.2031'!$L$9:$L$47,MATCH($A30,'PV_.PX.HTG._.PTC.2031'!$B$9:$B$47,0),1),0)</f>
        <v>145.4029239557147</v>
      </c>
      <c r="J30" s="69">
        <f>IFERROR(INDEX('Table 3 PV_.PX.NTN._.PTC.2031'!$L$9:$L$47,MATCH($A30,'Table 3 PV_.PX.NTN._.PTC.2031'!$B$9:$B$47,0),1),0)</f>
        <v>145.4029239557147</v>
      </c>
      <c r="K30" s="69">
        <f>IFERROR(INDEX('PV_.PX.UTS._.PTC.2031'!$M$9:$M$47,MATCH($A30,'PV_.PX.UTS._.PTC.2031'!$B$9:$B$47,0),1),0)</f>
        <v>145.4029239557147</v>
      </c>
    </row>
    <row r="31" spans="1:11">
      <c r="A31" s="68">
        <f>A30+1</f>
        <v>2049</v>
      </c>
      <c r="B31" s="69">
        <f>IFERROR(INDEX('WD_.PX.BDG._.PTC.2029'!$L$9:$L$45,MATCH($A31,'WD_.PX.BDG._.PTC.2029'!$B$9:$B$45,0),1),0)</f>
        <v>189.80745438082474</v>
      </c>
      <c r="C31" s="69">
        <f>IFERROR(INDEX('WD_.PX.BDG._.PTC.2030'!$L$9:$L$47,MATCH($A31,'WD_.PX.BDG._.PTC.2030'!$B$9:$B$47,0),1),0)</f>
        <v>186.77421690021902</v>
      </c>
      <c r="D31" s="69">
        <f>IFERROR(INDEX('WD_.PX.BDG._.PTC.2031'!$L$9:$L$47,MATCH($A31,'WD_.PX.BDG._.PTC.2031'!$B$9:$B$47,0),1),0)</f>
        <v>185.39522516433067</v>
      </c>
      <c r="E31" s="69">
        <f>IFERROR(INDEX('WD_.PX.DJW._.PTC.2029'!$L$9:$L$48,MATCH($A31,'WD_.PX.DJW._.PTC.2029'!$B$9:$B$48,0),1),0)</f>
        <v>189.80745438082474</v>
      </c>
      <c r="F31" s="69">
        <f>IFERROR(INDEX('WD_.PX.DJW._.PTC.2030'!$L$9:$L$47,MATCH($A31,'WD_.PX.DJW._.PTC.2030'!$B$9:$B$47,0),1),0)</f>
        <v>186.77421690021902</v>
      </c>
      <c r="G31" s="69">
        <f>IFERROR(INDEX('WD_.PX.DJW._.PTC.2031'!$L$9:$L$47,MATCH($A31,'WD_.PX.DJW._.PTC.2031'!$B$9:$B$47,0),1),0)</f>
        <v>185.39522516433067</v>
      </c>
      <c r="H31" s="69">
        <f>IFERROR(INDEX('PV_.PX.BDG._.PTC.2031'!$L$9:$L$47,MATCH($A31,'PV_.PX.BDG._.PTC.2031'!$B$9:$B$47,0),1),0)</f>
        <v>148.57270764266974</v>
      </c>
      <c r="I31" s="69">
        <f>IFERROR(INDEX('PV_.PX.HTG._.PTC.2031'!$L$9:$L$47,MATCH($A31,'PV_.PX.HTG._.PTC.2031'!$B$9:$B$47,0),1),0)</f>
        <v>148.57270764266974</v>
      </c>
      <c r="J31" s="69">
        <f>IFERROR(INDEX('Table 3 PV_.PX.NTN._.PTC.2031'!$L$9:$L$47,MATCH($A31,'Table 3 PV_.PX.NTN._.PTC.2031'!$B$9:$B$47,0),1),0)</f>
        <v>148.57270764266974</v>
      </c>
      <c r="K31" s="69">
        <f>IFERROR(INDEX('PV_.PX.UTS._.PTC.2031'!$M$9:$M$47,MATCH($A31,'PV_.PX.UTS._.PTC.2031'!$B$9:$B$47,0),1),0)</f>
        <v>148.57270764266974</v>
      </c>
    </row>
    <row r="32" spans="1:11">
      <c r="A32" s="68">
        <f>A31+1</f>
        <v>2050</v>
      </c>
      <c r="B32" s="69">
        <f>IFERROR(INDEX('WD_.PX.BDG._.PTC.2029'!$L$9:$L$45,MATCH($A32,'WD_.PX.BDG._.PTC.2029'!$B$9:$B$45,0),1),0)</f>
        <v>183.18893035202484</v>
      </c>
      <c r="C32" s="69">
        <f>IFERROR(INDEX('WD_.PX.BDG._.PTC.2030'!$L$9:$L$47,MATCH($A32,'WD_.PX.BDG._.PTC.2030'!$B$9:$B$47,0),1),0)</f>
        <v>190.84589475763559</v>
      </c>
      <c r="D32" s="69">
        <f>IFERROR(INDEX('WD_.PX.BDG._.PTC.2031'!$L$9:$L$47,MATCH($A32,'WD_.PX.BDG._.PTC.2031'!$B$9:$B$47,0),1),0)</f>
        <v>189.43684100242913</v>
      </c>
      <c r="E32" s="69">
        <f>IFERROR(INDEX('WD_.PX.DJW._.PTC.2029'!$L$9:$L$48,MATCH($A32,'WD_.PX.DJW._.PTC.2029'!$B$9:$B$48,0),1),0)</f>
        <v>193.94525681416536</v>
      </c>
      <c r="F32" s="69">
        <f>IFERROR(INDEX('WD_.PX.DJW._.PTC.2030'!$L$9:$L$47,MATCH($A32,'WD_.PX.DJW._.PTC.2030'!$B$9:$B$47,0),1),0)</f>
        <v>190.84589475763559</v>
      </c>
      <c r="G32" s="69">
        <f>IFERROR(INDEX('WD_.PX.DJW._.PTC.2031'!$L$9:$L$47,MATCH($A32,'WD_.PX.DJW._.PTC.2031'!$B$9:$B$47,0),1),0)</f>
        <v>189.43684100242913</v>
      </c>
      <c r="H32" s="69">
        <f>IFERROR(INDEX('PV_.PX.BDG._.PTC.2031'!$L$9:$L$47,MATCH($A32,'PV_.PX.BDG._.PTC.2031'!$B$9:$B$47,0),1),0)</f>
        <v>151.81159261279529</v>
      </c>
      <c r="I32" s="69">
        <f>IFERROR(INDEX('PV_.PX.HTG._.PTC.2031'!$L$9:$L$47,MATCH($A32,'PV_.PX.HTG._.PTC.2031'!$B$9:$B$47,0),1),0)</f>
        <v>151.81159261279529</v>
      </c>
      <c r="J32" s="69">
        <f>IFERROR(INDEX('Table 3 PV_.PX.NTN._.PTC.2031'!$L$9:$L$47,MATCH($A32,'Table 3 PV_.PX.NTN._.PTC.2031'!$B$9:$B$47,0),1),0)</f>
        <v>151.81159261279529</v>
      </c>
      <c r="K32" s="69">
        <f>IFERROR(INDEX('PV_.PX.UTS._.PTC.2031'!$M$9:$M$47,MATCH($A32,'PV_.PX.UTS._.PTC.2031'!$B$9:$B$47,0),1),0)</f>
        <v>151.81159261279529</v>
      </c>
    </row>
    <row r="33" spans="1:11">
      <c r="A33" s="68">
        <f t="shared" ref="A33:A37" si="2">A32+1</f>
        <v>2051</v>
      </c>
      <c r="B33" s="69">
        <f>IFERROR(INDEX('WD_.PX.BDG._.PTC.2029'!$L$9:$L$45,MATCH($A33,'WD_.PX.BDG._.PTC.2029'!$B$9:$B$45,0),1),0)</f>
        <v>187.18244901604126</v>
      </c>
      <c r="C33" s="69">
        <f>IFERROR(INDEX('WD_.PX.BDG._.PTC.2030'!$L$9:$L$47,MATCH($A33,'WD_.PX.BDG._.PTC.2030'!$B$9:$B$47,0),1),0)</f>
        <v>195.00633519079582</v>
      </c>
      <c r="D33" s="69">
        <f>IFERROR(INDEX('WD_.PX.BDG._.PTC.2031'!$L$9:$L$47,MATCH($A33,'WD_.PX.BDG._.PTC.2031'!$B$9:$B$47,0),1),0)</f>
        <v>193.56656406426157</v>
      </c>
      <c r="E33" s="69">
        <f>IFERROR(INDEX('WD_.PX.DJW._.PTC.2029'!$L$9:$L$48,MATCH($A33,'WD_.PX.DJW._.PTC.2029'!$B$9:$B$48,0),1),0)</f>
        <v>198.17326333897967</v>
      </c>
      <c r="F33" s="69">
        <f>IFERROR(INDEX('WD_.PX.DJW._.PTC.2030'!$L$9:$L$47,MATCH($A33,'WD_.PX.DJW._.PTC.2030'!$B$9:$B$47,0),1),0)</f>
        <v>195.00633519079582</v>
      </c>
      <c r="G33" s="69">
        <f>IFERROR(INDEX('WD_.PX.DJW._.PTC.2031'!$L$9:$L$47,MATCH($A33,'WD_.PX.DJW._.PTC.2031'!$B$9:$B$47,0),1),0)</f>
        <v>193.56656406426157</v>
      </c>
      <c r="H33" s="69">
        <f>IFERROR(INDEX('PV_.PX.BDG._.PTC.2031'!$L$9:$L$47,MATCH($A33,'PV_.PX.BDG._.PTC.2031'!$B$9:$B$47,0),1),0)</f>
        <v>155.12108527403822</v>
      </c>
      <c r="I33" s="69">
        <f>IFERROR(INDEX('PV_.PX.HTG._.PTC.2031'!$L$9:$L$47,MATCH($A33,'PV_.PX.HTG._.PTC.2031'!$B$9:$B$47,0),1),0)</f>
        <v>155.12108527403822</v>
      </c>
      <c r="J33" s="69">
        <f>IFERROR(INDEX('Table 3 PV_.PX.NTN._.PTC.2031'!$L$9:$L$47,MATCH($A33,'Table 3 PV_.PX.NTN._.PTC.2031'!$B$9:$B$47,0),1),0)</f>
        <v>0</v>
      </c>
      <c r="K33" s="69">
        <f>IFERROR(INDEX('PV_.PX.UTS._.PTC.2031'!$M$9:$M$47,MATCH($A33,'PV_.PX.UTS._.PTC.2031'!$B$9:$B$47,0),1),0)</f>
        <v>155.12108527403822</v>
      </c>
    </row>
    <row r="34" spans="1:11">
      <c r="A34" s="68">
        <f t="shared" si="2"/>
        <v>2052</v>
      </c>
      <c r="B34" s="69">
        <f>IFERROR(INDEX('WD_.PX.BDG._.PTC.2029'!$L$9:$L$45,MATCH($A34,'WD_.PX.BDG._.PTC.2029'!$B$9:$B$45,0),1),0)</f>
        <v>191.26302629311488</v>
      </c>
      <c r="C34" s="69">
        <f>IFERROR(INDEX('WD_.PX.BDG._.PTC.2030'!$L$9:$L$47,MATCH($A34,'WD_.PX.BDG._.PTC.2030'!$B$9:$B$47,0),1),0)</f>
        <v>199.25747322381727</v>
      </c>
      <c r="D34" s="69">
        <f>IFERROR(INDEX('WD_.PX.BDG._.PTC.2031'!$L$9:$L$47,MATCH($A34,'WD_.PX.BDG._.PTC.2031'!$B$9:$B$47,0),1),0)</f>
        <v>197.78631508727193</v>
      </c>
      <c r="E34" s="69">
        <f>IFERROR(INDEX('WD_.PX.DJW._.PTC.2029'!$L$9:$L$48,MATCH($A34,'WD_.PX.DJW._.PTC.2029'!$B$9:$B$48,0),1),0)</f>
        <v>202.49344040442753</v>
      </c>
      <c r="F34" s="69">
        <f>IFERROR(INDEX('WD_.PX.DJW._.PTC.2030'!$L$9:$L$47,MATCH($A34,'WD_.PX.DJW._.PTC.2030'!$B$9:$B$47,0),1),0)</f>
        <v>199.25747322381727</v>
      </c>
      <c r="G34" s="69">
        <f>IFERROR(INDEX('WD_.PX.DJW._.PTC.2031'!$L$9:$L$47,MATCH($A34,'WD_.PX.DJW._.PTC.2031'!$B$9:$B$47,0),1),0)</f>
        <v>197.78631508727193</v>
      </c>
      <c r="H34" s="69">
        <f>IFERROR(INDEX('PV_.PX.BDG._.PTC.2031'!$L$9:$L$47,MATCH($A34,'PV_.PX.BDG._.PTC.2031'!$B$9:$B$47,0),1),0)</f>
        <v>158.50272487403802</v>
      </c>
      <c r="I34" s="69">
        <f>IFERROR(INDEX('PV_.PX.HTG._.PTC.2031'!$L$9:$L$47,MATCH($A34,'PV_.PX.HTG._.PTC.2031'!$B$9:$B$47,0),1),0)</f>
        <v>158.50272487403802</v>
      </c>
      <c r="J34" s="69">
        <f>IFERROR(INDEX('Table 3 PV_.PX.NTN._.PTC.2031'!$L$9:$L$47,MATCH($A34,'Table 3 PV_.PX.NTN._.PTC.2031'!$B$9:$B$47,0),1),0)</f>
        <v>0</v>
      </c>
      <c r="K34" s="69">
        <f>IFERROR(INDEX('PV_.PX.UTS._.PTC.2031'!$M$9:$M$47,MATCH($A34,'PV_.PX.UTS._.PTC.2031'!$B$9:$B$47,0),1),0)</f>
        <v>158.50272487403802</v>
      </c>
    </row>
    <row r="35" spans="1:11">
      <c r="A35" s="68">
        <f t="shared" si="2"/>
        <v>2053</v>
      </c>
      <c r="B35" s="69">
        <f>IFERROR(INDEX('WD_.PX.BDG._.PTC.2029'!$L$9:$L$45,MATCH($A35,'WD_.PX.BDG._.PTC.2029'!$B$9:$B$45,0),1),0)</f>
        <v>195.43256023718754</v>
      </c>
      <c r="C35" s="69">
        <f>IFERROR(INDEX('WD_.PX.BDG._.PTC.2030'!$L$9:$L$47,MATCH($A35,'WD_.PX.BDG._.PTC.2030'!$B$9:$B$47,0),1),0)</f>
        <v>203.60128606434233</v>
      </c>
      <c r="D35" s="69">
        <f>IFERROR(INDEX('WD_.PX.BDG._.PTC.2031'!$L$9:$L$47,MATCH($A35,'WD_.PX.BDG._.PTC.2031'!$B$9:$B$47,0),1),0)</f>
        <v>202.09805668097965</v>
      </c>
      <c r="E35" s="69">
        <f>IFERROR(INDEX('WD_.PX.DJW._.PTC.2029'!$L$9:$L$48,MATCH($A35,'WD_.PX.DJW._.PTC.2029'!$B$9:$B$48,0),1),0)</f>
        <v>206.90779732825973</v>
      </c>
      <c r="F35" s="69">
        <f>IFERROR(INDEX('WD_.PX.DJW._.PTC.2030'!$L$9:$L$47,MATCH($A35,'WD_.PX.DJW._.PTC.2030'!$B$9:$B$47,0),1),0)</f>
        <v>203.60128606434233</v>
      </c>
      <c r="G35" s="69">
        <f>IFERROR(INDEX('WD_.PX.DJW._.PTC.2031'!$L$9:$L$47,MATCH($A35,'WD_.PX.DJW._.PTC.2031'!$B$9:$B$47,0),1),0)</f>
        <v>202.09805668097965</v>
      </c>
      <c r="H35" s="69">
        <f>IFERROR(INDEX('PV_.PX.BDG._.PTC.2031'!$L$9:$L$47,MATCH($A35,'PV_.PX.BDG._.PTC.2031'!$B$9:$B$47,0),1),0)</f>
        <v>161.9580842160322</v>
      </c>
      <c r="I35" s="69">
        <f>IFERROR(INDEX('PV_.PX.HTG._.PTC.2031'!$L$9:$L$47,MATCH($A35,'PV_.PX.HTG._.PTC.2031'!$B$9:$B$47,0),1),0)</f>
        <v>161.9580842160322</v>
      </c>
      <c r="J35" s="69">
        <f>IFERROR(INDEX('Table 3 PV_.PX.NTN._.PTC.2031'!$L$9:$L$47,MATCH($A35,'Table 3 PV_.PX.NTN._.PTC.2031'!$B$9:$B$47,0),1),0)</f>
        <v>0</v>
      </c>
      <c r="K35" s="69">
        <f>IFERROR(INDEX('PV_.PX.UTS._.PTC.2031'!$M$9:$M$47,MATCH($A35,'PV_.PX.UTS._.PTC.2031'!$B$9:$B$47,0),1),0)</f>
        <v>161.9580842160322</v>
      </c>
    </row>
    <row r="36" spans="1:11">
      <c r="A36" s="68">
        <f t="shared" si="2"/>
        <v>2054</v>
      </c>
      <c r="B36" s="69">
        <f>IFERROR(INDEX('WD_.PX.BDG._.PTC.2029'!$L$9:$L$45,MATCH($A36,'WD_.PX.BDG._.PTC.2029'!$B$9:$B$45,0),1),0)</f>
        <v>199.69299002207569</v>
      </c>
      <c r="C36" s="69">
        <f>IFERROR(INDEX('WD_.PX.BDG._.PTC.2030'!$L$9:$L$47,MATCH($A36,'WD_.PX.BDG._.PTC.2030'!$B$9:$B$47,0),1),0)</f>
        <v>208.03979402313945</v>
      </c>
      <c r="D36" s="69">
        <f>IFERROR(INDEX('WD_.PX.BDG._.PTC.2031'!$L$9:$L$47,MATCH($A36,'WD_.PX.BDG._.PTC.2031'!$B$9:$B$47,0),1),0)</f>
        <v>206.50379423979092</v>
      </c>
      <c r="E36" s="69">
        <f>IFERROR(INDEX('WD_.PX.DJW._.PTC.2029'!$L$9:$L$48,MATCH($A36,'WD_.PX.DJW._.PTC.2029'!$B$9:$B$48,0),1),0)</f>
        <v>211.41838723135322</v>
      </c>
      <c r="F36" s="69">
        <f>IFERROR(INDEX('WD_.PX.DJW._.PTC.2030'!$L$9:$L$47,MATCH($A36,'WD_.PX.DJW._.PTC.2030'!$B$9:$B$47,0),1),0)</f>
        <v>208.03979402313945</v>
      </c>
      <c r="G36" s="69">
        <f>IFERROR(INDEX('WD_.PX.DJW._.PTC.2031'!$L$9:$L$47,MATCH($A36,'WD_.PX.DJW._.PTC.2031'!$B$9:$B$47,0),1),0)</f>
        <v>206.50379423979092</v>
      </c>
      <c r="H36" s="69">
        <f>IFERROR(INDEX('PV_.PX.BDG._.PTC.2031'!$L$9:$L$47,MATCH($A36,'PV_.PX.BDG._.PTC.2031'!$B$9:$B$47,0),1),0)</f>
        <v>165.48877039036819</v>
      </c>
      <c r="I36" s="69">
        <f>IFERROR(INDEX('PV_.PX.HTG._.PTC.2031'!$L$9:$L$47,MATCH($A36,'PV_.PX.HTG._.PTC.2031'!$B$9:$B$47,0),1),0)</f>
        <v>165.48877039036819</v>
      </c>
      <c r="J36" s="69">
        <f>IFERROR(INDEX('Table 3 PV_.PX.NTN._.PTC.2031'!$L$9:$L$47,MATCH($A36,'Table 3 PV_.PX.NTN._.PTC.2031'!$B$9:$B$47,0),1),0)</f>
        <v>0</v>
      </c>
      <c r="K36" s="69">
        <f>IFERROR(INDEX('PV_.PX.UTS._.PTC.2031'!$M$9:$M$47,MATCH($A36,'PV_.PX.UTS._.PTC.2031'!$B$9:$B$47,0),1),0)</f>
        <v>165.48877039036819</v>
      </c>
    </row>
    <row r="37" spans="1:11">
      <c r="A37" s="68">
        <f t="shared" si="2"/>
        <v>2055</v>
      </c>
      <c r="B37" s="69">
        <f>IFERROR(INDEX('WD_.PX.BDG._.PTC.2029'!$L$9:$L$45,MATCH($A37,'WD_.PX.BDG._.PTC.2029'!$B$9:$B$45,0),1),0)</f>
        <v>204.04629710776896</v>
      </c>
      <c r="C37" s="69">
        <f>IFERROR(INDEX('WD_.PX.BDG._.PTC.2030'!$L$9:$L$47,MATCH($A37,'WD_.PX.BDG._.PTC.2030'!$B$9:$B$47,0),1),0)</f>
        <v>212.57506145375086</v>
      </c>
      <c r="D37" s="69">
        <f>IFERROR(INDEX('WD_.PX.BDG._.PTC.2031'!$L$9:$L$47,MATCH($A37,'WD_.PX.BDG._.PTC.2031'!$B$9:$B$47,0),1),0)</f>
        <v>211.00557687570932</v>
      </c>
      <c r="E37" s="69">
        <f>IFERROR(INDEX('WD_.PX.DJW._.PTC.2029'!$L$9:$L$48,MATCH($A37,'WD_.PX.DJW._.PTC.2029'!$B$9:$B$48,0),1),0)</f>
        <v>216.02730799261931</v>
      </c>
      <c r="F37" s="69">
        <f>IFERROR(INDEX('WD_.PX.DJW._.PTC.2030'!$L$9:$L$47,MATCH($A37,'WD_.PX.DJW._.PTC.2030'!$B$9:$B$47,0),1),0)</f>
        <v>212.57506145375086</v>
      </c>
      <c r="G37" s="69">
        <f>IFERROR(INDEX('WD_.PX.DJW._.PTC.2031'!$L$9:$L$47,MATCH($A37,'WD_.PX.DJW._.PTC.2031'!$B$9:$B$47,0),1),0)</f>
        <v>211.00557687570932</v>
      </c>
      <c r="H37" s="69">
        <f>IFERROR(INDEX('PV_.PX.BDG._.PTC.2031'!$L$9:$L$47,MATCH($A37,'PV_.PX.BDG._.PTC.2031'!$B$9:$B$47,0),1),0)</f>
        <v>169.0964255219624</v>
      </c>
      <c r="I37" s="69">
        <f>IFERROR(INDEX('PV_.PX.HTG._.PTC.2031'!$L$9:$L$47,MATCH($A37,'PV_.PX.HTG._.PTC.2031'!$B$9:$B$47,0),1),0)</f>
        <v>169.0964255219624</v>
      </c>
      <c r="J37" s="69">
        <f>IFERROR(INDEX('Table 3 PV_.PX.NTN._.PTC.2031'!$L$9:$L$47,MATCH($A37,'Table 3 PV_.PX.NTN._.PTC.2031'!$B$9:$B$47,0),1),0)</f>
        <v>0</v>
      </c>
      <c r="K37" s="69">
        <f>IFERROR(INDEX('PV_.PX.UTS._.PTC.2031'!$M$9:$M$47,MATCH($A37,'PV_.PX.UTS._.PTC.2031'!$B$9:$B$47,0),1),0)</f>
        <v>169.0964255219624</v>
      </c>
    </row>
    <row r="38" spans="1:11">
      <c r="A38" s="68"/>
      <c r="B38" s="166"/>
      <c r="C38" s="166"/>
      <c r="D38" s="166"/>
      <c r="E38" s="167"/>
      <c r="F38" s="167"/>
      <c r="G38" s="167"/>
    </row>
    <row r="39" spans="1:11">
      <c r="A39" t="s">
        <v>197</v>
      </c>
    </row>
    <row r="40" spans="1:11" s="172" customFormat="1">
      <c r="A40" s="171" t="s">
        <v>9</v>
      </c>
      <c r="B40" s="179">
        <f t="shared" ref="B40:K40" ca="1" si="3">-PMT(Discount_Rate,15,NPV(Discount_Rate,OFFSET(B6,B$3-$A$6,0,15)))</f>
        <v>140.51386583613538</v>
      </c>
      <c r="C40" s="179">
        <f t="shared" ca="1" si="3"/>
        <v>141.28262005030541</v>
      </c>
      <c r="D40" s="179">
        <f t="shared" ca="1" si="3"/>
        <v>143.29672309964167</v>
      </c>
      <c r="E40" s="179">
        <f t="shared" ca="1" si="3"/>
        <v>140.51386583613538</v>
      </c>
      <c r="F40" s="179">
        <f t="shared" ca="1" si="3"/>
        <v>141.28262005030541</v>
      </c>
      <c r="G40" s="179">
        <f t="shared" ca="1" si="3"/>
        <v>143.29672309964167</v>
      </c>
      <c r="H40" s="179">
        <f t="shared" ca="1" si="3"/>
        <v>114.83565517053975</v>
      </c>
      <c r="I40" s="179">
        <f t="shared" ca="1" si="3"/>
        <v>114.83565517053975</v>
      </c>
      <c r="J40" s="179">
        <f t="shared" ca="1" si="3"/>
        <v>114.83565517053975</v>
      </c>
      <c r="K40" s="179">
        <f t="shared" ca="1" si="3"/>
        <v>114.83565517053975</v>
      </c>
    </row>
    <row r="41" spans="1:11">
      <c r="A41" t="s">
        <v>32</v>
      </c>
      <c r="B41" s="162">
        <f>'WD_.PX.BDG._.PTC.2029'!$R$59</f>
        <v>100</v>
      </c>
      <c r="C41" s="162">
        <f>'WD_.PX.BDG._.PTC.2030'!$R$59</f>
        <v>100</v>
      </c>
      <c r="D41" s="162">
        <f>'WD_.PX.BDG._.PTC.2031'!$R$59</f>
        <v>100</v>
      </c>
      <c r="E41" s="162">
        <f>'WD_.PX.DJW._.PTC.2029'!$R$59</f>
        <v>100</v>
      </c>
      <c r="F41" s="162">
        <f>'WD_.PX.DJW._.PTC.2030'!$R$59</f>
        <v>100</v>
      </c>
      <c r="G41" s="162">
        <f>'WD_.PX.DJW._.PTC.2031'!$R$59</f>
        <v>244.18979999999999</v>
      </c>
      <c r="H41" s="162">
        <f>'PV_.PX.BDG._.PTC.2031'!$R$59</f>
        <v>88.5</v>
      </c>
      <c r="I41" s="162">
        <f>'PV_.PX.HTG._.PTC.2031'!$R$59</f>
        <v>405.94040000000001</v>
      </c>
      <c r="J41" s="162">
        <f>'Table 3 PV_.PX.NTN._.PTC.2031'!$R$59</f>
        <v>100</v>
      </c>
      <c r="K41" s="162">
        <f>'PV_.PX.UTS._.PTC.2031'!$S$59</f>
        <v>73.5</v>
      </c>
    </row>
    <row r="42" spans="1:11" s="263" customFormat="1">
      <c r="A42" s="263" t="s">
        <v>294</v>
      </c>
      <c r="B42" s="311"/>
      <c r="C42" s="311"/>
      <c r="D42" s="311"/>
      <c r="E42" s="311"/>
      <c r="F42" s="311"/>
      <c r="G42" s="311"/>
      <c r="H42" s="311"/>
      <c r="I42" s="311"/>
      <c r="J42" s="311"/>
      <c r="K42" s="311"/>
    </row>
    <row r="43" spans="1:11">
      <c r="C43" t="s">
        <v>87</v>
      </c>
    </row>
    <row r="44" spans="1:11">
      <c r="A44" s="170" t="s">
        <v>193</v>
      </c>
      <c r="B44" s="147" t="s">
        <v>83</v>
      </c>
      <c r="C44" s="147" t="s">
        <v>9</v>
      </c>
      <c r="D44" s="147" t="s">
        <v>32</v>
      </c>
      <c r="E44" s="147" t="s">
        <v>237</v>
      </c>
      <c r="G44" s="147"/>
      <c r="I44" s="147"/>
      <c r="J44" s="147"/>
      <c r="K44" s="147"/>
    </row>
    <row r="45" spans="1:11">
      <c r="B45" s="145"/>
      <c r="E45" s="159"/>
    </row>
    <row r="46" spans="1:11">
      <c r="A46" t="s">
        <v>289</v>
      </c>
      <c r="B46" s="145">
        <f>INDEX($B$3:$K$3,1,MATCH($A46,$B$5:$K$5,0))</f>
        <v>2029</v>
      </c>
      <c r="C46" s="317">
        <f t="shared" ref="C46:C55" ca="1" si="4">INDEX($B$40:$K$40,1,MATCH($A46,$B$5:$K$5,0))</f>
        <v>140.51386583613538</v>
      </c>
      <c r="D46">
        <f t="shared" ref="D46:D55" si="5">INDEX($B$41:$K$41,1,MATCH($A46,$B$5:$K$5,0))</f>
        <v>100</v>
      </c>
      <c r="E46" s="159">
        <f t="shared" ref="E46:E55" si="6">INDEX($42:$42,1,MATCH(A46,$5:$5,0))</f>
        <v>0</v>
      </c>
    </row>
    <row r="47" spans="1:11">
      <c r="A47" t="s">
        <v>290</v>
      </c>
      <c r="B47" s="145">
        <f t="shared" ref="B47:B55" si="7">INDEX($B$3:$K$3,1,MATCH($A47,$B$5:$K$5,0))</f>
        <v>2030</v>
      </c>
      <c r="C47" s="317">
        <f t="shared" ca="1" si="4"/>
        <v>141.28262005030541</v>
      </c>
      <c r="D47">
        <f t="shared" si="5"/>
        <v>100</v>
      </c>
      <c r="E47" s="159">
        <f t="shared" si="6"/>
        <v>0</v>
      </c>
    </row>
    <row r="48" spans="1:11">
      <c r="A48" t="s">
        <v>291</v>
      </c>
      <c r="B48" s="145">
        <f t="shared" si="7"/>
        <v>2031</v>
      </c>
      <c r="C48" s="317">
        <f t="shared" ca="1" si="4"/>
        <v>143.29672309964167</v>
      </c>
      <c r="D48">
        <f t="shared" si="5"/>
        <v>100</v>
      </c>
      <c r="E48" s="159">
        <f t="shared" si="6"/>
        <v>0</v>
      </c>
    </row>
    <row r="49" spans="1:8">
      <c r="A49" t="s">
        <v>192</v>
      </c>
      <c r="B49" s="145">
        <f t="shared" si="7"/>
        <v>2029</v>
      </c>
      <c r="C49" s="317">
        <f t="shared" ca="1" si="4"/>
        <v>140.51386583613538</v>
      </c>
      <c r="D49">
        <f t="shared" si="5"/>
        <v>100</v>
      </c>
      <c r="E49" s="159">
        <f t="shared" si="6"/>
        <v>0</v>
      </c>
      <c r="H49" s="159"/>
    </row>
    <row r="50" spans="1:8">
      <c r="A50" t="s">
        <v>292</v>
      </c>
      <c r="B50" s="145">
        <f t="shared" si="7"/>
        <v>2030</v>
      </c>
      <c r="C50" s="317">
        <f t="shared" ca="1" si="4"/>
        <v>141.28262005030541</v>
      </c>
      <c r="D50">
        <f t="shared" si="5"/>
        <v>100</v>
      </c>
      <c r="E50" s="159">
        <f t="shared" si="6"/>
        <v>0</v>
      </c>
      <c r="H50" s="159"/>
    </row>
    <row r="51" spans="1:8">
      <c r="A51" s="167" t="s">
        <v>293</v>
      </c>
      <c r="B51" s="316">
        <f t="shared" si="7"/>
        <v>2031</v>
      </c>
      <c r="C51" s="318">
        <f t="shared" ca="1" si="4"/>
        <v>143.29672309964167</v>
      </c>
      <c r="D51" s="167">
        <f t="shared" si="5"/>
        <v>244.18979999999999</v>
      </c>
      <c r="E51" s="159">
        <f t="shared" si="6"/>
        <v>0</v>
      </c>
      <c r="H51" s="159"/>
    </row>
    <row r="52" spans="1:8">
      <c r="A52" t="s">
        <v>295</v>
      </c>
      <c r="B52" s="145">
        <f t="shared" si="7"/>
        <v>2031</v>
      </c>
      <c r="C52" s="317">
        <f t="shared" ca="1" si="4"/>
        <v>114.83565517053975</v>
      </c>
      <c r="D52">
        <f t="shared" si="5"/>
        <v>88.5</v>
      </c>
      <c r="E52" s="159">
        <f t="shared" si="6"/>
        <v>0</v>
      </c>
      <c r="H52" s="159"/>
    </row>
    <row r="53" spans="1:8">
      <c r="A53" t="s">
        <v>296</v>
      </c>
      <c r="B53" s="145">
        <f t="shared" si="7"/>
        <v>2031</v>
      </c>
      <c r="C53" s="317">
        <f t="shared" ca="1" si="4"/>
        <v>114.83565517053975</v>
      </c>
      <c r="D53">
        <f t="shared" si="5"/>
        <v>405.94040000000001</v>
      </c>
      <c r="E53" s="159">
        <f t="shared" si="6"/>
        <v>0</v>
      </c>
      <c r="H53" s="159"/>
    </row>
    <row r="54" spans="1:8">
      <c r="A54" t="s">
        <v>297</v>
      </c>
      <c r="B54" s="145">
        <f t="shared" si="7"/>
        <v>2031</v>
      </c>
      <c r="C54" s="317">
        <f t="shared" ca="1" si="4"/>
        <v>114.83565517053975</v>
      </c>
      <c r="D54">
        <f t="shared" si="5"/>
        <v>100</v>
      </c>
      <c r="E54" s="159">
        <f t="shared" si="6"/>
        <v>0</v>
      </c>
      <c r="H54" s="159"/>
    </row>
    <row r="55" spans="1:8">
      <c r="A55" t="s">
        <v>298</v>
      </c>
      <c r="B55" s="145">
        <f t="shared" si="7"/>
        <v>2031</v>
      </c>
      <c r="C55" s="317">
        <f t="shared" ca="1" si="4"/>
        <v>114.83565517053975</v>
      </c>
      <c r="D55">
        <f t="shared" si="5"/>
        <v>73.5</v>
      </c>
      <c r="E55" s="159">
        <f t="shared" si="6"/>
        <v>0</v>
      </c>
      <c r="H55" s="159"/>
    </row>
    <row r="56" spans="1:8">
      <c r="B56" s="145"/>
      <c r="C56" s="145"/>
      <c r="D56" s="145"/>
      <c r="H56" s="159"/>
    </row>
    <row r="57" spans="1:8">
      <c r="B57" s="145"/>
      <c r="C57" s="145"/>
      <c r="D57" s="145"/>
      <c r="H57" s="159"/>
    </row>
    <row r="58" spans="1:8">
      <c r="B58" s="145"/>
      <c r="C58" s="145"/>
      <c r="D58" s="145"/>
      <c r="H58" s="159"/>
    </row>
    <row r="59" spans="1:8">
      <c r="B59" s="145"/>
      <c r="C59" s="145"/>
      <c r="D59" s="145"/>
      <c r="H59" s="159"/>
    </row>
    <row r="60" spans="1:8">
      <c r="A60" s="164"/>
      <c r="B60" s="145"/>
      <c r="C60" s="145"/>
      <c r="D60" s="145"/>
      <c r="H60" s="159"/>
    </row>
    <row r="61" spans="1:8" hidden="1">
      <c r="A61" s="164"/>
      <c r="B61" s="145"/>
      <c r="C61" s="145"/>
      <c r="D61" s="145"/>
      <c r="F61" s="165"/>
      <c r="G61" s="165"/>
      <c r="H61" s="159"/>
    </row>
    <row r="62" spans="1:8" hidden="1">
      <c r="A62" s="164"/>
      <c r="B62" s="145"/>
      <c r="C62" s="145"/>
      <c r="D62" s="145"/>
      <c r="F62" s="165"/>
      <c r="G62" s="165"/>
      <c r="H62" s="159"/>
    </row>
    <row r="63" spans="1:8" hidden="1">
      <c r="A63" s="164"/>
      <c r="B63" s="145"/>
      <c r="C63" s="145"/>
      <c r="D63" s="145"/>
      <c r="F63" s="165"/>
      <c r="G63" s="165"/>
      <c r="H63" s="159"/>
    </row>
    <row r="64" spans="1:8" hidden="1">
      <c r="A64" s="164"/>
      <c r="B64" s="145"/>
      <c r="C64" s="145"/>
      <c r="D64" s="145"/>
      <c r="F64" s="165"/>
      <c r="G64" s="165"/>
      <c r="H64" s="159"/>
    </row>
    <row r="65" spans="1:11" hidden="1">
      <c r="A65" s="164"/>
      <c r="B65" s="145"/>
      <c r="C65" s="145"/>
      <c r="D65" s="145"/>
      <c r="F65" s="165"/>
      <c r="G65" s="165"/>
      <c r="H65" s="159"/>
    </row>
    <row r="66" spans="1:11" hidden="1">
      <c r="A66" s="164"/>
      <c r="B66" s="145"/>
      <c r="C66" s="145"/>
      <c r="D66" s="145"/>
      <c r="F66" s="165"/>
      <c r="G66" s="165"/>
      <c r="H66" s="159"/>
    </row>
    <row r="67" spans="1:11" hidden="1">
      <c r="B67" s="145"/>
      <c r="C67" s="145"/>
      <c r="D67" s="145"/>
      <c r="F67" s="165"/>
      <c r="G67" s="165"/>
      <c r="H67" s="159"/>
    </row>
    <row r="68" spans="1:11" hidden="1">
      <c r="B68" s="145"/>
      <c r="C68" s="145"/>
      <c r="D68" s="145"/>
    </row>
    <row r="69" spans="1:11">
      <c r="B69" s="145"/>
      <c r="C69" s="145"/>
      <c r="D69" s="145"/>
    </row>
    <row r="70" spans="1:11">
      <c r="A70" s="169" t="s">
        <v>194</v>
      </c>
      <c r="B70" s="55" t="s">
        <v>83</v>
      </c>
      <c r="C70" s="55" t="s">
        <v>83</v>
      </c>
      <c r="D70" s="55" t="s">
        <v>83</v>
      </c>
      <c r="E70" s="147" t="s">
        <v>9</v>
      </c>
      <c r="F70" s="147" t="s">
        <v>32</v>
      </c>
      <c r="G70" s="147" t="s">
        <v>32</v>
      </c>
      <c r="H70" s="147" t="s">
        <v>237</v>
      </c>
      <c r="I70" s="147"/>
      <c r="J70" s="147"/>
      <c r="K70" s="147"/>
    </row>
    <row r="71" spans="1:11">
      <c r="B71" s="145"/>
      <c r="C71" s="145"/>
      <c r="D71" s="145"/>
      <c r="H71" s="159"/>
    </row>
    <row r="72" spans="1:11">
      <c r="A72" t="s">
        <v>191</v>
      </c>
      <c r="B72" s="145" t="e">
        <f t="shared" ref="B72:D74" si="8">INDEX($B$3:$K$3,1,MATCH($A72,$B$5:$K$5,0))</f>
        <v>#N/A</v>
      </c>
      <c r="C72" s="145" t="e">
        <f t="shared" si="8"/>
        <v>#N/A</v>
      </c>
      <c r="D72" s="145" t="e">
        <f t="shared" si="8"/>
        <v>#N/A</v>
      </c>
      <c r="E72" t="e">
        <f>INDEX($B$40:$K$40,1,MATCH($A72,$B$5:$K$5,0))</f>
        <v>#N/A</v>
      </c>
      <c r="F72" t="e">
        <f t="shared" ref="F72:G74" si="9">INDEX($B$41:$K$41,1,MATCH($A72,$B$5:$K$5,0))</f>
        <v>#N/A</v>
      </c>
      <c r="G72" t="e">
        <f t="shared" si="9"/>
        <v>#N/A</v>
      </c>
      <c r="H72" s="159" t="e">
        <f>INDEX($42:$42,1,MATCH(A72,$5:$5,0))</f>
        <v>#N/A</v>
      </c>
    </row>
    <row r="73" spans="1:11">
      <c r="A73" t="s">
        <v>190</v>
      </c>
      <c r="B73" s="145" t="e">
        <f t="shared" si="8"/>
        <v>#N/A</v>
      </c>
      <c r="C73" s="145" t="e">
        <f t="shared" si="8"/>
        <v>#N/A</v>
      </c>
      <c r="D73" s="145" t="e">
        <f t="shared" si="8"/>
        <v>#N/A</v>
      </c>
      <c r="E73" t="e">
        <f>INDEX($B$40:$K$40,1,MATCH($A73,$B$5:$K$5,0))</f>
        <v>#N/A</v>
      </c>
      <c r="F73" t="e">
        <f t="shared" si="9"/>
        <v>#N/A</v>
      </c>
      <c r="G73" t="e">
        <f t="shared" si="9"/>
        <v>#N/A</v>
      </c>
      <c r="H73" s="159" t="e">
        <f>INDEX($42:$42,1,MATCH(A73,$5:$5,0))</f>
        <v>#N/A</v>
      </c>
    </row>
    <row r="74" spans="1:11">
      <c r="A74" t="s">
        <v>240</v>
      </c>
      <c r="B74" s="145" t="e">
        <f t="shared" si="8"/>
        <v>#N/A</v>
      </c>
      <c r="C74" s="145" t="e">
        <f t="shared" si="8"/>
        <v>#N/A</v>
      </c>
      <c r="D74" s="145" t="e">
        <f t="shared" si="8"/>
        <v>#N/A</v>
      </c>
      <c r="E74" t="e">
        <f>INDEX($B$40:$K$40,1,MATCH($A74,$B$5:$K$5,0))</f>
        <v>#N/A</v>
      </c>
      <c r="F74" t="e">
        <f t="shared" si="9"/>
        <v>#N/A</v>
      </c>
      <c r="G74" t="e">
        <f t="shared" si="9"/>
        <v>#N/A</v>
      </c>
      <c r="H74" s="159" t="e">
        <f>INDEX($42:$42,1,MATCH(A74,$5:$5,0))</f>
        <v>#N/A</v>
      </c>
    </row>
    <row r="75" spans="1:11">
      <c r="B75" s="145"/>
      <c r="C75" s="145"/>
      <c r="D75" s="145"/>
      <c r="H75" s="159"/>
    </row>
    <row r="76" spans="1:11">
      <c r="B76" s="145"/>
      <c r="C76" s="145"/>
      <c r="D76" s="145"/>
      <c r="H76" s="159"/>
    </row>
    <row r="77" spans="1:11">
      <c r="B77" s="145"/>
      <c r="C77" s="145"/>
      <c r="D77" s="145"/>
      <c r="H77" s="159"/>
    </row>
    <row r="78" spans="1:11">
      <c r="B78" s="145"/>
      <c r="C78" s="145"/>
      <c r="D78" s="145"/>
      <c r="H78" s="159"/>
    </row>
  </sheetData>
  <sortState xmlns:xlrd2="http://schemas.microsoft.com/office/spreadsheetml/2017/richdata2" ref="A71:Y74">
    <sortCondition descending="1" ref="I71:I74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426B6-186E-4C38-9807-6E39AAAB71D0}">
  <dimension ref="A1:AC478"/>
  <sheetViews>
    <sheetView topLeftCell="A452" workbookViewId="0">
      <selection activeCell="B472" sqref="B472"/>
    </sheetView>
  </sheetViews>
  <sheetFormatPr defaultColWidth="9.33203125" defaultRowHeight="15"/>
  <cols>
    <col min="1" max="1" width="22.5" style="214" customWidth="1"/>
    <col min="2" max="2" width="54.5" style="214" customWidth="1"/>
    <col min="3" max="3" width="23.83203125" style="214" customWidth="1"/>
    <col min="4" max="4" width="25.5" style="214" customWidth="1"/>
    <col min="5" max="5" width="15" style="214" customWidth="1"/>
    <col min="6" max="6" width="19" style="214" customWidth="1"/>
    <col min="7" max="7" width="17.83203125" style="214" customWidth="1"/>
    <col min="8" max="8" width="15.1640625" style="214" customWidth="1"/>
    <col min="9" max="9" width="23.83203125" style="214" customWidth="1"/>
    <col min="10" max="10" width="7.5" style="214" customWidth="1"/>
    <col min="11" max="11" width="16" style="214" customWidth="1"/>
    <col min="12" max="12" width="9.33203125" style="214"/>
    <col min="13" max="13" width="21.6640625" style="214" customWidth="1"/>
    <col min="14" max="14" width="34.1640625" style="214" customWidth="1"/>
    <col min="15" max="15" width="9.33203125" style="214"/>
    <col min="16" max="16" width="20.1640625" style="214" customWidth="1"/>
    <col min="17" max="21" width="9.33203125" style="214"/>
    <col min="22" max="22" width="40.1640625" style="214" customWidth="1"/>
    <col min="23" max="24" width="33.33203125" style="214" customWidth="1"/>
    <col min="25" max="25" width="14" style="214" customWidth="1"/>
    <col min="26" max="29" width="33.33203125" style="214" customWidth="1"/>
    <col min="30" max="16384" width="9.33203125" style="214"/>
  </cols>
  <sheetData>
    <row r="1" spans="1:29" s="212" customFormat="1">
      <c r="A1" s="212" t="s">
        <v>89</v>
      </c>
      <c r="B1" s="212" t="s">
        <v>90</v>
      </c>
      <c r="C1" s="212" t="s">
        <v>91</v>
      </c>
      <c r="D1" s="212" t="s">
        <v>92</v>
      </c>
      <c r="E1" s="212" t="s">
        <v>93</v>
      </c>
      <c r="F1" s="212" t="s">
        <v>94</v>
      </c>
      <c r="G1" s="212" t="s">
        <v>95</v>
      </c>
      <c r="H1" s="212" t="s">
        <v>96</v>
      </c>
      <c r="I1" s="212" t="s">
        <v>97</v>
      </c>
      <c r="J1" s="212" t="s">
        <v>98</v>
      </c>
      <c r="K1" s="212" t="s">
        <v>99</v>
      </c>
      <c r="L1" s="212" t="s">
        <v>100</v>
      </c>
      <c r="M1" s="212" t="s">
        <v>101</v>
      </c>
      <c r="N1" s="212" t="s">
        <v>102</v>
      </c>
      <c r="O1" s="212" t="s">
        <v>103</v>
      </c>
      <c r="P1" s="212" t="s">
        <v>104</v>
      </c>
      <c r="U1" s="213"/>
      <c r="V1" s="213"/>
      <c r="W1" s="213"/>
      <c r="X1" s="213"/>
      <c r="Y1" s="213"/>
      <c r="Z1" s="213"/>
      <c r="AA1" s="213"/>
      <c r="AB1" s="213"/>
      <c r="AC1" s="213"/>
    </row>
    <row r="2" spans="1:29">
      <c r="A2" s="214" t="s">
        <v>133</v>
      </c>
      <c r="B2" s="214" t="s">
        <v>106</v>
      </c>
      <c r="C2" s="214" t="s">
        <v>242</v>
      </c>
      <c r="D2" s="214" t="s">
        <v>135</v>
      </c>
      <c r="E2" s="214">
        <v>1216.55</v>
      </c>
      <c r="G2" s="214" t="s">
        <v>8</v>
      </c>
      <c r="H2" s="214">
        <v>1</v>
      </c>
      <c r="L2" s="214" t="s">
        <v>136</v>
      </c>
      <c r="M2" s="214" t="s">
        <v>137</v>
      </c>
      <c r="P2" s="214" t="s">
        <v>138</v>
      </c>
      <c r="U2" s="213"/>
      <c r="V2" s="212"/>
      <c r="W2" s="213"/>
      <c r="X2" s="213"/>
      <c r="Y2" s="213"/>
      <c r="Z2" s="213"/>
      <c r="AA2" s="213"/>
      <c r="AB2" s="213"/>
      <c r="AC2" s="213"/>
    </row>
    <row r="3" spans="1:29">
      <c r="A3" s="214" t="s">
        <v>133</v>
      </c>
      <c r="B3" s="214" t="s">
        <v>106</v>
      </c>
      <c r="C3" s="214" t="s">
        <v>243</v>
      </c>
      <c r="D3" s="214" t="s">
        <v>135</v>
      </c>
      <c r="E3" s="214">
        <v>1228.72</v>
      </c>
      <c r="G3" s="214" t="s">
        <v>8</v>
      </c>
      <c r="H3" s="214">
        <v>1</v>
      </c>
      <c r="L3" s="214" t="s">
        <v>136</v>
      </c>
      <c r="M3" s="214" t="s">
        <v>137</v>
      </c>
      <c r="P3" s="214" t="s">
        <v>138</v>
      </c>
    </row>
    <row r="4" spans="1:29">
      <c r="A4" s="214" t="s">
        <v>133</v>
      </c>
      <c r="B4" s="214" t="s">
        <v>106</v>
      </c>
      <c r="C4" s="214" t="s">
        <v>244</v>
      </c>
      <c r="D4" s="214" t="s">
        <v>135</v>
      </c>
      <c r="E4" s="214">
        <v>1984.28</v>
      </c>
      <c r="G4" s="214" t="s">
        <v>8</v>
      </c>
      <c r="H4" s="214">
        <v>1</v>
      </c>
      <c r="I4" s="215"/>
      <c r="J4" s="215"/>
      <c r="L4" s="214" t="s">
        <v>136</v>
      </c>
      <c r="M4" s="214" t="s">
        <v>181</v>
      </c>
      <c r="P4" s="214" t="s">
        <v>138</v>
      </c>
      <c r="U4" s="213"/>
      <c r="V4" s="216"/>
      <c r="W4" s="217"/>
      <c r="X4" s="218"/>
      <c r="Y4" s="218"/>
      <c r="Z4" s="219"/>
      <c r="AA4" s="218"/>
      <c r="AB4" s="220"/>
      <c r="AC4" s="218"/>
    </row>
    <row r="5" spans="1:29">
      <c r="A5" s="214" t="s">
        <v>133</v>
      </c>
      <c r="B5" s="214" t="s">
        <v>106</v>
      </c>
      <c r="C5" s="214" t="s">
        <v>245</v>
      </c>
      <c r="D5" s="214" t="s">
        <v>135</v>
      </c>
      <c r="E5" s="214">
        <v>2082.5100000000002</v>
      </c>
      <c r="G5" s="214" t="s">
        <v>8</v>
      </c>
      <c r="H5" s="214">
        <v>1</v>
      </c>
      <c r="I5" s="215"/>
      <c r="J5" s="215"/>
      <c r="L5" s="214" t="s">
        <v>136</v>
      </c>
      <c r="M5" s="214" t="s">
        <v>181</v>
      </c>
      <c r="P5" s="214" t="s">
        <v>138</v>
      </c>
      <c r="U5" s="213"/>
      <c r="V5" s="216"/>
      <c r="W5" s="217"/>
      <c r="X5" s="218"/>
      <c r="Y5" s="218"/>
      <c r="Z5" s="219"/>
      <c r="AA5" s="218"/>
      <c r="AB5" s="220"/>
      <c r="AC5" s="218"/>
    </row>
    <row r="6" spans="1:29">
      <c r="A6" s="214" t="s">
        <v>133</v>
      </c>
      <c r="B6" s="214" t="s">
        <v>106</v>
      </c>
      <c r="C6" s="214" t="s">
        <v>134</v>
      </c>
      <c r="D6" s="214" t="s">
        <v>135</v>
      </c>
      <c r="E6" s="214">
        <v>1289.55</v>
      </c>
      <c r="G6" s="214" t="s">
        <v>8</v>
      </c>
      <c r="H6" s="214">
        <v>1</v>
      </c>
      <c r="I6" s="215"/>
      <c r="J6" s="215"/>
      <c r="L6" s="214" t="s">
        <v>136</v>
      </c>
      <c r="M6" s="214" t="s">
        <v>137</v>
      </c>
      <c r="P6" s="214" t="s">
        <v>138</v>
      </c>
      <c r="U6" s="213"/>
      <c r="V6" s="216"/>
      <c r="W6" s="217"/>
      <c r="X6" s="218"/>
      <c r="Y6" s="218"/>
      <c r="Z6" s="219"/>
      <c r="AA6" s="218"/>
      <c r="AB6" s="220"/>
      <c r="AC6" s="218"/>
    </row>
    <row r="7" spans="1:29">
      <c r="A7" s="214" t="s">
        <v>133</v>
      </c>
      <c r="B7" s="214" t="s">
        <v>106</v>
      </c>
      <c r="C7" s="214" t="s">
        <v>246</v>
      </c>
      <c r="D7" s="214" t="s">
        <v>135</v>
      </c>
      <c r="E7" s="214">
        <v>1216.55</v>
      </c>
      <c r="G7" s="214" t="s">
        <v>8</v>
      </c>
      <c r="H7" s="214">
        <v>1</v>
      </c>
      <c r="L7" s="214" t="s">
        <v>136</v>
      </c>
      <c r="M7" s="214" t="s">
        <v>137</v>
      </c>
      <c r="P7" s="214" t="s">
        <v>138</v>
      </c>
      <c r="U7" s="213"/>
      <c r="V7" s="216"/>
      <c r="W7" s="217"/>
      <c r="X7" s="218"/>
      <c r="Y7" s="218"/>
      <c r="Z7" s="219"/>
      <c r="AA7" s="218"/>
      <c r="AB7" s="220"/>
      <c r="AC7" s="218"/>
    </row>
    <row r="8" spans="1:29">
      <c r="A8" s="214" t="s">
        <v>133</v>
      </c>
      <c r="B8" s="214" t="s">
        <v>106</v>
      </c>
      <c r="C8" s="214" t="s">
        <v>247</v>
      </c>
      <c r="D8" s="214" t="s">
        <v>135</v>
      </c>
      <c r="E8" s="214">
        <v>1984.28</v>
      </c>
      <c r="G8" s="214" t="s">
        <v>8</v>
      </c>
      <c r="H8" s="214">
        <v>1</v>
      </c>
      <c r="I8" s="215"/>
      <c r="J8" s="215"/>
      <c r="L8" s="214" t="s">
        <v>136</v>
      </c>
      <c r="M8" s="214" t="s">
        <v>181</v>
      </c>
      <c r="P8" s="214" t="s">
        <v>138</v>
      </c>
      <c r="U8" s="213"/>
      <c r="V8" s="216"/>
      <c r="W8" s="217"/>
      <c r="X8" s="218"/>
      <c r="Y8" s="218"/>
      <c r="Z8" s="219"/>
      <c r="AA8" s="218"/>
      <c r="AB8" s="220"/>
      <c r="AC8" s="218"/>
    </row>
    <row r="9" spans="1:29">
      <c r="A9" s="214" t="s">
        <v>133</v>
      </c>
      <c r="B9" s="214" t="s">
        <v>106</v>
      </c>
      <c r="C9" s="214" t="s">
        <v>248</v>
      </c>
      <c r="D9" s="214" t="s">
        <v>135</v>
      </c>
      <c r="E9" s="214">
        <v>1228.72</v>
      </c>
      <c r="G9" s="214" t="s">
        <v>8</v>
      </c>
      <c r="H9" s="214">
        <v>1</v>
      </c>
      <c r="L9" s="214" t="s">
        <v>136</v>
      </c>
      <c r="M9" s="214" t="s">
        <v>137</v>
      </c>
      <c r="P9" s="214" t="s">
        <v>138</v>
      </c>
    </row>
    <row r="10" spans="1:29">
      <c r="A10" s="214" t="s">
        <v>133</v>
      </c>
      <c r="B10" s="214" t="s">
        <v>106</v>
      </c>
      <c r="C10" s="214" t="s">
        <v>249</v>
      </c>
      <c r="D10" s="214" t="s">
        <v>135</v>
      </c>
      <c r="E10" s="214">
        <v>1216.55</v>
      </c>
      <c r="G10" s="214" t="s">
        <v>8</v>
      </c>
      <c r="H10" s="214">
        <v>1</v>
      </c>
      <c r="I10" s="215"/>
      <c r="J10" s="215"/>
      <c r="L10" s="214" t="s">
        <v>136</v>
      </c>
      <c r="M10" s="214" t="s">
        <v>137</v>
      </c>
      <c r="P10" s="214" t="s">
        <v>138</v>
      </c>
      <c r="U10" s="213"/>
      <c r="V10" s="216"/>
      <c r="W10" s="217"/>
      <c r="X10" s="218"/>
      <c r="Y10" s="218"/>
      <c r="Z10" s="219"/>
      <c r="AA10" s="218"/>
      <c r="AB10" s="220"/>
      <c r="AC10" s="218"/>
    </row>
    <row r="11" spans="1:29">
      <c r="A11" s="214" t="s">
        <v>133</v>
      </c>
      <c r="B11" s="214" t="s">
        <v>106</v>
      </c>
      <c r="C11" s="214" t="s">
        <v>250</v>
      </c>
      <c r="D11" s="214" t="s">
        <v>135</v>
      </c>
      <c r="E11" s="214">
        <v>1216.55</v>
      </c>
      <c r="G11" s="214" t="s">
        <v>8</v>
      </c>
      <c r="H11" s="214">
        <v>1</v>
      </c>
      <c r="I11" s="215"/>
      <c r="J11" s="215"/>
      <c r="L11" s="214" t="s">
        <v>136</v>
      </c>
      <c r="M11" s="214" t="s">
        <v>137</v>
      </c>
      <c r="P11" s="214" t="s">
        <v>138</v>
      </c>
      <c r="U11" s="213"/>
      <c r="V11" s="216"/>
      <c r="W11" s="217"/>
      <c r="X11" s="218"/>
      <c r="Y11" s="218"/>
      <c r="Z11" s="219"/>
      <c r="AA11" s="218"/>
      <c r="AB11" s="220"/>
      <c r="AC11" s="218"/>
    </row>
    <row r="12" spans="1:29">
      <c r="A12" s="214" t="s">
        <v>133</v>
      </c>
      <c r="B12" s="214" t="s">
        <v>106</v>
      </c>
      <c r="C12" s="214" t="s">
        <v>251</v>
      </c>
      <c r="D12" s="214" t="s">
        <v>135</v>
      </c>
      <c r="E12" s="214">
        <v>1984.28</v>
      </c>
      <c r="G12" s="214" t="s">
        <v>8</v>
      </c>
      <c r="H12" s="214">
        <v>1</v>
      </c>
      <c r="I12" s="215"/>
      <c r="J12" s="215"/>
      <c r="L12" s="214" t="s">
        <v>136</v>
      </c>
      <c r="M12" s="214" t="s">
        <v>181</v>
      </c>
      <c r="P12" s="214" t="s">
        <v>138</v>
      </c>
      <c r="U12" s="213"/>
      <c r="V12" s="216"/>
      <c r="W12" s="217"/>
      <c r="X12" s="218"/>
      <c r="Y12" s="218"/>
      <c r="Z12" s="219"/>
      <c r="AA12" s="218"/>
      <c r="AB12" s="220"/>
      <c r="AC12" s="218"/>
    </row>
    <row r="13" spans="1:29">
      <c r="A13" s="214" t="s">
        <v>133</v>
      </c>
      <c r="B13" s="214" t="s">
        <v>106</v>
      </c>
      <c r="C13" s="214" t="s">
        <v>252</v>
      </c>
      <c r="D13" s="214" t="s">
        <v>135</v>
      </c>
      <c r="E13" s="214">
        <v>1228.72</v>
      </c>
      <c r="G13" s="214" t="s">
        <v>8</v>
      </c>
      <c r="H13" s="214">
        <v>1</v>
      </c>
      <c r="L13" s="214" t="s">
        <v>136</v>
      </c>
      <c r="M13" s="214" t="s">
        <v>137</v>
      </c>
      <c r="P13" s="214" t="s">
        <v>138</v>
      </c>
      <c r="U13" s="213"/>
      <c r="V13" s="216"/>
      <c r="W13" s="217"/>
      <c r="X13" s="218"/>
      <c r="Y13" s="218"/>
      <c r="Z13" s="219"/>
      <c r="AA13" s="218"/>
      <c r="AB13" s="220"/>
      <c r="AC13" s="218"/>
    </row>
    <row r="14" spans="1:29">
      <c r="A14" s="214" t="s">
        <v>133</v>
      </c>
      <c r="B14" s="214" t="s">
        <v>106</v>
      </c>
      <c r="C14" s="214" t="s">
        <v>253</v>
      </c>
      <c r="D14" s="214" t="s">
        <v>135</v>
      </c>
      <c r="E14" s="214">
        <v>2180.75</v>
      </c>
      <c r="G14" s="214" t="s">
        <v>8</v>
      </c>
      <c r="H14" s="214">
        <v>1</v>
      </c>
      <c r="I14" s="215"/>
      <c r="J14" s="215"/>
      <c r="L14" s="214" t="s">
        <v>136</v>
      </c>
      <c r="M14" s="214" t="s">
        <v>181</v>
      </c>
      <c r="P14" s="214" t="s">
        <v>138</v>
      </c>
      <c r="U14" s="213"/>
      <c r="V14" s="216"/>
      <c r="W14" s="217"/>
      <c r="X14" s="218"/>
      <c r="Y14" s="218"/>
      <c r="Z14" s="219"/>
      <c r="AA14" s="218"/>
      <c r="AB14" s="220"/>
      <c r="AC14" s="218"/>
    </row>
    <row r="15" spans="1:29">
      <c r="A15" s="214" t="s">
        <v>133</v>
      </c>
      <c r="B15" s="214" t="s">
        <v>106</v>
      </c>
      <c r="C15" s="214" t="s">
        <v>139</v>
      </c>
      <c r="D15" s="214" t="s">
        <v>135</v>
      </c>
      <c r="E15" s="214">
        <v>1350.37</v>
      </c>
      <c r="G15" s="214" t="s">
        <v>8</v>
      </c>
      <c r="H15" s="214">
        <v>1</v>
      </c>
      <c r="I15" s="215"/>
      <c r="J15" s="215"/>
      <c r="L15" s="214" t="s">
        <v>136</v>
      </c>
      <c r="M15" s="214" t="s">
        <v>137</v>
      </c>
      <c r="P15" s="214" t="s">
        <v>138</v>
      </c>
      <c r="U15" s="213"/>
      <c r="V15" s="216"/>
      <c r="W15" s="213"/>
      <c r="X15" s="218"/>
      <c r="Y15" s="213"/>
      <c r="Z15" s="219"/>
      <c r="AA15" s="218"/>
      <c r="AB15" s="220"/>
      <c r="AC15" s="218"/>
    </row>
    <row r="16" spans="1:29">
      <c r="A16" s="214" t="s">
        <v>133</v>
      </c>
      <c r="B16" s="214" t="s">
        <v>106</v>
      </c>
      <c r="C16" s="214" t="s">
        <v>140</v>
      </c>
      <c r="D16" s="214" t="s">
        <v>135</v>
      </c>
      <c r="E16" s="214">
        <v>1289.55</v>
      </c>
      <c r="G16" s="214" t="s">
        <v>8</v>
      </c>
      <c r="H16" s="214">
        <v>1</v>
      </c>
      <c r="I16" s="215"/>
      <c r="J16" s="215"/>
      <c r="L16" s="214" t="s">
        <v>136</v>
      </c>
      <c r="M16" s="214" t="s">
        <v>137</v>
      </c>
      <c r="P16" s="214" t="s">
        <v>138</v>
      </c>
      <c r="U16" s="213"/>
      <c r="V16" s="216"/>
      <c r="W16" s="217"/>
      <c r="X16" s="218"/>
      <c r="Y16" s="218"/>
      <c r="Z16" s="219"/>
      <c r="AA16" s="218"/>
      <c r="AB16" s="220"/>
      <c r="AC16" s="218"/>
    </row>
    <row r="17" spans="1:29">
      <c r="A17" s="214" t="s">
        <v>133</v>
      </c>
      <c r="B17" s="214" t="s">
        <v>106</v>
      </c>
      <c r="C17" s="214" t="s">
        <v>254</v>
      </c>
      <c r="D17" s="214" t="s">
        <v>135</v>
      </c>
      <c r="E17" s="214">
        <v>1964.64</v>
      </c>
      <c r="G17" s="214" t="s">
        <v>8</v>
      </c>
      <c r="H17" s="214">
        <v>1</v>
      </c>
      <c r="I17" s="215"/>
      <c r="J17" s="215"/>
      <c r="L17" s="214" t="s">
        <v>136</v>
      </c>
      <c r="M17" s="214" t="s">
        <v>181</v>
      </c>
      <c r="P17" s="214" t="s">
        <v>138</v>
      </c>
      <c r="U17" s="213"/>
      <c r="V17" s="216"/>
      <c r="W17" s="217"/>
      <c r="X17" s="218"/>
      <c r="Y17" s="218"/>
      <c r="Z17" s="219"/>
      <c r="AA17" s="218"/>
      <c r="AB17" s="220"/>
      <c r="AC17" s="218"/>
    </row>
    <row r="18" spans="1:29">
      <c r="A18" s="214" t="s">
        <v>133</v>
      </c>
      <c r="B18" s="214" t="s">
        <v>106</v>
      </c>
      <c r="C18" s="214" t="s">
        <v>141</v>
      </c>
      <c r="D18" s="214" t="s">
        <v>135</v>
      </c>
      <c r="E18" s="214">
        <v>1216.55</v>
      </c>
      <c r="G18" s="214" t="s">
        <v>8</v>
      </c>
      <c r="H18" s="214">
        <v>1</v>
      </c>
      <c r="I18" s="215"/>
      <c r="J18" s="215"/>
      <c r="L18" s="214" t="s">
        <v>136</v>
      </c>
      <c r="M18" s="214" t="s">
        <v>137</v>
      </c>
      <c r="P18" s="214" t="s">
        <v>138</v>
      </c>
      <c r="U18" s="213"/>
      <c r="V18" s="216"/>
      <c r="W18" s="217"/>
      <c r="X18" s="218"/>
      <c r="Y18" s="218"/>
      <c r="Z18" s="219"/>
      <c r="AA18" s="218"/>
      <c r="AB18" s="220"/>
      <c r="AC18" s="218"/>
    </row>
    <row r="19" spans="1:29">
      <c r="A19" s="214" t="s">
        <v>133</v>
      </c>
      <c r="B19" s="214" t="s">
        <v>106</v>
      </c>
      <c r="C19" s="214" t="s">
        <v>255</v>
      </c>
      <c r="D19" s="214" t="s">
        <v>135</v>
      </c>
      <c r="E19" s="214">
        <v>2082.5100000000002</v>
      </c>
      <c r="G19" s="214" t="s">
        <v>8</v>
      </c>
      <c r="H19" s="214">
        <v>1</v>
      </c>
      <c r="I19" s="215"/>
      <c r="J19" s="215"/>
      <c r="L19" s="214" t="s">
        <v>136</v>
      </c>
      <c r="M19" s="214" t="s">
        <v>181</v>
      </c>
      <c r="P19" s="214" t="s">
        <v>138</v>
      </c>
      <c r="U19" s="213"/>
      <c r="V19" s="216"/>
      <c r="W19" s="217"/>
      <c r="X19" s="218"/>
      <c r="Y19" s="218"/>
      <c r="Z19" s="219"/>
      <c r="AA19" s="218"/>
      <c r="AB19" s="220"/>
      <c r="AC19" s="218"/>
    </row>
    <row r="20" spans="1:29">
      <c r="A20" s="214" t="s">
        <v>133</v>
      </c>
      <c r="B20" s="214" t="s">
        <v>106</v>
      </c>
      <c r="C20" s="214" t="s">
        <v>142</v>
      </c>
      <c r="D20" s="214" t="s">
        <v>135</v>
      </c>
      <c r="E20" s="214">
        <v>1289.55</v>
      </c>
      <c r="G20" s="214" t="s">
        <v>8</v>
      </c>
      <c r="H20" s="214">
        <v>1</v>
      </c>
      <c r="I20" s="215"/>
      <c r="J20" s="215"/>
      <c r="L20" s="214" t="s">
        <v>136</v>
      </c>
      <c r="M20" s="214" t="s">
        <v>137</v>
      </c>
      <c r="P20" s="214" t="s">
        <v>138</v>
      </c>
      <c r="U20" s="213"/>
      <c r="V20" s="216"/>
      <c r="W20" s="217"/>
      <c r="X20" s="218"/>
      <c r="Y20" s="218"/>
      <c r="Z20" s="219"/>
      <c r="AA20" s="218"/>
      <c r="AB20" s="220"/>
      <c r="AC20" s="218"/>
    </row>
    <row r="21" spans="1:29">
      <c r="A21" s="214" t="s">
        <v>133</v>
      </c>
      <c r="B21" s="214" t="s">
        <v>106</v>
      </c>
      <c r="C21" s="214" t="s">
        <v>256</v>
      </c>
      <c r="D21" s="214" t="s">
        <v>135</v>
      </c>
      <c r="E21" s="214">
        <v>1964.64</v>
      </c>
      <c r="G21" s="214" t="s">
        <v>8</v>
      </c>
      <c r="H21" s="214">
        <v>1</v>
      </c>
      <c r="I21" s="215"/>
      <c r="J21" s="215"/>
      <c r="L21" s="214" t="s">
        <v>136</v>
      </c>
      <c r="M21" s="214" t="s">
        <v>181</v>
      </c>
      <c r="P21" s="214" t="s">
        <v>138</v>
      </c>
      <c r="U21" s="213"/>
      <c r="V21" s="216"/>
      <c r="W21" s="217"/>
      <c r="X21" s="218"/>
      <c r="Y21" s="218"/>
      <c r="Z21" s="219"/>
      <c r="AA21" s="218"/>
      <c r="AB21" s="220"/>
      <c r="AC21" s="218"/>
    </row>
    <row r="22" spans="1:29">
      <c r="A22" s="214" t="s">
        <v>133</v>
      </c>
      <c r="B22" s="214" t="s">
        <v>106</v>
      </c>
      <c r="C22" s="214" t="s">
        <v>257</v>
      </c>
      <c r="D22" s="214" t="s">
        <v>135</v>
      </c>
      <c r="E22" s="214">
        <v>2003.93</v>
      </c>
      <c r="G22" s="214" t="s">
        <v>8</v>
      </c>
      <c r="H22" s="214">
        <v>1</v>
      </c>
      <c r="I22" s="215"/>
      <c r="J22" s="215"/>
      <c r="L22" s="214" t="s">
        <v>136</v>
      </c>
      <c r="M22" s="214" t="s">
        <v>181</v>
      </c>
      <c r="P22" s="214" t="s">
        <v>138</v>
      </c>
      <c r="U22" s="213"/>
      <c r="V22" s="216"/>
      <c r="W22" s="217"/>
      <c r="X22" s="218"/>
      <c r="Y22" s="218"/>
      <c r="Z22" s="219"/>
      <c r="AA22" s="218"/>
      <c r="AB22" s="220"/>
      <c r="AC22" s="218"/>
    </row>
    <row r="23" spans="1:29">
      <c r="A23" s="214" t="s">
        <v>133</v>
      </c>
      <c r="B23" s="214" t="s">
        <v>106</v>
      </c>
      <c r="C23" s="214" t="s">
        <v>186</v>
      </c>
      <c r="D23" s="214" t="s">
        <v>135</v>
      </c>
      <c r="E23" s="214">
        <v>1240.8800000000001</v>
      </c>
      <c r="G23" s="214" t="s">
        <v>8</v>
      </c>
      <c r="H23" s="214">
        <v>1</v>
      </c>
      <c r="I23" s="215"/>
      <c r="J23" s="215"/>
      <c r="L23" s="214" t="s">
        <v>136</v>
      </c>
      <c r="M23" s="214" t="s">
        <v>137</v>
      </c>
      <c r="P23" s="214" t="s">
        <v>138</v>
      </c>
      <c r="U23" s="213"/>
      <c r="V23" s="216"/>
      <c r="W23" s="217"/>
      <c r="X23" s="218"/>
      <c r="Y23" s="218"/>
      <c r="Z23" s="219"/>
      <c r="AA23" s="218"/>
      <c r="AB23" s="220"/>
      <c r="AC23" s="218"/>
    </row>
    <row r="24" spans="1:29">
      <c r="A24" s="214" t="s">
        <v>133</v>
      </c>
      <c r="B24" s="214" t="s">
        <v>106</v>
      </c>
      <c r="C24" s="214" t="s">
        <v>258</v>
      </c>
      <c r="D24" s="214" t="s">
        <v>135</v>
      </c>
      <c r="E24" s="214">
        <v>1964.64</v>
      </c>
      <c r="G24" s="214" t="s">
        <v>8</v>
      </c>
      <c r="H24" s="214">
        <v>1</v>
      </c>
      <c r="I24" s="215"/>
      <c r="J24" s="215"/>
      <c r="L24" s="214" t="s">
        <v>136</v>
      </c>
      <c r="M24" s="214" t="s">
        <v>181</v>
      </c>
      <c r="P24" s="214" t="s">
        <v>138</v>
      </c>
      <c r="U24" s="213"/>
      <c r="V24" s="216"/>
      <c r="W24" s="217"/>
      <c r="X24" s="218"/>
      <c r="Y24" s="218"/>
      <c r="Z24" s="219"/>
      <c r="AA24" s="218"/>
      <c r="AB24" s="220"/>
      <c r="AC24" s="218"/>
    </row>
    <row r="25" spans="1:29">
      <c r="A25" s="214" t="s">
        <v>133</v>
      </c>
      <c r="B25" s="214" t="s">
        <v>106</v>
      </c>
      <c r="C25" s="214" t="s">
        <v>259</v>
      </c>
      <c r="D25" s="214" t="s">
        <v>135</v>
      </c>
      <c r="E25" s="214">
        <v>1964.64</v>
      </c>
      <c r="G25" s="214" t="s">
        <v>8</v>
      </c>
      <c r="H25" s="214">
        <v>1</v>
      </c>
      <c r="I25" s="215"/>
      <c r="J25" s="215"/>
      <c r="L25" s="214" t="s">
        <v>136</v>
      </c>
      <c r="M25" s="214" t="s">
        <v>181</v>
      </c>
      <c r="P25" s="214" t="s">
        <v>138</v>
      </c>
      <c r="U25" s="213"/>
      <c r="V25" s="216"/>
      <c r="W25" s="217"/>
      <c r="X25" s="218"/>
      <c r="Y25" s="218"/>
      <c r="Z25" s="219"/>
      <c r="AA25" s="218"/>
      <c r="AB25" s="220"/>
      <c r="AC25" s="218"/>
    </row>
    <row r="26" spans="1:29">
      <c r="A26" s="214" t="s">
        <v>133</v>
      </c>
      <c r="B26" s="214" t="s">
        <v>106</v>
      </c>
      <c r="C26" s="214" t="s">
        <v>260</v>
      </c>
      <c r="D26" s="214" t="s">
        <v>135</v>
      </c>
      <c r="E26" s="214">
        <v>1216.55</v>
      </c>
      <c r="G26" s="214" t="s">
        <v>8</v>
      </c>
      <c r="H26" s="214">
        <v>1</v>
      </c>
      <c r="I26" s="215"/>
      <c r="J26" s="215"/>
      <c r="L26" s="214" t="s">
        <v>136</v>
      </c>
      <c r="M26" s="214" t="s">
        <v>137</v>
      </c>
      <c r="P26" s="214" t="s">
        <v>138</v>
      </c>
      <c r="U26" s="213"/>
      <c r="V26" s="216"/>
      <c r="W26" s="217"/>
      <c r="X26" s="218"/>
      <c r="Y26" s="218"/>
      <c r="Z26" s="219"/>
      <c r="AA26" s="218"/>
      <c r="AB26" s="220"/>
      <c r="AC26" s="218"/>
    </row>
    <row r="27" spans="1:29">
      <c r="A27" s="214" t="s">
        <v>133</v>
      </c>
      <c r="B27" s="214" t="s">
        <v>106</v>
      </c>
      <c r="C27" s="214" t="s">
        <v>261</v>
      </c>
      <c r="D27" s="214" t="s">
        <v>135</v>
      </c>
      <c r="E27" s="214">
        <v>1964.64</v>
      </c>
      <c r="G27" s="214" t="s">
        <v>8</v>
      </c>
      <c r="H27" s="214">
        <v>1</v>
      </c>
      <c r="I27" s="215"/>
      <c r="J27" s="215"/>
      <c r="L27" s="214" t="s">
        <v>136</v>
      </c>
      <c r="M27" s="214" t="s">
        <v>181</v>
      </c>
      <c r="P27" s="214" t="s">
        <v>138</v>
      </c>
      <c r="U27" s="213"/>
      <c r="V27" s="216"/>
      <c r="W27" s="217"/>
      <c r="X27" s="218"/>
      <c r="Y27" s="218"/>
      <c r="Z27" s="219"/>
      <c r="AA27" s="218"/>
      <c r="AB27" s="220"/>
      <c r="AC27" s="218"/>
    </row>
    <row r="28" spans="1:29">
      <c r="A28" s="214" t="s">
        <v>133</v>
      </c>
      <c r="B28" s="214" t="s">
        <v>106</v>
      </c>
      <c r="C28" s="214" t="s">
        <v>262</v>
      </c>
      <c r="D28" s="214" t="s">
        <v>135</v>
      </c>
      <c r="E28" s="214">
        <v>2003.93</v>
      </c>
      <c r="G28" s="214" t="s">
        <v>8</v>
      </c>
      <c r="H28" s="214">
        <v>1</v>
      </c>
      <c r="I28" s="215"/>
      <c r="J28" s="215"/>
      <c r="L28" s="214" t="s">
        <v>136</v>
      </c>
      <c r="M28" s="214" t="s">
        <v>181</v>
      </c>
      <c r="P28" s="214" t="s">
        <v>138</v>
      </c>
      <c r="U28" s="213"/>
      <c r="V28" s="216"/>
      <c r="W28" s="217"/>
      <c r="X28" s="218"/>
      <c r="Y28" s="218"/>
      <c r="Z28" s="219"/>
      <c r="AA28" s="218"/>
      <c r="AB28" s="220"/>
      <c r="AC28" s="218"/>
    </row>
    <row r="29" spans="1:29">
      <c r="A29" s="214" t="s">
        <v>133</v>
      </c>
      <c r="B29" s="214" t="s">
        <v>106</v>
      </c>
      <c r="C29" s="214" t="s">
        <v>143</v>
      </c>
      <c r="D29" s="214" t="s">
        <v>135</v>
      </c>
      <c r="E29" s="214">
        <v>1240.8800000000001</v>
      </c>
      <c r="G29" s="214" t="s">
        <v>8</v>
      </c>
      <c r="H29" s="214">
        <v>1</v>
      </c>
      <c r="I29" s="215"/>
      <c r="J29" s="215"/>
      <c r="L29" s="214" t="s">
        <v>136</v>
      </c>
      <c r="M29" s="214" t="s">
        <v>137</v>
      </c>
      <c r="P29" s="214" t="s">
        <v>138</v>
      </c>
      <c r="U29" s="213"/>
      <c r="V29" s="216"/>
      <c r="W29" s="217"/>
      <c r="X29" s="218"/>
      <c r="Y29" s="218"/>
      <c r="Z29" s="219"/>
      <c r="AA29" s="218"/>
      <c r="AB29" s="220"/>
      <c r="AC29" s="218"/>
    </row>
    <row r="30" spans="1:29">
      <c r="A30" s="214" t="s">
        <v>133</v>
      </c>
      <c r="B30" s="214" t="s">
        <v>106</v>
      </c>
      <c r="C30" s="214" t="s">
        <v>144</v>
      </c>
      <c r="D30" s="214" t="s">
        <v>135</v>
      </c>
      <c r="E30" s="214">
        <v>1392.68</v>
      </c>
      <c r="G30" s="214" t="s">
        <v>8</v>
      </c>
      <c r="H30" s="214">
        <v>1</v>
      </c>
      <c r="I30" s="215"/>
      <c r="J30" s="215"/>
      <c r="L30" s="214" t="s">
        <v>136</v>
      </c>
      <c r="M30" s="214" t="s">
        <v>145</v>
      </c>
      <c r="P30" s="214" t="s">
        <v>146</v>
      </c>
      <c r="U30" s="213"/>
      <c r="V30" s="216"/>
      <c r="W30" s="217"/>
      <c r="X30" s="218"/>
      <c r="Y30" s="218"/>
      <c r="Z30" s="219"/>
      <c r="AA30" s="218"/>
      <c r="AB30" s="220"/>
      <c r="AC30" s="218"/>
    </row>
    <row r="31" spans="1:29">
      <c r="A31" s="214" t="s">
        <v>133</v>
      </c>
      <c r="B31" s="214" t="s">
        <v>106</v>
      </c>
      <c r="C31" s="214" t="s">
        <v>263</v>
      </c>
      <c r="D31" s="214" t="s">
        <v>135</v>
      </c>
      <c r="E31" s="214">
        <v>1449.53</v>
      </c>
      <c r="G31" s="214" t="s">
        <v>8</v>
      </c>
      <c r="H31" s="214">
        <v>1</v>
      </c>
      <c r="I31" s="215"/>
      <c r="J31" s="215"/>
      <c r="L31" s="214" t="s">
        <v>136</v>
      </c>
      <c r="M31" s="214" t="s">
        <v>145</v>
      </c>
      <c r="P31" s="214" t="s">
        <v>146</v>
      </c>
      <c r="U31" s="213"/>
      <c r="V31" s="216"/>
      <c r="W31" s="217"/>
      <c r="X31" s="218"/>
      <c r="Y31" s="218"/>
      <c r="Z31" s="219"/>
      <c r="AA31" s="218"/>
      <c r="AB31" s="220"/>
      <c r="AC31" s="218"/>
    </row>
    <row r="32" spans="1:29">
      <c r="A32" s="214" t="s">
        <v>133</v>
      </c>
      <c r="B32" s="214" t="s">
        <v>106</v>
      </c>
      <c r="C32" s="214" t="s">
        <v>264</v>
      </c>
      <c r="D32" s="214" t="s">
        <v>135</v>
      </c>
      <c r="E32" s="214">
        <v>2605.6799999999998</v>
      </c>
      <c r="G32" s="214" t="s">
        <v>8</v>
      </c>
      <c r="H32" s="214">
        <v>1</v>
      </c>
      <c r="I32" s="215"/>
      <c r="J32" s="215"/>
      <c r="L32" s="214" t="s">
        <v>136</v>
      </c>
      <c r="M32" s="214" t="s">
        <v>150</v>
      </c>
      <c r="P32" s="214" t="s">
        <v>146</v>
      </c>
      <c r="U32" s="213"/>
      <c r="V32" s="216"/>
      <c r="W32" s="217"/>
      <c r="X32" s="218"/>
      <c r="Y32" s="218"/>
      <c r="Z32" s="219"/>
      <c r="AA32" s="218"/>
      <c r="AB32" s="220"/>
      <c r="AC32" s="218"/>
    </row>
    <row r="33" spans="1:29">
      <c r="A33" s="214" t="s">
        <v>133</v>
      </c>
      <c r="B33" s="214" t="s">
        <v>106</v>
      </c>
      <c r="C33" s="214" t="s">
        <v>265</v>
      </c>
      <c r="D33" s="214" t="s">
        <v>135</v>
      </c>
      <c r="E33" s="214">
        <v>2835.59</v>
      </c>
      <c r="G33" s="214" t="s">
        <v>8</v>
      </c>
      <c r="H33" s="214">
        <v>1</v>
      </c>
      <c r="I33" s="215"/>
      <c r="J33" s="215"/>
      <c r="L33" s="214" t="s">
        <v>136</v>
      </c>
      <c r="M33" s="214" t="s">
        <v>150</v>
      </c>
      <c r="P33" s="214" t="s">
        <v>146</v>
      </c>
      <c r="U33" s="213"/>
      <c r="V33" s="216"/>
      <c r="W33" s="217"/>
      <c r="X33" s="218"/>
      <c r="Y33" s="218"/>
      <c r="Z33" s="219"/>
      <c r="AA33" s="218"/>
      <c r="AB33" s="220"/>
      <c r="AC33" s="218"/>
    </row>
    <row r="34" spans="1:29">
      <c r="A34" s="214" t="s">
        <v>133</v>
      </c>
      <c r="B34" s="214" t="s">
        <v>106</v>
      </c>
      <c r="C34" s="214" t="s">
        <v>266</v>
      </c>
      <c r="D34" s="214" t="s">
        <v>135</v>
      </c>
      <c r="E34" s="214">
        <v>1577.43</v>
      </c>
      <c r="G34" s="214" t="s">
        <v>8</v>
      </c>
      <c r="H34" s="214">
        <v>1</v>
      </c>
      <c r="I34" s="215"/>
      <c r="J34" s="215"/>
      <c r="L34" s="214" t="s">
        <v>136</v>
      </c>
      <c r="M34" s="214" t="s">
        <v>145</v>
      </c>
      <c r="P34" s="214" t="s">
        <v>146</v>
      </c>
      <c r="U34" s="213"/>
      <c r="V34" s="216"/>
      <c r="W34" s="217"/>
      <c r="X34" s="218"/>
      <c r="Y34" s="218"/>
      <c r="Z34" s="219"/>
      <c r="AA34" s="218"/>
      <c r="AB34" s="220"/>
      <c r="AC34" s="218"/>
    </row>
    <row r="35" spans="1:29">
      <c r="A35" s="214" t="s">
        <v>133</v>
      </c>
      <c r="B35" s="214" t="s">
        <v>106</v>
      </c>
      <c r="C35" s="214" t="s">
        <v>147</v>
      </c>
      <c r="D35" s="214" t="s">
        <v>135</v>
      </c>
      <c r="E35" s="214">
        <v>1392.68</v>
      </c>
      <c r="G35" s="214" t="s">
        <v>8</v>
      </c>
      <c r="H35" s="214">
        <v>1</v>
      </c>
      <c r="I35" s="215"/>
      <c r="J35" s="215"/>
      <c r="L35" s="214" t="s">
        <v>136</v>
      </c>
      <c r="M35" s="214" t="s">
        <v>145</v>
      </c>
      <c r="P35" s="214" t="s">
        <v>146</v>
      </c>
      <c r="U35" s="213"/>
      <c r="V35" s="216"/>
      <c r="W35" s="217"/>
      <c r="X35" s="218"/>
      <c r="Y35" s="218"/>
      <c r="Z35" s="219"/>
      <c r="AA35" s="218"/>
      <c r="AB35" s="220"/>
      <c r="AC35" s="218"/>
    </row>
    <row r="36" spans="1:29">
      <c r="A36" s="214" t="s">
        <v>133</v>
      </c>
      <c r="B36" s="214" t="s">
        <v>106</v>
      </c>
      <c r="C36" s="214" t="s">
        <v>267</v>
      </c>
      <c r="D36" s="214" t="s">
        <v>135</v>
      </c>
      <c r="E36" s="214">
        <v>2605.6799999999998</v>
      </c>
      <c r="G36" s="214" t="s">
        <v>8</v>
      </c>
      <c r="H36" s="214">
        <v>1</v>
      </c>
      <c r="I36" s="215"/>
      <c r="J36" s="215"/>
      <c r="L36" s="214" t="s">
        <v>136</v>
      </c>
      <c r="M36" s="214" t="s">
        <v>150</v>
      </c>
      <c r="P36" s="214" t="s">
        <v>146</v>
      </c>
      <c r="U36" s="213"/>
      <c r="V36" s="216"/>
      <c r="W36" s="217"/>
      <c r="X36" s="218"/>
      <c r="Y36" s="218"/>
      <c r="Z36" s="219"/>
      <c r="AA36" s="218"/>
      <c r="AB36" s="220"/>
      <c r="AC36" s="218"/>
    </row>
    <row r="37" spans="1:29">
      <c r="A37" s="214" t="s">
        <v>133</v>
      </c>
      <c r="B37" s="214" t="s">
        <v>106</v>
      </c>
      <c r="C37" s="214" t="s">
        <v>268</v>
      </c>
      <c r="D37" s="214" t="s">
        <v>135</v>
      </c>
      <c r="E37" s="214">
        <v>1449.53</v>
      </c>
      <c r="G37" s="214" t="s">
        <v>8</v>
      </c>
      <c r="H37" s="214">
        <v>1</v>
      </c>
      <c r="I37" s="215"/>
      <c r="J37" s="215"/>
      <c r="L37" s="214" t="s">
        <v>136</v>
      </c>
      <c r="M37" s="214" t="s">
        <v>145</v>
      </c>
      <c r="P37" s="214" t="s">
        <v>146</v>
      </c>
      <c r="U37" s="213"/>
      <c r="V37" s="216"/>
      <c r="W37" s="217"/>
      <c r="X37" s="218"/>
      <c r="Y37" s="218"/>
      <c r="Z37" s="219"/>
      <c r="AA37" s="218"/>
      <c r="AB37" s="220"/>
      <c r="AC37" s="218"/>
    </row>
    <row r="38" spans="1:29">
      <c r="A38" s="214" t="s">
        <v>133</v>
      </c>
      <c r="B38" s="214" t="s">
        <v>106</v>
      </c>
      <c r="C38" s="214" t="s">
        <v>269</v>
      </c>
      <c r="D38" s="214" t="s">
        <v>135</v>
      </c>
      <c r="E38" s="214">
        <v>1435.32</v>
      </c>
      <c r="G38" s="214" t="s">
        <v>8</v>
      </c>
      <c r="H38" s="214">
        <v>1</v>
      </c>
      <c r="I38" s="215"/>
      <c r="J38" s="215"/>
      <c r="L38" s="214" t="s">
        <v>136</v>
      </c>
      <c r="M38" s="214" t="s">
        <v>145</v>
      </c>
      <c r="P38" s="214" t="s">
        <v>146</v>
      </c>
      <c r="U38" s="213"/>
      <c r="V38" s="216"/>
      <c r="W38" s="217"/>
      <c r="X38" s="218"/>
      <c r="Y38" s="218"/>
      <c r="Z38" s="219"/>
      <c r="AA38" s="218"/>
      <c r="AB38" s="220"/>
      <c r="AC38" s="218"/>
    </row>
    <row r="39" spans="1:29">
      <c r="A39" s="214" t="s">
        <v>133</v>
      </c>
      <c r="B39" s="214" t="s">
        <v>106</v>
      </c>
      <c r="C39" s="214" t="s">
        <v>270</v>
      </c>
      <c r="D39" s="214" t="s">
        <v>135</v>
      </c>
      <c r="E39" s="214">
        <v>1435.32</v>
      </c>
      <c r="G39" s="214" t="s">
        <v>8</v>
      </c>
      <c r="H39" s="214">
        <v>1</v>
      </c>
      <c r="I39" s="215"/>
      <c r="J39" s="215"/>
      <c r="L39" s="214" t="s">
        <v>136</v>
      </c>
      <c r="M39" s="214" t="s">
        <v>145</v>
      </c>
      <c r="P39" s="214" t="s">
        <v>146</v>
      </c>
      <c r="U39" s="213"/>
      <c r="V39" s="216"/>
      <c r="W39" s="217"/>
      <c r="X39" s="218"/>
      <c r="Y39" s="218"/>
      <c r="Z39" s="219"/>
      <c r="AA39" s="218"/>
      <c r="AB39" s="220"/>
      <c r="AC39" s="218"/>
    </row>
    <row r="40" spans="1:29">
      <c r="A40" s="214" t="s">
        <v>133</v>
      </c>
      <c r="B40" s="214" t="s">
        <v>106</v>
      </c>
      <c r="C40" s="214" t="s">
        <v>271</v>
      </c>
      <c r="D40" s="214" t="s">
        <v>135</v>
      </c>
      <c r="E40" s="214">
        <v>2605.6799999999998</v>
      </c>
      <c r="G40" s="214" t="s">
        <v>8</v>
      </c>
      <c r="H40" s="214">
        <v>1</v>
      </c>
      <c r="I40" s="215"/>
      <c r="J40" s="215"/>
      <c r="L40" s="214" t="s">
        <v>136</v>
      </c>
      <c r="M40" s="214" t="s">
        <v>150</v>
      </c>
      <c r="P40" s="214" t="s">
        <v>146</v>
      </c>
      <c r="U40" s="213"/>
      <c r="V40" s="216"/>
      <c r="W40" s="217"/>
      <c r="X40" s="218"/>
      <c r="Y40" s="218"/>
      <c r="Z40" s="219"/>
      <c r="AA40" s="218"/>
      <c r="AB40" s="220"/>
      <c r="AC40" s="218"/>
    </row>
    <row r="41" spans="1:29">
      <c r="A41" s="214" t="s">
        <v>133</v>
      </c>
      <c r="B41" s="214" t="s">
        <v>106</v>
      </c>
      <c r="C41" s="214" t="s">
        <v>272</v>
      </c>
      <c r="D41" s="214" t="s">
        <v>135</v>
      </c>
      <c r="E41" s="214">
        <v>1449.53</v>
      </c>
      <c r="G41" s="214" t="s">
        <v>8</v>
      </c>
      <c r="H41" s="214">
        <v>1</v>
      </c>
      <c r="I41" s="215"/>
      <c r="J41" s="215"/>
      <c r="L41" s="214" t="s">
        <v>136</v>
      </c>
      <c r="M41" s="214" t="s">
        <v>145</v>
      </c>
      <c r="P41" s="214" t="s">
        <v>146</v>
      </c>
      <c r="U41" s="213"/>
      <c r="V41" s="216"/>
      <c r="W41" s="217"/>
      <c r="X41" s="218"/>
      <c r="Y41" s="218"/>
      <c r="Z41" s="219"/>
      <c r="AA41" s="218"/>
      <c r="AB41" s="220"/>
      <c r="AC41" s="218"/>
    </row>
    <row r="42" spans="1:29">
      <c r="A42" s="214" t="s">
        <v>133</v>
      </c>
      <c r="B42" s="214" t="s">
        <v>106</v>
      </c>
      <c r="C42" s="214" t="s">
        <v>273</v>
      </c>
      <c r="D42" s="214" t="s">
        <v>135</v>
      </c>
      <c r="E42" s="214">
        <v>9841.8700000000008</v>
      </c>
      <c r="G42" s="214" t="s">
        <v>8</v>
      </c>
      <c r="H42" s="214">
        <v>1</v>
      </c>
      <c r="I42" s="215"/>
      <c r="J42" s="215"/>
      <c r="L42" s="214" t="s">
        <v>136</v>
      </c>
      <c r="M42" s="214" t="s">
        <v>274</v>
      </c>
      <c r="P42" s="214" t="s">
        <v>146</v>
      </c>
      <c r="U42" s="213"/>
      <c r="V42" s="216"/>
      <c r="W42" s="217"/>
      <c r="X42" s="218"/>
      <c r="Y42" s="218"/>
      <c r="Z42" s="219"/>
      <c r="AA42" s="218"/>
      <c r="AB42" s="220"/>
      <c r="AC42" s="218"/>
    </row>
    <row r="43" spans="1:29">
      <c r="A43" s="214" t="s">
        <v>133</v>
      </c>
      <c r="B43" s="214" t="s">
        <v>106</v>
      </c>
      <c r="C43" s="214" t="s">
        <v>275</v>
      </c>
      <c r="D43" s="214" t="s">
        <v>135</v>
      </c>
      <c r="E43" s="214">
        <v>3014.41</v>
      </c>
      <c r="G43" s="214" t="s">
        <v>8</v>
      </c>
      <c r="H43" s="214">
        <v>1</v>
      </c>
      <c r="I43" s="215"/>
      <c r="J43" s="215"/>
      <c r="L43" s="214" t="s">
        <v>136</v>
      </c>
      <c r="M43" s="214" t="s">
        <v>150</v>
      </c>
      <c r="P43" s="214" t="s">
        <v>146</v>
      </c>
      <c r="U43" s="213"/>
      <c r="V43" s="216"/>
      <c r="W43" s="217"/>
      <c r="X43" s="218"/>
      <c r="Y43" s="218"/>
      <c r="Z43" s="219"/>
      <c r="AA43" s="218"/>
      <c r="AB43" s="220"/>
      <c r="AC43" s="218"/>
    </row>
    <row r="44" spans="1:29">
      <c r="A44" s="214" t="s">
        <v>133</v>
      </c>
      <c r="B44" s="214" t="s">
        <v>106</v>
      </c>
      <c r="C44" s="214" t="s">
        <v>276</v>
      </c>
      <c r="D44" s="214" t="s">
        <v>135</v>
      </c>
      <c r="E44" s="214">
        <v>1676.9</v>
      </c>
      <c r="G44" s="214" t="s">
        <v>8</v>
      </c>
      <c r="H44" s="214">
        <v>1</v>
      </c>
      <c r="I44" s="215"/>
      <c r="J44" s="215"/>
      <c r="L44" s="214" t="s">
        <v>136</v>
      </c>
      <c r="M44" s="214" t="s">
        <v>145</v>
      </c>
      <c r="P44" s="214" t="s">
        <v>146</v>
      </c>
      <c r="U44" s="213"/>
      <c r="V44" s="216"/>
      <c r="W44" s="217"/>
      <c r="X44" s="218"/>
      <c r="Y44" s="218"/>
      <c r="Z44" s="219"/>
      <c r="AA44" s="218"/>
      <c r="AB44" s="220"/>
      <c r="AC44" s="218"/>
    </row>
    <row r="45" spans="1:29">
      <c r="A45" s="214" t="s">
        <v>133</v>
      </c>
      <c r="B45" s="214" t="s">
        <v>106</v>
      </c>
      <c r="C45" s="214" t="s">
        <v>277</v>
      </c>
      <c r="D45" s="214" t="s">
        <v>135</v>
      </c>
      <c r="E45" s="214">
        <v>1577.43</v>
      </c>
      <c r="G45" s="214" t="s">
        <v>8</v>
      </c>
      <c r="H45" s="214">
        <v>1</v>
      </c>
      <c r="I45" s="215"/>
      <c r="J45" s="215"/>
      <c r="L45" s="214" t="s">
        <v>136</v>
      </c>
      <c r="M45" s="214" t="s">
        <v>145</v>
      </c>
      <c r="P45" s="214" t="s">
        <v>146</v>
      </c>
      <c r="U45" s="213"/>
      <c r="V45" s="216"/>
      <c r="W45" s="217"/>
      <c r="X45" s="218"/>
      <c r="Y45" s="218"/>
      <c r="Z45" s="219"/>
      <c r="AA45" s="218"/>
      <c r="AB45" s="220"/>
      <c r="AC45" s="218"/>
    </row>
    <row r="46" spans="1:29">
      <c r="A46" s="214" t="s">
        <v>133</v>
      </c>
      <c r="B46" s="214" t="s">
        <v>106</v>
      </c>
      <c r="C46" s="214" t="s">
        <v>278</v>
      </c>
      <c r="D46" s="214" t="s">
        <v>135</v>
      </c>
      <c r="E46" s="214">
        <v>2580.13</v>
      </c>
      <c r="G46" s="214" t="s">
        <v>8</v>
      </c>
      <c r="H46" s="214">
        <v>1</v>
      </c>
      <c r="I46" s="215"/>
      <c r="J46" s="215"/>
      <c r="L46" s="214" t="s">
        <v>136</v>
      </c>
      <c r="M46" s="214" t="s">
        <v>150</v>
      </c>
      <c r="P46" s="214" t="s">
        <v>146</v>
      </c>
      <c r="U46" s="213"/>
      <c r="V46" s="216"/>
      <c r="W46" s="217"/>
      <c r="X46" s="218"/>
      <c r="Y46" s="218"/>
      <c r="Z46" s="219"/>
      <c r="AA46" s="218"/>
      <c r="AB46" s="220"/>
      <c r="AC46" s="218"/>
    </row>
    <row r="47" spans="1:29">
      <c r="A47" s="214" t="s">
        <v>133</v>
      </c>
      <c r="B47" s="214" t="s">
        <v>106</v>
      </c>
      <c r="C47" s="214" t="s">
        <v>279</v>
      </c>
      <c r="D47" s="214" t="s">
        <v>135</v>
      </c>
      <c r="E47" s="214">
        <v>1435.32</v>
      </c>
      <c r="G47" s="214" t="s">
        <v>8</v>
      </c>
      <c r="H47" s="214">
        <v>1</v>
      </c>
      <c r="I47" s="215"/>
      <c r="J47" s="215"/>
      <c r="L47" s="214" t="s">
        <v>136</v>
      </c>
      <c r="M47" s="214" t="s">
        <v>145</v>
      </c>
      <c r="P47" s="214" t="s">
        <v>146</v>
      </c>
      <c r="U47" s="213"/>
      <c r="V47" s="216"/>
      <c r="W47" s="217"/>
      <c r="X47" s="218"/>
      <c r="Y47" s="218"/>
      <c r="Z47" s="219"/>
      <c r="AA47" s="218"/>
      <c r="AB47" s="220"/>
      <c r="AC47" s="218"/>
    </row>
    <row r="48" spans="1:29">
      <c r="A48" s="214" t="s">
        <v>133</v>
      </c>
      <c r="B48" s="214" t="s">
        <v>106</v>
      </c>
      <c r="C48" s="214" t="s">
        <v>280</v>
      </c>
      <c r="D48" s="214" t="s">
        <v>135</v>
      </c>
      <c r="E48" s="214">
        <v>2835.59</v>
      </c>
      <c r="G48" s="214" t="s">
        <v>8</v>
      </c>
      <c r="H48" s="214">
        <v>1</v>
      </c>
      <c r="I48" s="215"/>
      <c r="J48" s="215"/>
      <c r="L48" s="214" t="s">
        <v>136</v>
      </c>
      <c r="M48" s="214" t="s">
        <v>150</v>
      </c>
      <c r="P48" s="214" t="s">
        <v>146</v>
      </c>
      <c r="U48" s="213"/>
      <c r="V48" s="216"/>
      <c r="W48" s="217"/>
      <c r="X48" s="218"/>
      <c r="Y48" s="218"/>
      <c r="Z48" s="219"/>
      <c r="AA48" s="218"/>
      <c r="AB48" s="220"/>
      <c r="AC48" s="218"/>
    </row>
    <row r="49" spans="1:29">
      <c r="A49" s="214" t="s">
        <v>133</v>
      </c>
      <c r="B49" s="214" t="s">
        <v>106</v>
      </c>
      <c r="C49" s="214" t="s">
        <v>148</v>
      </c>
      <c r="D49" s="214" t="s">
        <v>135</v>
      </c>
      <c r="E49" s="214">
        <v>1577.43</v>
      </c>
      <c r="G49" s="214" t="s">
        <v>8</v>
      </c>
      <c r="H49" s="214">
        <v>1</v>
      </c>
      <c r="I49" s="215"/>
      <c r="J49" s="215"/>
      <c r="L49" s="214" t="s">
        <v>136</v>
      </c>
      <c r="M49" s="214" t="s">
        <v>145</v>
      </c>
      <c r="P49" s="214" t="s">
        <v>146</v>
      </c>
      <c r="U49" s="213"/>
      <c r="V49" s="216"/>
      <c r="W49" s="217"/>
      <c r="X49" s="218"/>
      <c r="Y49" s="218"/>
      <c r="Z49" s="219"/>
      <c r="AA49" s="218"/>
      <c r="AB49" s="220"/>
      <c r="AC49" s="218"/>
    </row>
    <row r="50" spans="1:29">
      <c r="A50" s="214" t="s">
        <v>133</v>
      </c>
      <c r="B50" s="214" t="s">
        <v>106</v>
      </c>
      <c r="C50" s="214" t="s">
        <v>281</v>
      </c>
      <c r="D50" s="214" t="s">
        <v>135</v>
      </c>
      <c r="E50" s="214">
        <v>2580.13</v>
      </c>
      <c r="G50" s="214" t="s">
        <v>8</v>
      </c>
      <c r="H50" s="214">
        <v>1</v>
      </c>
      <c r="I50" s="215"/>
      <c r="J50" s="215"/>
      <c r="L50" s="214" t="s">
        <v>136</v>
      </c>
      <c r="M50" s="214" t="s">
        <v>150</v>
      </c>
      <c r="P50" s="214" t="s">
        <v>146</v>
      </c>
      <c r="U50" s="213"/>
      <c r="V50" s="216"/>
      <c r="W50" s="217"/>
      <c r="X50" s="218"/>
      <c r="Y50" s="218"/>
      <c r="Z50" s="219"/>
      <c r="AA50" s="218"/>
      <c r="AB50" s="220"/>
      <c r="AC50" s="218"/>
    </row>
    <row r="51" spans="1:29">
      <c r="A51" s="214" t="s">
        <v>133</v>
      </c>
      <c r="B51" s="214" t="s">
        <v>106</v>
      </c>
      <c r="C51" s="214" t="s">
        <v>282</v>
      </c>
      <c r="D51" s="214" t="s">
        <v>135</v>
      </c>
      <c r="E51" s="214">
        <v>2656.77</v>
      </c>
      <c r="G51" s="214" t="s">
        <v>8</v>
      </c>
      <c r="H51" s="214">
        <v>1</v>
      </c>
      <c r="I51" s="215"/>
      <c r="J51" s="215"/>
      <c r="L51" s="214" t="s">
        <v>136</v>
      </c>
      <c r="M51" s="214" t="s">
        <v>150</v>
      </c>
      <c r="P51" s="214" t="s">
        <v>146</v>
      </c>
      <c r="U51" s="213"/>
      <c r="V51" s="216"/>
      <c r="W51" s="217"/>
      <c r="X51" s="218"/>
      <c r="Y51" s="218"/>
      <c r="Z51" s="219"/>
      <c r="AA51" s="218"/>
      <c r="AB51" s="220"/>
      <c r="AC51" s="218"/>
    </row>
    <row r="52" spans="1:29">
      <c r="A52" s="214" t="s">
        <v>133</v>
      </c>
      <c r="B52" s="214" t="s">
        <v>106</v>
      </c>
      <c r="C52" s="214" t="s">
        <v>283</v>
      </c>
      <c r="D52" s="214" t="s">
        <v>135</v>
      </c>
      <c r="E52" s="214">
        <v>1477.95</v>
      </c>
      <c r="G52" s="214" t="s">
        <v>8</v>
      </c>
      <c r="H52" s="214">
        <v>1</v>
      </c>
      <c r="I52" s="215"/>
      <c r="J52" s="215"/>
      <c r="L52" s="214" t="s">
        <v>136</v>
      </c>
      <c r="M52" s="214" t="s">
        <v>145</v>
      </c>
      <c r="P52" s="214" t="s">
        <v>146</v>
      </c>
      <c r="U52" s="213"/>
      <c r="V52" s="216"/>
      <c r="W52" s="217"/>
      <c r="X52" s="218"/>
      <c r="Y52" s="218"/>
      <c r="Z52" s="219"/>
      <c r="AA52" s="218"/>
      <c r="AB52" s="220"/>
      <c r="AC52" s="218"/>
    </row>
    <row r="53" spans="1:29">
      <c r="A53" s="214" t="s">
        <v>133</v>
      </c>
      <c r="B53" s="214" t="s">
        <v>106</v>
      </c>
      <c r="C53" s="214" t="s">
        <v>149</v>
      </c>
      <c r="D53" s="214" t="s">
        <v>135</v>
      </c>
      <c r="E53" s="214">
        <v>2503.4899999999998</v>
      </c>
      <c r="G53" s="214" t="s">
        <v>8</v>
      </c>
      <c r="H53" s="214">
        <v>1</v>
      </c>
      <c r="I53" s="215"/>
      <c r="J53" s="215"/>
      <c r="L53" s="214" t="s">
        <v>136</v>
      </c>
      <c r="M53" s="214" t="s">
        <v>150</v>
      </c>
      <c r="P53" s="214" t="s">
        <v>146</v>
      </c>
      <c r="U53" s="213"/>
      <c r="V53" s="216"/>
      <c r="W53" s="217"/>
      <c r="X53" s="218"/>
      <c r="Y53" s="218"/>
      <c r="Z53" s="219"/>
      <c r="AA53" s="218"/>
      <c r="AB53" s="220"/>
      <c r="AC53" s="218"/>
    </row>
    <row r="54" spans="1:29">
      <c r="A54" s="214" t="s">
        <v>133</v>
      </c>
      <c r="B54" s="214" t="s">
        <v>106</v>
      </c>
      <c r="C54" s="214" t="s">
        <v>151</v>
      </c>
      <c r="D54" s="214" t="s">
        <v>135</v>
      </c>
      <c r="E54" s="214">
        <v>2503.4899999999998</v>
      </c>
      <c r="G54" s="214" t="s">
        <v>8</v>
      </c>
      <c r="H54" s="214">
        <v>1</v>
      </c>
      <c r="I54" s="215"/>
      <c r="J54" s="215"/>
      <c r="L54" s="214" t="s">
        <v>136</v>
      </c>
      <c r="M54" s="214" t="s">
        <v>150</v>
      </c>
      <c r="P54" s="214" t="s">
        <v>146</v>
      </c>
      <c r="U54" s="213"/>
      <c r="V54" s="216"/>
      <c r="W54" s="217"/>
      <c r="X54" s="218"/>
      <c r="Y54" s="218"/>
      <c r="Z54" s="219"/>
      <c r="AA54" s="218"/>
      <c r="AB54" s="220"/>
      <c r="AC54" s="218"/>
    </row>
    <row r="55" spans="1:29">
      <c r="A55" s="214" t="s">
        <v>133</v>
      </c>
      <c r="B55" s="214" t="s">
        <v>106</v>
      </c>
      <c r="C55" s="214" t="s">
        <v>152</v>
      </c>
      <c r="D55" s="214" t="s">
        <v>135</v>
      </c>
      <c r="E55" s="214">
        <v>1392.68</v>
      </c>
      <c r="G55" s="214" t="s">
        <v>8</v>
      </c>
      <c r="H55" s="214">
        <v>1</v>
      </c>
      <c r="I55" s="215"/>
      <c r="J55" s="215"/>
      <c r="L55" s="214" t="s">
        <v>136</v>
      </c>
      <c r="M55" s="214" t="s">
        <v>145</v>
      </c>
      <c r="P55" s="214" t="s">
        <v>146</v>
      </c>
      <c r="U55" s="213"/>
      <c r="V55" s="216"/>
      <c r="W55" s="217"/>
      <c r="X55" s="218"/>
      <c r="Y55" s="218"/>
      <c r="Z55" s="219"/>
      <c r="AA55" s="218"/>
      <c r="AB55" s="220"/>
      <c r="AC55" s="218"/>
    </row>
    <row r="56" spans="1:29">
      <c r="A56" s="214" t="s">
        <v>133</v>
      </c>
      <c r="B56" s="214" t="s">
        <v>106</v>
      </c>
      <c r="C56" s="214" t="s">
        <v>284</v>
      </c>
      <c r="D56" s="214" t="s">
        <v>135</v>
      </c>
      <c r="E56" s="214">
        <v>2503.4899999999998</v>
      </c>
      <c r="G56" s="214" t="s">
        <v>8</v>
      </c>
      <c r="H56" s="214">
        <v>1</v>
      </c>
      <c r="I56" s="215"/>
      <c r="J56" s="215"/>
      <c r="L56" s="214" t="s">
        <v>136</v>
      </c>
      <c r="M56" s="214" t="s">
        <v>150</v>
      </c>
      <c r="P56" s="214" t="s">
        <v>146</v>
      </c>
      <c r="U56" s="213"/>
      <c r="V56" s="216"/>
      <c r="W56" s="217"/>
      <c r="X56" s="218"/>
      <c r="Y56" s="218"/>
      <c r="Z56" s="219"/>
      <c r="AA56" s="218"/>
      <c r="AB56" s="220"/>
      <c r="AC56" s="218"/>
    </row>
    <row r="57" spans="1:29">
      <c r="A57" s="214" t="s">
        <v>133</v>
      </c>
      <c r="B57" s="214" t="s">
        <v>106</v>
      </c>
      <c r="C57" s="214" t="s">
        <v>285</v>
      </c>
      <c r="D57" s="214" t="s">
        <v>135</v>
      </c>
      <c r="E57" s="214">
        <v>2656.77</v>
      </c>
      <c r="G57" s="214" t="s">
        <v>8</v>
      </c>
      <c r="H57" s="214">
        <v>1</v>
      </c>
      <c r="I57" s="215"/>
      <c r="J57" s="215"/>
      <c r="L57" s="214" t="s">
        <v>136</v>
      </c>
      <c r="M57" s="214" t="s">
        <v>150</v>
      </c>
      <c r="P57" s="214" t="s">
        <v>146</v>
      </c>
      <c r="U57" s="213"/>
      <c r="V57" s="216"/>
      <c r="W57" s="217"/>
      <c r="X57" s="218"/>
      <c r="Y57" s="218"/>
      <c r="Z57" s="219"/>
      <c r="AA57" s="218"/>
      <c r="AB57" s="220"/>
      <c r="AC57" s="218"/>
    </row>
    <row r="58" spans="1:29">
      <c r="A58" s="214" t="s">
        <v>133</v>
      </c>
      <c r="B58" s="214" t="s">
        <v>106</v>
      </c>
      <c r="C58" s="214" t="s">
        <v>286</v>
      </c>
      <c r="D58" s="214" t="s">
        <v>135</v>
      </c>
      <c r="E58" s="214">
        <v>1477.95</v>
      </c>
      <c r="G58" s="214" t="s">
        <v>8</v>
      </c>
      <c r="H58" s="214">
        <v>1</v>
      </c>
      <c r="I58" s="215"/>
      <c r="J58" s="215"/>
      <c r="L58" s="214" t="s">
        <v>136</v>
      </c>
      <c r="M58" s="214" t="s">
        <v>145</v>
      </c>
      <c r="P58" s="214" t="s">
        <v>146</v>
      </c>
      <c r="U58" s="213"/>
      <c r="V58" s="216"/>
      <c r="W58" s="217"/>
      <c r="X58" s="218"/>
      <c r="Y58" s="218"/>
      <c r="Z58" s="219"/>
      <c r="AA58" s="218"/>
      <c r="AB58" s="220"/>
      <c r="AC58" s="218"/>
    </row>
    <row r="59" spans="1:29" customFormat="1" ht="12.75">
      <c r="A59" t="s">
        <v>133</v>
      </c>
      <c r="B59" t="s">
        <v>106</v>
      </c>
      <c r="C59" t="s">
        <v>198</v>
      </c>
      <c r="D59" t="s">
        <v>135</v>
      </c>
      <c r="E59">
        <v>1235.75</v>
      </c>
      <c r="G59" t="s">
        <v>8</v>
      </c>
      <c r="H59">
        <v>1</v>
      </c>
      <c r="I59" s="249"/>
      <c r="J59" s="249"/>
      <c r="L59" t="s">
        <v>136</v>
      </c>
      <c r="M59" t="s">
        <v>107</v>
      </c>
      <c r="P59" t="s">
        <v>199</v>
      </c>
    </row>
    <row r="60" spans="1:29" customFormat="1" ht="12.75">
      <c r="I60" s="249"/>
      <c r="J60" s="249"/>
    </row>
    <row r="61" spans="1:29">
      <c r="I61" s="215"/>
      <c r="J61" s="215"/>
      <c r="U61" s="213"/>
      <c r="V61" s="216"/>
      <c r="W61" s="217"/>
      <c r="X61" s="218"/>
      <c r="Y61" s="218"/>
      <c r="Z61" s="219"/>
      <c r="AA61" s="218"/>
      <c r="AB61" s="220"/>
      <c r="AC61" s="218"/>
    </row>
    <row r="62" spans="1:29">
      <c r="A62" s="214" t="s">
        <v>133</v>
      </c>
      <c r="B62" s="214" t="s">
        <v>106</v>
      </c>
      <c r="C62" s="214" t="s">
        <v>242</v>
      </c>
      <c r="D62" s="214" t="s">
        <v>131</v>
      </c>
      <c r="E62" s="214">
        <v>20.52</v>
      </c>
      <c r="G62" s="214" t="s">
        <v>171</v>
      </c>
      <c r="H62" s="214">
        <v>1</v>
      </c>
      <c r="I62" s="215"/>
      <c r="J62" s="215"/>
      <c r="L62" s="214" t="s">
        <v>136</v>
      </c>
      <c r="M62" s="214" t="s">
        <v>107</v>
      </c>
      <c r="P62" s="214" t="s">
        <v>138</v>
      </c>
      <c r="U62" s="213"/>
      <c r="V62" s="216"/>
      <c r="W62" s="217"/>
      <c r="X62" s="218"/>
      <c r="Y62" s="218"/>
      <c r="Z62" s="219"/>
      <c r="AA62" s="218"/>
      <c r="AB62" s="220"/>
      <c r="AC62" s="218"/>
    </row>
    <row r="63" spans="1:29">
      <c r="A63" s="214" t="s">
        <v>133</v>
      </c>
      <c r="B63" s="214" t="s">
        <v>106</v>
      </c>
      <c r="C63" s="214" t="s">
        <v>243</v>
      </c>
      <c r="D63" s="214" t="s">
        <v>131</v>
      </c>
      <c r="E63" s="214">
        <v>20.52</v>
      </c>
      <c r="G63" s="214" t="s">
        <v>171</v>
      </c>
      <c r="H63" s="214">
        <v>1</v>
      </c>
      <c r="I63" s="215"/>
      <c r="J63" s="215"/>
      <c r="L63" s="214" t="s">
        <v>136</v>
      </c>
      <c r="M63" s="214" t="s">
        <v>107</v>
      </c>
      <c r="P63" s="214" t="s">
        <v>138</v>
      </c>
      <c r="U63" s="213"/>
      <c r="V63" s="216"/>
      <c r="W63" s="217"/>
      <c r="X63" s="218"/>
      <c r="Y63" s="218"/>
      <c r="Z63" s="219"/>
      <c r="AA63" s="218"/>
      <c r="AB63" s="220"/>
      <c r="AC63" s="218"/>
    </row>
    <row r="64" spans="1:29">
      <c r="A64" s="214" t="s">
        <v>133</v>
      </c>
      <c r="B64" s="214" t="s">
        <v>106</v>
      </c>
      <c r="C64" s="214" t="s">
        <v>244</v>
      </c>
      <c r="D64" s="214" t="s">
        <v>131</v>
      </c>
      <c r="E64" s="214">
        <v>18.16</v>
      </c>
      <c r="G64" s="214" t="s">
        <v>171</v>
      </c>
      <c r="H64" s="214">
        <v>1</v>
      </c>
      <c r="I64" s="215"/>
      <c r="J64" s="215"/>
      <c r="L64" s="214" t="s">
        <v>136</v>
      </c>
      <c r="M64" s="214" t="s">
        <v>107</v>
      </c>
      <c r="P64" s="214" t="s">
        <v>138</v>
      </c>
      <c r="U64" s="213"/>
      <c r="V64" s="216"/>
      <c r="W64" s="217"/>
      <c r="X64" s="218"/>
      <c r="Y64" s="218"/>
      <c r="Z64" s="219"/>
      <c r="AA64" s="218"/>
      <c r="AB64" s="220"/>
      <c r="AC64" s="218"/>
    </row>
    <row r="65" spans="1:29">
      <c r="A65" s="214" t="s">
        <v>133</v>
      </c>
      <c r="B65" s="214" t="s">
        <v>106</v>
      </c>
      <c r="C65" s="214" t="s">
        <v>245</v>
      </c>
      <c r="D65" s="214" t="s">
        <v>131</v>
      </c>
      <c r="E65" s="214">
        <v>18.16</v>
      </c>
      <c r="G65" s="214" t="s">
        <v>171</v>
      </c>
      <c r="H65" s="214">
        <v>1</v>
      </c>
      <c r="I65" s="215"/>
      <c r="J65" s="215"/>
      <c r="L65" s="214" t="s">
        <v>136</v>
      </c>
      <c r="M65" s="214" t="s">
        <v>107</v>
      </c>
      <c r="P65" s="214" t="s">
        <v>138</v>
      </c>
      <c r="U65" s="213"/>
      <c r="V65" s="216"/>
      <c r="W65" s="217"/>
      <c r="X65" s="218"/>
      <c r="Y65" s="218"/>
      <c r="Z65" s="219"/>
      <c r="AA65" s="218"/>
      <c r="AB65" s="220"/>
      <c r="AC65" s="218"/>
    </row>
    <row r="66" spans="1:29">
      <c r="A66" s="214" t="s">
        <v>133</v>
      </c>
      <c r="B66" s="214" t="s">
        <v>106</v>
      </c>
      <c r="C66" s="214" t="s">
        <v>134</v>
      </c>
      <c r="D66" s="214" t="s">
        <v>131</v>
      </c>
      <c r="E66" s="214">
        <v>20.52</v>
      </c>
      <c r="G66" s="214" t="s">
        <v>171</v>
      </c>
      <c r="H66" s="214">
        <v>1</v>
      </c>
      <c r="I66" s="215"/>
      <c r="J66" s="215"/>
      <c r="L66" s="214" t="s">
        <v>136</v>
      </c>
      <c r="M66" s="214" t="s">
        <v>107</v>
      </c>
      <c r="P66" s="214" t="s">
        <v>138</v>
      </c>
      <c r="U66" s="213"/>
      <c r="V66" s="216"/>
      <c r="W66" s="217"/>
      <c r="X66" s="218"/>
      <c r="Y66" s="218"/>
      <c r="Z66" s="219"/>
      <c r="AA66" s="218"/>
      <c r="AB66" s="220"/>
      <c r="AC66" s="218"/>
    </row>
    <row r="67" spans="1:29">
      <c r="A67" s="214" t="s">
        <v>133</v>
      </c>
      <c r="B67" s="214" t="s">
        <v>106</v>
      </c>
      <c r="C67" s="214" t="s">
        <v>246</v>
      </c>
      <c r="D67" s="214" t="s">
        <v>131</v>
      </c>
      <c r="E67" s="214">
        <v>20.52</v>
      </c>
      <c r="G67" s="214" t="s">
        <v>171</v>
      </c>
      <c r="H67" s="214">
        <v>1</v>
      </c>
      <c r="I67" s="215"/>
      <c r="J67" s="215"/>
      <c r="L67" s="214" t="s">
        <v>136</v>
      </c>
      <c r="M67" s="214" t="s">
        <v>107</v>
      </c>
      <c r="P67" s="214" t="s">
        <v>138</v>
      </c>
      <c r="U67" s="213"/>
      <c r="V67" s="216"/>
      <c r="W67" s="217"/>
      <c r="X67" s="218"/>
      <c r="Y67" s="218"/>
      <c r="Z67" s="219"/>
      <c r="AA67" s="218"/>
      <c r="AB67" s="220"/>
      <c r="AC67" s="218"/>
    </row>
    <row r="68" spans="1:29">
      <c r="A68" s="214" t="s">
        <v>133</v>
      </c>
      <c r="B68" s="214" t="s">
        <v>106</v>
      </c>
      <c r="C68" s="214" t="s">
        <v>247</v>
      </c>
      <c r="D68" s="214" t="s">
        <v>131</v>
      </c>
      <c r="E68" s="214">
        <v>18.16</v>
      </c>
      <c r="G68" s="214" t="s">
        <v>171</v>
      </c>
      <c r="H68" s="214">
        <v>1</v>
      </c>
      <c r="I68" s="215"/>
      <c r="J68" s="215"/>
      <c r="L68" s="214" t="s">
        <v>136</v>
      </c>
      <c r="M68" s="214" t="s">
        <v>107</v>
      </c>
      <c r="P68" s="214" t="s">
        <v>138</v>
      </c>
      <c r="U68" s="213"/>
      <c r="V68" s="216"/>
      <c r="W68" s="217"/>
      <c r="X68" s="218"/>
      <c r="Y68" s="218"/>
      <c r="Z68" s="219"/>
      <c r="AA68" s="218"/>
      <c r="AB68" s="220"/>
      <c r="AC68" s="218"/>
    </row>
    <row r="69" spans="1:29">
      <c r="A69" s="214" t="s">
        <v>133</v>
      </c>
      <c r="B69" s="214" t="s">
        <v>106</v>
      </c>
      <c r="C69" s="214" t="s">
        <v>248</v>
      </c>
      <c r="D69" s="214" t="s">
        <v>131</v>
      </c>
      <c r="E69" s="214">
        <v>20.52</v>
      </c>
      <c r="G69" s="214" t="s">
        <v>171</v>
      </c>
      <c r="H69" s="214">
        <v>1</v>
      </c>
      <c r="I69" s="215"/>
      <c r="J69" s="215"/>
      <c r="L69" s="214" t="s">
        <v>136</v>
      </c>
      <c r="M69" s="214" t="s">
        <v>107</v>
      </c>
      <c r="P69" s="214" t="s">
        <v>138</v>
      </c>
      <c r="U69" s="213"/>
      <c r="V69" s="216"/>
      <c r="W69" s="217"/>
      <c r="X69" s="218"/>
      <c r="Y69" s="218"/>
      <c r="Z69" s="219"/>
      <c r="AA69" s="218"/>
      <c r="AB69" s="220"/>
      <c r="AC69" s="218"/>
    </row>
    <row r="70" spans="1:29">
      <c r="A70" s="214" t="s">
        <v>133</v>
      </c>
      <c r="B70" s="214" t="s">
        <v>106</v>
      </c>
      <c r="C70" s="214" t="s">
        <v>249</v>
      </c>
      <c r="D70" s="214" t="s">
        <v>131</v>
      </c>
      <c r="E70" s="214">
        <v>20.52</v>
      </c>
      <c r="G70" s="214" t="s">
        <v>171</v>
      </c>
      <c r="H70" s="214">
        <v>1</v>
      </c>
      <c r="I70" s="215"/>
      <c r="J70" s="215"/>
      <c r="L70" s="214" t="s">
        <v>136</v>
      </c>
      <c r="M70" s="214" t="s">
        <v>107</v>
      </c>
      <c r="P70" s="214" t="s">
        <v>138</v>
      </c>
      <c r="U70" s="213"/>
      <c r="V70" s="216"/>
      <c r="W70" s="217"/>
      <c r="X70" s="218"/>
      <c r="Y70" s="218"/>
      <c r="Z70" s="219"/>
      <c r="AA70" s="218"/>
      <c r="AB70" s="220"/>
      <c r="AC70" s="218"/>
    </row>
    <row r="71" spans="1:29">
      <c r="A71" s="214" t="s">
        <v>133</v>
      </c>
      <c r="B71" s="214" t="s">
        <v>106</v>
      </c>
      <c r="C71" s="214" t="s">
        <v>250</v>
      </c>
      <c r="D71" s="214" t="s">
        <v>131</v>
      </c>
      <c r="E71" s="214">
        <v>20.52</v>
      </c>
      <c r="G71" s="214" t="s">
        <v>171</v>
      </c>
      <c r="H71" s="214">
        <v>1</v>
      </c>
      <c r="I71" s="215"/>
      <c r="J71" s="215"/>
      <c r="L71" s="214" t="s">
        <v>136</v>
      </c>
      <c r="M71" s="214" t="s">
        <v>107</v>
      </c>
      <c r="P71" s="214" t="s">
        <v>138</v>
      </c>
      <c r="U71" s="213"/>
      <c r="V71" s="216"/>
      <c r="W71" s="217"/>
      <c r="X71" s="218"/>
      <c r="Y71" s="218"/>
      <c r="Z71" s="219"/>
      <c r="AA71" s="218"/>
      <c r="AB71" s="220"/>
      <c r="AC71" s="218"/>
    </row>
    <row r="72" spans="1:29">
      <c r="A72" s="214" t="s">
        <v>133</v>
      </c>
      <c r="B72" s="214" t="s">
        <v>106</v>
      </c>
      <c r="C72" s="214" t="s">
        <v>251</v>
      </c>
      <c r="D72" s="214" t="s">
        <v>131</v>
      </c>
      <c r="E72" s="214">
        <v>18.16</v>
      </c>
      <c r="G72" s="214" t="s">
        <v>171</v>
      </c>
      <c r="H72" s="214">
        <v>1</v>
      </c>
      <c r="I72" s="215"/>
      <c r="J72" s="215"/>
      <c r="L72" s="214" t="s">
        <v>136</v>
      </c>
      <c r="M72" s="214" t="s">
        <v>107</v>
      </c>
      <c r="P72" s="214" t="s">
        <v>138</v>
      </c>
      <c r="U72" s="213"/>
      <c r="V72" s="216"/>
      <c r="W72" s="217"/>
      <c r="X72" s="218"/>
      <c r="Y72" s="218"/>
      <c r="Z72" s="219"/>
      <c r="AA72" s="218"/>
      <c r="AB72" s="220"/>
      <c r="AC72" s="218"/>
    </row>
    <row r="73" spans="1:29">
      <c r="A73" s="214" t="s">
        <v>133</v>
      </c>
      <c r="B73" s="214" t="s">
        <v>106</v>
      </c>
      <c r="C73" s="214" t="s">
        <v>252</v>
      </c>
      <c r="D73" s="214" t="s">
        <v>131</v>
      </c>
      <c r="E73" s="214">
        <v>20.52</v>
      </c>
      <c r="G73" s="214" t="s">
        <v>171</v>
      </c>
      <c r="H73" s="214">
        <v>1</v>
      </c>
      <c r="I73" s="215"/>
      <c r="J73" s="215"/>
      <c r="L73" s="214" t="s">
        <v>136</v>
      </c>
      <c r="M73" s="214" t="s">
        <v>107</v>
      </c>
      <c r="P73" s="214" t="s">
        <v>138</v>
      </c>
      <c r="U73" s="213"/>
      <c r="V73" s="216"/>
      <c r="W73" s="217"/>
      <c r="X73" s="218"/>
      <c r="Y73" s="218"/>
      <c r="Z73" s="219"/>
      <c r="AA73" s="218"/>
      <c r="AB73" s="220"/>
      <c r="AC73" s="218"/>
    </row>
    <row r="74" spans="1:29">
      <c r="A74" s="214" t="s">
        <v>133</v>
      </c>
      <c r="B74" s="214" t="s">
        <v>106</v>
      </c>
      <c r="C74" s="214" t="s">
        <v>253</v>
      </c>
      <c r="D74" s="214" t="s">
        <v>131</v>
      </c>
      <c r="E74" s="214">
        <v>18.16</v>
      </c>
      <c r="G74" s="214" t="s">
        <v>171</v>
      </c>
      <c r="H74" s="214">
        <v>1</v>
      </c>
      <c r="I74" s="215"/>
      <c r="J74" s="215"/>
      <c r="L74" s="214" t="s">
        <v>136</v>
      </c>
      <c r="M74" s="214" t="s">
        <v>107</v>
      </c>
      <c r="P74" s="214" t="s">
        <v>138</v>
      </c>
      <c r="U74" s="213"/>
      <c r="V74" s="216"/>
      <c r="W74" s="217"/>
      <c r="X74" s="218"/>
      <c r="Y74" s="218"/>
      <c r="Z74" s="219"/>
      <c r="AA74" s="218"/>
      <c r="AB74" s="220"/>
      <c r="AC74" s="218"/>
    </row>
    <row r="75" spans="1:29">
      <c r="A75" s="214" t="s">
        <v>133</v>
      </c>
      <c r="B75" s="214" t="s">
        <v>106</v>
      </c>
      <c r="C75" s="214" t="s">
        <v>139</v>
      </c>
      <c r="D75" s="214" t="s">
        <v>131</v>
      </c>
      <c r="E75" s="214">
        <v>20.52</v>
      </c>
      <c r="G75" s="214" t="s">
        <v>171</v>
      </c>
      <c r="H75" s="214">
        <v>1</v>
      </c>
      <c r="I75" s="215"/>
      <c r="J75" s="215"/>
      <c r="L75" s="214" t="s">
        <v>136</v>
      </c>
      <c r="M75" s="214" t="s">
        <v>107</v>
      </c>
      <c r="P75" s="214" t="s">
        <v>138</v>
      </c>
      <c r="U75" s="213"/>
      <c r="V75" s="216"/>
      <c r="W75" s="217"/>
      <c r="X75" s="218"/>
      <c r="Y75" s="218"/>
      <c r="Z75" s="219"/>
      <c r="AA75" s="218"/>
      <c r="AB75" s="220"/>
      <c r="AC75" s="218"/>
    </row>
    <row r="76" spans="1:29">
      <c r="A76" s="214" t="s">
        <v>133</v>
      </c>
      <c r="B76" s="214" t="s">
        <v>106</v>
      </c>
      <c r="C76" s="214" t="s">
        <v>140</v>
      </c>
      <c r="D76" s="214" t="s">
        <v>131</v>
      </c>
      <c r="E76" s="214">
        <v>20.52</v>
      </c>
      <c r="G76" s="214" t="s">
        <v>171</v>
      </c>
      <c r="H76" s="214">
        <v>1</v>
      </c>
      <c r="I76" s="215"/>
      <c r="J76" s="215"/>
      <c r="L76" s="214" t="s">
        <v>136</v>
      </c>
      <c r="M76" s="214" t="s">
        <v>107</v>
      </c>
      <c r="P76" s="214" t="s">
        <v>138</v>
      </c>
      <c r="U76" s="213"/>
      <c r="V76" s="216"/>
      <c r="W76" s="217"/>
      <c r="X76" s="218"/>
      <c r="Y76" s="218"/>
      <c r="Z76" s="219"/>
      <c r="AA76" s="218"/>
      <c r="AB76" s="220"/>
      <c r="AC76" s="218"/>
    </row>
    <row r="77" spans="1:29">
      <c r="A77" s="214" t="s">
        <v>133</v>
      </c>
      <c r="B77" s="214" t="s">
        <v>106</v>
      </c>
      <c r="C77" s="214" t="s">
        <v>254</v>
      </c>
      <c r="D77" s="214" t="s">
        <v>131</v>
      </c>
      <c r="E77" s="214">
        <v>18.16</v>
      </c>
      <c r="G77" s="214" t="s">
        <v>171</v>
      </c>
      <c r="H77" s="214">
        <v>1</v>
      </c>
      <c r="I77" s="215"/>
      <c r="J77" s="215"/>
      <c r="L77" s="214" t="s">
        <v>136</v>
      </c>
      <c r="M77" s="214" t="s">
        <v>107</v>
      </c>
      <c r="P77" s="214" t="s">
        <v>138</v>
      </c>
      <c r="U77" s="213"/>
      <c r="V77" s="216"/>
      <c r="W77" s="217"/>
      <c r="X77" s="218"/>
      <c r="Y77" s="218"/>
      <c r="Z77" s="219"/>
      <c r="AA77" s="218"/>
      <c r="AB77" s="220"/>
      <c r="AC77" s="218"/>
    </row>
    <row r="78" spans="1:29">
      <c r="A78" s="214" t="s">
        <v>133</v>
      </c>
      <c r="B78" s="214" t="s">
        <v>106</v>
      </c>
      <c r="C78" s="214" t="s">
        <v>141</v>
      </c>
      <c r="D78" s="214" t="s">
        <v>131</v>
      </c>
      <c r="E78" s="214">
        <v>20.52</v>
      </c>
      <c r="G78" s="214" t="s">
        <v>171</v>
      </c>
      <c r="H78" s="214">
        <v>1</v>
      </c>
      <c r="I78" s="215"/>
      <c r="J78" s="215"/>
      <c r="L78" s="214" t="s">
        <v>136</v>
      </c>
      <c r="M78" s="214" t="s">
        <v>107</v>
      </c>
      <c r="P78" s="214" t="s">
        <v>138</v>
      </c>
      <c r="U78" s="213"/>
      <c r="V78" s="216"/>
      <c r="W78" s="217"/>
      <c r="X78" s="218"/>
      <c r="Y78" s="218"/>
      <c r="Z78" s="219"/>
      <c r="AA78" s="218"/>
      <c r="AB78" s="220"/>
      <c r="AC78" s="218"/>
    </row>
    <row r="79" spans="1:29">
      <c r="A79" s="214" t="s">
        <v>133</v>
      </c>
      <c r="B79" s="214" t="s">
        <v>106</v>
      </c>
      <c r="C79" s="214" t="s">
        <v>255</v>
      </c>
      <c r="D79" s="214" t="s">
        <v>131</v>
      </c>
      <c r="E79" s="214">
        <v>18.16</v>
      </c>
      <c r="G79" s="214" t="s">
        <v>171</v>
      </c>
      <c r="H79" s="214">
        <v>1</v>
      </c>
      <c r="I79" s="215"/>
      <c r="J79" s="215"/>
      <c r="L79" s="214" t="s">
        <v>136</v>
      </c>
      <c r="M79" s="214" t="s">
        <v>107</v>
      </c>
      <c r="P79" s="214" t="s">
        <v>138</v>
      </c>
      <c r="U79" s="213"/>
      <c r="V79" s="216"/>
      <c r="W79" s="217"/>
      <c r="X79" s="218"/>
      <c r="Y79" s="218"/>
      <c r="Z79" s="219"/>
      <c r="AA79" s="218"/>
      <c r="AB79" s="220"/>
      <c r="AC79" s="218"/>
    </row>
    <row r="80" spans="1:29">
      <c r="A80" s="214" t="s">
        <v>133</v>
      </c>
      <c r="B80" s="214" t="s">
        <v>106</v>
      </c>
      <c r="C80" s="214" t="s">
        <v>142</v>
      </c>
      <c r="D80" s="214" t="s">
        <v>131</v>
      </c>
      <c r="E80" s="214">
        <v>20.52</v>
      </c>
      <c r="G80" s="214" t="s">
        <v>171</v>
      </c>
      <c r="H80" s="214">
        <v>1</v>
      </c>
      <c r="I80" s="215"/>
      <c r="J80" s="215"/>
      <c r="L80" s="214" t="s">
        <v>136</v>
      </c>
      <c r="M80" s="214" t="s">
        <v>107</v>
      </c>
      <c r="P80" s="214" t="s">
        <v>138</v>
      </c>
      <c r="U80" s="213"/>
      <c r="V80" s="216"/>
      <c r="W80" s="217"/>
      <c r="X80" s="218"/>
      <c r="Y80" s="218"/>
      <c r="Z80" s="219"/>
      <c r="AA80" s="218"/>
      <c r="AB80" s="220"/>
      <c r="AC80" s="218"/>
    </row>
    <row r="81" spans="1:29">
      <c r="A81" s="214" t="s">
        <v>133</v>
      </c>
      <c r="B81" s="214" t="s">
        <v>106</v>
      </c>
      <c r="C81" s="214" t="s">
        <v>256</v>
      </c>
      <c r="D81" s="214" t="s">
        <v>131</v>
      </c>
      <c r="E81" s="214">
        <v>18.16</v>
      </c>
      <c r="G81" s="214" t="s">
        <v>171</v>
      </c>
      <c r="H81" s="214">
        <v>1</v>
      </c>
      <c r="I81" s="215"/>
      <c r="J81" s="215"/>
      <c r="L81" s="214" t="s">
        <v>136</v>
      </c>
      <c r="M81" s="214" t="s">
        <v>107</v>
      </c>
      <c r="P81" s="214" t="s">
        <v>138</v>
      </c>
      <c r="U81" s="213"/>
      <c r="V81" s="216"/>
      <c r="W81" s="217"/>
      <c r="X81" s="218"/>
      <c r="Y81" s="218"/>
      <c r="Z81" s="219"/>
      <c r="AA81" s="218"/>
      <c r="AB81" s="220"/>
      <c r="AC81" s="218"/>
    </row>
    <row r="82" spans="1:29">
      <c r="A82" s="214" t="s">
        <v>133</v>
      </c>
      <c r="B82" s="214" t="s">
        <v>106</v>
      </c>
      <c r="C82" s="214" t="s">
        <v>257</v>
      </c>
      <c r="D82" s="214" t="s">
        <v>131</v>
      </c>
      <c r="E82" s="214">
        <v>18.16</v>
      </c>
      <c r="G82" s="214" t="s">
        <v>171</v>
      </c>
      <c r="H82" s="214">
        <v>1</v>
      </c>
      <c r="I82" s="215"/>
      <c r="J82" s="215"/>
      <c r="L82" s="214" t="s">
        <v>136</v>
      </c>
      <c r="M82" s="214" t="s">
        <v>107</v>
      </c>
      <c r="P82" s="214" t="s">
        <v>138</v>
      </c>
      <c r="U82" s="213"/>
      <c r="V82" s="216"/>
      <c r="W82" s="217"/>
      <c r="X82" s="218"/>
      <c r="Y82" s="218"/>
      <c r="Z82" s="219"/>
      <c r="AA82" s="218"/>
      <c r="AB82" s="220"/>
      <c r="AC82" s="218"/>
    </row>
    <row r="83" spans="1:29">
      <c r="A83" s="214" t="s">
        <v>133</v>
      </c>
      <c r="B83" s="214" t="s">
        <v>106</v>
      </c>
      <c r="C83" s="214" t="s">
        <v>186</v>
      </c>
      <c r="D83" s="214" t="s">
        <v>131</v>
      </c>
      <c r="E83" s="214">
        <v>20.52</v>
      </c>
      <c r="G83" s="214" t="s">
        <v>171</v>
      </c>
      <c r="H83" s="214">
        <v>1</v>
      </c>
      <c r="I83" s="215"/>
      <c r="J83" s="215"/>
      <c r="L83" s="214" t="s">
        <v>136</v>
      </c>
      <c r="M83" s="214" t="s">
        <v>107</v>
      </c>
      <c r="P83" s="214" t="s">
        <v>138</v>
      </c>
      <c r="U83" s="213"/>
      <c r="V83" s="216"/>
      <c r="W83" s="217"/>
      <c r="X83" s="218"/>
      <c r="Y83" s="218"/>
      <c r="Z83" s="219"/>
      <c r="AA83" s="218"/>
      <c r="AB83" s="220"/>
      <c r="AC83" s="218"/>
    </row>
    <row r="84" spans="1:29">
      <c r="A84" s="214" t="s">
        <v>133</v>
      </c>
      <c r="B84" s="214" t="s">
        <v>106</v>
      </c>
      <c r="C84" s="214" t="s">
        <v>258</v>
      </c>
      <c r="D84" s="214" t="s">
        <v>131</v>
      </c>
      <c r="E84" s="214">
        <v>18.16</v>
      </c>
      <c r="G84" s="214" t="s">
        <v>171</v>
      </c>
      <c r="H84" s="214">
        <v>1</v>
      </c>
      <c r="I84" s="215"/>
      <c r="J84" s="215"/>
      <c r="L84" s="214" t="s">
        <v>136</v>
      </c>
      <c r="M84" s="214" t="s">
        <v>107</v>
      </c>
      <c r="P84" s="214" t="s">
        <v>138</v>
      </c>
      <c r="U84" s="213"/>
      <c r="V84" s="216"/>
      <c r="W84" s="217"/>
      <c r="X84" s="218"/>
      <c r="Y84" s="218"/>
      <c r="Z84" s="219"/>
      <c r="AA84" s="218"/>
      <c r="AB84" s="220"/>
      <c r="AC84" s="218"/>
    </row>
    <row r="85" spans="1:29">
      <c r="A85" s="214" t="s">
        <v>133</v>
      </c>
      <c r="B85" s="214" t="s">
        <v>106</v>
      </c>
      <c r="C85" s="214" t="s">
        <v>259</v>
      </c>
      <c r="D85" s="214" t="s">
        <v>131</v>
      </c>
      <c r="E85" s="214">
        <v>18.16</v>
      </c>
      <c r="G85" s="214" t="s">
        <v>171</v>
      </c>
      <c r="H85" s="214">
        <v>1</v>
      </c>
      <c r="I85" s="215"/>
      <c r="J85" s="215"/>
      <c r="L85" s="214" t="s">
        <v>136</v>
      </c>
      <c r="M85" s="214" t="s">
        <v>107</v>
      </c>
      <c r="P85" s="214" t="s">
        <v>138</v>
      </c>
      <c r="U85" s="213"/>
      <c r="V85" s="216"/>
      <c r="W85" s="217"/>
      <c r="X85" s="218"/>
      <c r="Y85" s="218"/>
      <c r="Z85" s="219"/>
      <c r="AA85" s="218"/>
      <c r="AB85" s="220"/>
      <c r="AC85" s="218"/>
    </row>
    <row r="86" spans="1:29">
      <c r="A86" s="214" t="s">
        <v>133</v>
      </c>
      <c r="B86" s="214" t="s">
        <v>106</v>
      </c>
      <c r="C86" s="214" t="s">
        <v>260</v>
      </c>
      <c r="D86" s="214" t="s">
        <v>131</v>
      </c>
      <c r="E86" s="214">
        <v>20.52</v>
      </c>
      <c r="G86" s="214" t="s">
        <v>171</v>
      </c>
      <c r="H86" s="214">
        <v>1</v>
      </c>
      <c r="I86" s="215"/>
      <c r="J86" s="215"/>
      <c r="L86" s="214" t="s">
        <v>136</v>
      </c>
      <c r="M86" s="214" t="s">
        <v>107</v>
      </c>
      <c r="P86" s="214" t="s">
        <v>138</v>
      </c>
      <c r="U86" s="213"/>
      <c r="V86" s="216"/>
      <c r="W86" s="217"/>
      <c r="X86" s="218"/>
      <c r="Y86" s="218"/>
      <c r="Z86" s="219"/>
      <c r="AA86" s="218"/>
      <c r="AB86" s="220"/>
      <c r="AC86" s="218"/>
    </row>
    <row r="87" spans="1:29">
      <c r="A87" s="214" t="s">
        <v>133</v>
      </c>
      <c r="B87" s="214" t="s">
        <v>106</v>
      </c>
      <c r="C87" s="214" t="s">
        <v>261</v>
      </c>
      <c r="D87" s="214" t="s">
        <v>131</v>
      </c>
      <c r="E87" s="214">
        <v>18.16</v>
      </c>
      <c r="G87" s="214" t="s">
        <v>171</v>
      </c>
      <c r="H87" s="214">
        <v>1</v>
      </c>
      <c r="L87" s="214" t="s">
        <v>136</v>
      </c>
      <c r="M87" s="214" t="s">
        <v>107</v>
      </c>
      <c r="P87" s="214" t="s">
        <v>138</v>
      </c>
      <c r="U87" s="213"/>
      <c r="V87" s="216"/>
      <c r="W87" s="217"/>
      <c r="X87" s="218"/>
      <c r="Y87" s="218"/>
      <c r="Z87" s="219"/>
      <c r="AA87" s="218"/>
      <c r="AB87" s="220"/>
      <c r="AC87" s="218"/>
    </row>
    <row r="88" spans="1:29">
      <c r="A88" s="214" t="s">
        <v>133</v>
      </c>
      <c r="B88" s="214" t="s">
        <v>106</v>
      </c>
      <c r="C88" s="214" t="s">
        <v>262</v>
      </c>
      <c r="D88" s="214" t="s">
        <v>131</v>
      </c>
      <c r="E88" s="214">
        <v>18.16</v>
      </c>
      <c r="G88" s="214" t="s">
        <v>171</v>
      </c>
      <c r="H88" s="214">
        <v>1</v>
      </c>
      <c r="L88" s="214" t="s">
        <v>136</v>
      </c>
      <c r="M88" s="214" t="s">
        <v>107</v>
      </c>
      <c r="P88" s="214" t="s">
        <v>138</v>
      </c>
      <c r="U88" s="213"/>
      <c r="V88" s="216"/>
      <c r="W88" s="217"/>
      <c r="X88" s="218"/>
      <c r="Y88" s="218"/>
      <c r="Z88" s="219"/>
      <c r="AA88" s="218"/>
      <c r="AB88" s="220"/>
      <c r="AC88" s="218"/>
    </row>
    <row r="89" spans="1:29" customFormat="1">
      <c r="A89" t="s">
        <v>133</v>
      </c>
      <c r="B89" t="s">
        <v>106</v>
      </c>
      <c r="C89" t="s">
        <v>143</v>
      </c>
      <c r="D89" t="s">
        <v>131</v>
      </c>
      <c r="E89" s="214">
        <v>20.52</v>
      </c>
      <c r="G89" t="s">
        <v>171</v>
      </c>
      <c r="H89">
        <v>1</v>
      </c>
      <c r="I89" s="249"/>
      <c r="J89" s="249"/>
      <c r="L89" t="s">
        <v>136</v>
      </c>
      <c r="M89" t="s">
        <v>107</v>
      </c>
      <c r="P89" t="s">
        <v>138</v>
      </c>
      <c r="Q89" t="s">
        <v>369</v>
      </c>
    </row>
    <row r="90" spans="1:29" customFormat="1">
      <c r="A90" t="s">
        <v>133</v>
      </c>
      <c r="B90" t="s">
        <v>106</v>
      </c>
      <c r="C90" t="s">
        <v>144</v>
      </c>
      <c r="D90" t="s">
        <v>131</v>
      </c>
      <c r="E90" s="214">
        <v>31.65</v>
      </c>
      <c r="G90" t="s">
        <v>171</v>
      </c>
      <c r="H90">
        <v>1</v>
      </c>
      <c r="I90" s="249"/>
      <c r="J90" s="249"/>
      <c r="L90" t="s">
        <v>136</v>
      </c>
      <c r="M90" t="s">
        <v>107</v>
      </c>
      <c r="P90" t="s">
        <v>146</v>
      </c>
    </row>
    <row r="91" spans="1:29" customFormat="1">
      <c r="A91" t="s">
        <v>133</v>
      </c>
      <c r="B91" t="s">
        <v>106</v>
      </c>
      <c r="C91" t="s">
        <v>263</v>
      </c>
      <c r="D91" t="s">
        <v>131</v>
      </c>
      <c r="E91" s="214">
        <v>31.65</v>
      </c>
      <c r="G91" t="s">
        <v>171</v>
      </c>
      <c r="H91">
        <v>1</v>
      </c>
      <c r="I91" s="249"/>
      <c r="J91" s="249"/>
      <c r="L91" t="s">
        <v>136</v>
      </c>
      <c r="M91" t="s">
        <v>107</v>
      </c>
      <c r="P91" t="s">
        <v>146</v>
      </c>
    </row>
    <row r="92" spans="1:29" customFormat="1">
      <c r="A92" t="s">
        <v>133</v>
      </c>
      <c r="B92" t="s">
        <v>106</v>
      </c>
      <c r="C92" t="s">
        <v>264</v>
      </c>
      <c r="D92" t="s">
        <v>131</v>
      </c>
      <c r="E92" s="214">
        <v>38.79</v>
      </c>
      <c r="G92" t="s">
        <v>171</v>
      </c>
      <c r="H92">
        <v>1</v>
      </c>
      <c r="I92" s="249"/>
      <c r="J92" s="249"/>
      <c r="L92" t="s">
        <v>136</v>
      </c>
      <c r="M92" t="s">
        <v>107</v>
      </c>
      <c r="P92" t="s">
        <v>146</v>
      </c>
    </row>
    <row r="93" spans="1:29" customFormat="1">
      <c r="A93" t="s">
        <v>133</v>
      </c>
      <c r="B93" t="s">
        <v>106</v>
      </c>
      <c r="C93" t="s">
        <v>265</v>
      </c>
      <c r="D93" t="s">
        <v>131</v>
      </c>
      <c r="E93" s="214">
        <v>38.79</v>
      </c>
      <c r="G93" t="s">
        <v>171</v>
      </c>
      <c r="H93">
        <v>1</v>
      </c>
      <c r="I93" s="249"/>
      <c r="J93" s="249"/>
      <c r="L93" t="s">
        <v>136</v>
      </c>
      <c r="M93" t="s">
        <v>107</v>
      </c>
      <c r="P93" t="s">
        <v>146</v>
      </c>
    </row>
    <row r="94" spans="1:29" customFormat="1">
      <c r="A94" t="s">
        <v>133</v>
      </c>
      <c r="B94" t="s">
        <v>106</v>
      </c>
      <c r="C94" t="s">
        <v>266</v>
      </c>
      <c r="D94" t="s">
        <v>131</v>
      </c>
      <c r="E94" s="214">
        <v>31.65</v>
      </c>
      <c r="G94" t="s">
        <v>171</v>
      </c>
      <c r="H94">
        <v>1</v>
      </c>
      <c r="I94" s="249"/>
      <c r="J94" s="249"/>
      <c r="L94" t="s">
        <v>136</v>
      </c>
      <c r="M94" t="s">
        <v>107</v>
      </c>
      <c r="P94" t="s">
        <v>146</v>
      </c>
    </row>
    <row r="95" spans="1:29" customFormat="1">
      <c r="A95" t="s">
        <v>133</v>
      </c>
      <c r="B95" t="s">
        <v>106</v>
      </c>
      <c r="C95" t="s">
        <v>147</v>
      </c>
      <c r="D95" t="s">
        <v>131</v>
      </c>
      <c r="E95" s="214">
        <v>31.65</v>
      </c>
      <c r="G95" t="s">
        <v>171</v>
      </c>
      <c r="H95">
        <v>1</v>
      </c>
      <c r="I95" s="249"/>
      <c r="J95" s="249"/>
      <c r="L95" t="s">
        <v>136</v>
      </c>
      <c r="M95" t="s">
        <v>107</v>
      </c>
      <c r="P95" t="s">
        <v>146</v>
      </c>
    </row>
    <row r="96" spans="1:29" customFormat="1">
      <c r="A96" t="s">
        <v>133</v>
      </c>
      <c r="B96" t="s">
        <v>106</v>
      </c>
      <c r="C96" t="s">
        <v>267</v>
      </c>
      <c r="D96" t="s">
        <v>131</v>
      </c>
      <c r="E96" s="214">
        <v>38.79</v>
      </c>
      <c r="G96" t="s">
        <v>171</v>
      </c>
      <c r="H96">
        <v>1</v>
      </c>
      <c r="I96" s="249"/>
      <c r="J96" s="249"/>
      <c r="L96" t="s">
        <v>136</v>
      </c>
      <c r="M96" t="s">
        <v>107</v>
      </c>
      <c r="P96" t="s">
        <v>146</v>
      </c>
    </row>
    <row r="97" spans="1:16" customFormat="1">
      <c r="A97" t="s">
        <v>133</v>
      </c>
      <c r="B97" t="s">
        <v>106</v>
      </c>
      <c r="C97" t="s">
        <v>268</v>
      </c>
      <c r="D97" t="s">
        <v>131</v>
      </c>
      <c r="E97" s="214">
        <v>31.65</v>
      </c>
      <c r="G97" t="s">
        <v>171</v>
      </c>
      <c r="H97">
        <v>1</v>
      </c>
      <c r="I97" s="249"/>
      <c r="J97" s="249"/>
      <c r="L97" t="s">
        <v>136</v>
      </c>
      <c r="M97" t="s">
        <v>107</v>
      </c>
      <c r="P97" t="s">
        <v>146</v>
      </c>
    </row>
    <row r="98" spans="1:16" customFormat="1">
      <c r="A98" t="s">
        <v>133</v>
      </c>
      <c r="B98" t="s">
        <v>106</v>
      </c>
      <c r="C98" t="s">
        <v>269</v>
      </c>
      <c r="D98" t="s">
        <v>131</v>
      </c>
      <c r="E98" s="214">
        <v>31.65</v>
      </c>
      <c r="G98" t="s">
        <v>171</v>
      </c>
      <c r="H98">
        <v>1</v>
      </c>
      <c r="I98" s="249"/>
      <c r="J98" s="249"/>
      <c r="L98" t="s">
        <v>136</v>
      </c>
      <c r="M98" t="s">
        <v>107</v>
      </c>
      <c r="P98" t="s">
        <v>146</v>
      </c>
    </row>
    <row r="99" spans="1:16" customFormat="1">
      <c r="A99" t="s">
        <v>133</v>
      </c>
      <c r="B99" t="s">
        <v>106</v>
      </c>
      <c r="C99" t="s">
        <v>270</v>
      </c>
      <c r="D99" t="s">
        <v>131</v>
      </c>
      <c r="E99" s="214">
        <v>31.65</v>
      </c>
      <c r="G99" t="s">
        <v>171</v>
      </c>
      <c r="H99">
        <v>1</v>
      </c>
      <c r="I99" s="249"/>
      <c r="J99" s="249"/>
      <c r="L99" t="s">
        <v>136</v>
      </c>
      <c r="M99" t="s">
        <v>107</v>
      </c>
      <c r="P99" t="s">
        <v>146</v>
      </c>
    </row>
    <row r="100" spans="1:16" customFormat="1">
      <c r="A100" t="s">
        <v>133</v>
      </c>
      <c r="B100" t="s">
        <v>106</v>
      </c>
      <c r="C100" t="s">
        <v>271</v>
      </c>
      <c r="D100" t="s">
        <v>131</v>
      </c>
      <c r="E100" s="214">
        <v>38.79</v>
      </c>
      <c r="G100" t="s">
        <v>171</v>
      </c>
      <c r="H100">
        <v>1</v>
      </c>
      <c r="I100" s="249"/>
      <c r="J100" s="249"/>
      <c r="L100" t="s">
        <v>136</v>
      </c>
      <c r="M100" t="s">
        <v>107</v>
      </c>
      <c r="P100" t="s">
        <v>146</v>
      </c>
    </row>
    <row r="101" spans="1:16" customFormat="1">
      <c r="A101" t="s">
        <v>133</v>
      </c>
      <c r="B101" t="s">
        <v>106</v>
      </c>
      <c r="C101" t="s">
        <v>272</v>
      </c>
      <c r="D101" t="s">
        <v>131</v>
      </c>
      <c r="E101" s="214">
        <v>31.65</v>
      </c>
      <c r="G101" t="s">
        <v>171</v>
      </c>
      <c r="H101">
        <v>1</v>
      </c>
      <c r="I101" s="249"/>
      <c r="J101" s="249"/>
      <c r="L101" t="s">
        <v>136</v>
      </c>
      <c r="M101" t="s">
        <v>107</v>
      </c>
      <c r="P101" t="s">
        <v>146</v>
      </c>
    </row>
    <row r="102" spans="1:16" customFormat="1">
      <c r="A102" t="s">
        <v>133</v>
      </c>
      <c r="B102" t="s">
        <v>106</v>
      </c>
      <c r="C102" t="s">
        <v>273</v>
      </c>
      <c r="D102" t="s">
        <v>131</v>
      </c>
      <c r="E102" s="214">
        <v>69.260000000000005</v>
      </c>
      <c r="G102" t="s">
        <v>171</v>
      </c>
      <c r="H102">
        <v>1</v>
      </c>
      <c r="I102" s="249"/>
      <c r="J102" s="249"/>
      <c r="L102" t="s">
        <v>136</v>
      </c>
      <c r="M102" t="s">
        <v>107</v>
      </c>
      <c r="P102" t="s">
        <v>146</v>
      </c>
    </row>
    <row r="103" spans="1:16" customFormat="1">
      <c r="A103" t="s">
        <v>133</v>
      </c>
      <c r="B103" t="s">
        <v>106</v>
      </c>
      <c r="C103" t="s">
        <v>275</v>
      </c>
      <c r="D103" t="s">
        <v>131</v>
      </c>
      <c r="E103" s="214">
        <v>38.79</v>
      </c>
      <c r="G103" t="s">
        <v>171</v>
      </c>
      <c r="H103">
        <v>1</v>
      </c>
      <c r="I103" s="249"/>
      <c r="J103" s="249"/>
      <c r="L103" t="s">
        <v>136</v>
      </c>
      <c r="M103" t="s">
        <v>107</v>
      </c>
      <c r="P103" t="s">
        <v>146</v>
      </c>
    </row>
    <row r="104" spans="1:16" customFormat="1">
      <c r="A104" t="s">
        <v>133</v>
      </c>
      <c r="B104" t="s">
        <v>106</v>
      </c>
      <c r="C104" t="s">
        <v>276</v>
      </c>
      <c r="D104" t="s">
        <v>131</v>
      </c>
      <c r="E104" s="214">
        <v>31.65</v>
      </c>
      <c r="G104" t="s">
        <v>171</v>
      </c>
      <c r="H104">
        <v>1</v>
      </c>
      <c r="I104" s="249"/>
      <c r="J104" s="249"/>
      <c r="L104" t="s">
        <v>136</v>
      </c>
      <c r="M104" t="s">
        <v>107</v>
      </c>
      <c r="P104" t="s">
        <v>146</v>
      </c>
    </row>
    <row r="105" spans="1:16" customFormat="1">
      <c r="A105" t="s">
        <v>133</v>
      </c>
      <c r="B105" t="s">
        <v>106</v>
      </c>
      <c r="C105" t="s">
        <v>277</v>
      </c>
      <c r="D105" t="s">
        <v>131</v>
      </c>
      <c r="E105" s="214">
        <v>31.65</v>
      </c>
      <c r="G105" t="s">
        <v>171</v>
      </c>
      <c r="H105">
        <v>1</v>
      </c>
      <c r="I105" s="249"/>
      <c r="J105" s="249"/>
      <c r="L105" t="s">
        <v>136</v>
      </c>
      <c r="M105" t="s">
        <v>107</v>
      </c>
      <c r="P105" t="s">
        <v>146</v>
      </c>
    </row>
    <row r="106" spans="1:16" customFormat="1">
      <c r="A106" t="s">
        <v>133</v>
      </c>
      <c r="B106" t="s">
        <v>106</v>
      </c>
      <c r="C106" t="s">
        <v>278</v>
      </c>
      <c r="D106" t="s">
        <v>131</v>
      </c>
      <c r="E106" s="214">
        <v>38.79</v>
      </c>
      <c r="G106" t="s">
        <v>171</v>
      </c>
      <c r="H106">
        <v>1</v>
      </c>
      <c r="I106" s="249"/>
      <c r="J106" s="249"/>
      <c r="L106" t="s">
        <v>136</v>
      </c>
      <c r="M106" t="s">
        <v>107</v>
      </c>
      <c r="P106" t="s">
        <v>146</v>
      </c>
    </row>
    <row r="107" spans="1:16" customFormat="1">
      <c r="A107" t="s">
        <v>133</v>
      </c>
      <c r="B107" t="s">
        <v>106</v>
      </c>
      <c r="C107" t="s">
        <v>279</v>
      </c>
      <c r="D107" t="s">
        <v>131</v>
      </c>
      <c r="E107" s="214">
        <v>31.65</v>
      </c>
      <c r="G107" t="s">
        <v>171</v>
      </c>
      <c r="H107">
        <v>1</v>
      </c>
      <c r="I107" s="249"/>
      <c r="J107" s="249"/>
      <c r="L107" t="s">
        <v>136</v>
      </c>
      <c r="M107" t="s">
        <v>107</v>
      </c>
      <c r="P107" t="s">
        <v>146</v>
      </c>
    </row>
    <row r="108" spans="1:16" customFormat="1">
      <c r="A108" t="s">
        <v>133</v>
      </c>
      <c r="B108" t="s">
        <v>106</v>
      </c>
      <c r="C108" t="s">
        <v>280</v>
      </c>
      <c r="D108" t="s">
        <v>131</v>
      </c>
      <c r="E108" s="214">
        <v>38.79</v>
      </c>
      <c r="G108" t="s">
        <v>171</v>
      </c>
      <c r="H108">
        <v>1</v>
      </c>
      <c r="I108" s="249"/>
      <c r="J108" s="249"/>
      <c r="L108" t="s">
        <v>136</v>
      </c>
      <c r="M108" t="s">
        <v>107</v>
      </c>
      <c r="P108" t="s">
        <v>146</v>
      </c>
    </row>
    <row r="109" spans="1:16" customFormat="1">
      <c r="A109" t="s">
        <v>133</v>
      </c>
      <c r="B109" t="s">
        <v>106</v>
      </c>
      <c r="C109" t="s">
        <v>148</v>
      </c>
      <c r="D109" t="s">
        <v>131</v>
      </c>
      <c r="E109" s="214">
        <v>31.65</v>
      </c>
      <c r="G109" t="s">
        <v>171</v>
      </c>
      <c r="H109">
        <v>1</v>
      </c>
      <c r="I109" s="249"/>
      <c r="J109" s="249"/>
      <c r="L109" t="s">
        <v>136</v>
      </c>
      <c r="M109" t="s">
        <v>107</v>
      </c>
      <c r="P109" t="s">
        <v>146</v>
      </c>
    </row>
    <row r="110" spans="1:16" customFormat="1">
      <c r="A110" t="s">
        <v>133</v>
      </c>
      <c r="B110" t="s">
        <v>106</v>
      </c>
      <c r="C110" t="s">
        <v>281</v>
      </c>
      <c r="D110" t="s">
        <v>131</v>
      </c>
      <c r="E110" s="214">
        <v>38.79</v>
      </c>
      <c r="G110" t="s">
        <v>171</v>
      </c>
      <c r="H110">
        <v>1</v>
      </c>
      <c r="I110" s="249"/>
      <c r="J110" s="249"/>
      <c r="L110" t="s">
        <v>136</v>
      </c>
      <c r="M110" t="s">
        <v>107</v>
      </c>
      <c r="P110" t="s">
        <v>146</v>
      </c>
    </row>
    <row r="111" spans="1:16" customFormat="1">
      <c r="A111" t="s">
        <v>133</v>
      </c>
      <c r="B111" t="s">
        <v>106</v>
      </c>
      <c r="C111" t="s">
        <v>282</v>
      </c>
      <c r="D111" t="s">
        <v>131</v>
      </c>
      <c r="E111" s="214">
        <v>38.79</v>
      </c>
      <c r="G111" t="s">
        <v>171</v>
      </c>
      <c r="H111">
        <v>1</v>
      </c>
      <c r="I111" s="249"/>
      <c r="J111" s="249"/>
      <c r="L111" t="s">
        <v>136</v>
      </c>
      <c r="M111" t="s">
        <v>107</v>
      </c>
      <c r="P111" t="s">
        <v>146</v>
      </c>
    </row>
    <row r="112" spans="1:16" customFormat="1">
      <c r="A112" t="s">
        <v>133</v>
      </c>
      <c r="B112" t="s">
        <v>106</v>
      </c>
      <c r="C112" t="s">
        <v>283</v>
      </c>
      <c r="D112" t="s">
        <v>131</v>
      </c>
      <c r="E112" s="214">
        <v>31.65</v>
      </c>
      <c r="G112" t="s">
        <v>171</v>
      </c>
      <c r="H112">
        <v>1</v>
      </c>
      <c r="I112" s="249"/>
      <c r="J112" s="249"/>
      <c r="L112" t="s">
        <v>136</v>
      </c>
      <c r="M112" t="s">
        <v>107</v>
      </c>
      <c r="P112" t="s">
        <v>146</v>
      </c>
    </row>
    <row r="113" spans="1:29" customFormat="1">
      <c r="A113" t="s">
        <v>133</v>
      </c>
      <c r="B113" t="s">
        <v>106</v>
      </c>
      <c r="C113" t="s">
        <v>149</v>
      </c>
      <c r="D113" t="s">
        <v>131</v>
      </c>
      <c r="E113" s="214">
        <v>38.79</v>
      </c>
      <c r="G113" t="s">
        <v>171</v>
      </c>
      <c r="H113">
        <v>1</v>
      </c>
      <c r="I113" s="249"/>
      <c r="J113" s="249"/>
      <c r="L113" t="s">
        <v>136</v>
      </c>
      <c r="M113" t="s">
        <v>107</v>
      </c>
      <c r="P113" t="s">
        <v>146</v>
      </c>
    </row>
    <row r="114" spans="1:29" customFormat="1">
      <c r="A114" t="s">
        <v>133</v>
      </c>
      <c r="B114" t="s">
        <v>106</v>
      </c>
      <c r="C114" t="s">
        <v>151</v>
      </c>
      <c r="D114" t="s">
        <v>131</v>
      </c>
      <c r="E114" s="214">
        <v>38.79</v>
      </c>
      <c r="G114" t="s">
        <v>171</v>
      </c>
      <c r="H114">
        <v>1</v>
      </c>
      <c r="I114" s="249"/>
      <c r="J114" s="249"/>
      <c r="L114" t="s">
        <v>136</v>
      </c>
      <c r="M114" t="s">
        <v>107</v>
      </c>
      <c r="P114" t="s">
        <v>146</v>
      </c>
    </row>
    <row r="115" spans="1:29" customFormat="1">
      <c r="A115" t="s">
        <v>133</v>
      </c>
      <c r="B115" t="s">
        <v>106</v>
      </c>
      <c r="C115" t="s">
        <v>152</v>
      </c>
      <c r="D115" t="s">
        <v>131</v>
      </c>
      <c r="E115" s="214">
        <v>31.65</v>
      </c>
      <c r="G115" t="s">
        <v>171</v>
      </c>
      <c r="H115">
        <v>1</v>
      </c>
      <c r="I115" s="249"/>
      <c r="J115" s="249"/>
      <c r="L115" t="s">
        <v>136</v>
      </c>
      <c r="M115" t="s">
        <v>107</v>
      </c>
      <c r="P115" t="s">
        <v>146</v>
      </c>
    </row>
    <row r="116" spans="1:29" customFormat="1">
      <c r="A116" t="s">
        <v>133</v>
      </c>
      <c r="B116" t="s">
        <v>106</v>
      </c>
      <c r="C116" t="s">
        <v>284</v>
      </c>
      <c r="D116" t="s">
        <v>131</v>
      </c>
      <c r="E116" s="214">
        <v>38.79</v>
      </c>
      <c r="G116" t="s">
        <v>171</v>
      </c>
      <c r="H116">
        <v>1</v>
      </c>
      <c r="I116" s="249"/>
      <c r="J116" s="249"/>
      <c r="L116" t="s">
        <v>136</v>
      </c>
      <c r="M116" t="s">
        <v>107</v>
      </c>
      <c r="P116" t="s">
        <v>146</v>
      </c>
    </row>
    <row r="117" spans="1:29" customFormat="1">
      <c r="A117" t="s">
        <v>133</v>
      </c>
      <c r="B117" t="s">
        <v>106</v>
      </c>
      <c r="C117" t="s">
        <v>285</v>
      </c>
      <c r="D117" t="s">
        <v>131</v>
      </c>
      <c r="E117" s="214">
        <v>38.79</v>
      </c>
      <c r="G117" t="s">
        <v>171</v>
      </c>
      <c r="H117">
        <v>1</v>
      </c>
      <c r="I117" s="249"/>
      <c r="J117" s="249"/>
      <c r="L117" t="s">
        <v>136</v>
      </c>
      <c r="M117" t="s">
        <v>107</v>
      </c>
      <c r="P117" t="s">
        <v>146</v>
      </c>
    </row>
    <row r="118" spans="1:29" customFormat="1">
      <c r="A118" t="s">
        <v>133</v>
      </c>
      <c r="B118" t="s">
        <v>106</v>
      </c>
      <c r="C118" t="s">
        <v>286</v>
      </c>
      <c r="D118" t="s">
        <v>131</v>
      </c>
      <c r="E118" s="214">
        <v>31.65</v>
      </c>
      <c r="G118" t="s">
        <v>171</v>
      </c>
      <c r="H118">
        <v>1</v>
      </c>
      <c r="I118" s="249"/>
      <c r="J118" s="249"/>
      <c r="L118" t="s">
        <v>136</v>
      </c>
      <c r="M118" t="s">
        <v>107</v>
      </c>
      <c r="P118" t="s">
        <v>146</v>
      </c>
    </row>
    <row r="119" spans="1:29" customFormat="1">
      <c r="A119" t="s">
        <v>133</v>
      </c>
      <c r="B119" t="s">
        <v>106</v>
      </c>
      <c r="C119" t="s">
        <v>198</v>
      </c>
      <c r="D119" t="s">
        <v>131</v>
      </c>
      <c r="E119" s="214">
        <v>54.56</v>
      </c>
      <c r="G119" t="s">
        <v>171</v>
      </c>
      <c r="H119">
        <v>1</v>
      </c>
      <c r="I119" s="249"/>
      <c r="J119" s="249"/>
      <c r="L119" t="s">
        <v>136</v>
      </c>
      <c r="M119" t="s">
        <v>107</v>
      </c>
      <c r="P119" t="s">
        <v>199</v>
      </c>
    </row>
    <row r="120" spans="1:29">
      <c r="U120" s="213"/>
      <c r="V120" s="216"/>
      <c r="W120" s="217"/>
      <c r="X120" s="218"/>
      <c r="Y120" s="218"/>
      <c r="Z120" s="219"/>
      <c r="AA120" s="218"/>
      <c r="AB120" s="220"/>
      <c r="AC120" s="218"/>
    </row>
    <row r="121" spans="1:29">
      <c r="A121" s="214" t="s">
        <v>105</v>
      </c>
      <c r="B121" s="214" t="s">
        <v>106</v>
      </c>
      <c r="C121" s="214" t="s">
        <v>172</v>
      </c>
      <c r="D121" s="214" t="s">
        <v>108</v>
      </c>
      <c r="E121" s="214">
        <v>38.770000000000003</v>
      </c>
      <c r="G121" s="214" t="s">
        <v>109</v>
      </c>
      <c r="H121" s="214">
        <v>1</v>
      </c>
      <c r="I121" s="215"/>
      <c r="J121" s="215"/>
      <c r="L121" s="214" t="s">
        <v>136</v>
      </c>
      <c r="M121" s="214" t="s">
        <v>107</v>
      </c>
      <c r="P121" s="214" t="s">
        <v>109</v>
      </c>
      <c r="U121" s="213"/>
      <c r="V121" s="216"/>
      <c r="W121" s="217"/>
      <c r="X121" s="218"/>
      <c r="Y121" s="218"/>
      <c r="Z121" s="219"/>
      <c r="AA121" s="218"/>
      <c r="AB121" s="220"/>
      <c r="AC121" s="218"/>
    </row>
    <row r="122" spans="1:29">
      <c r="A122" s="214" t="s">
        <v>105</v>
      </c>
      <c r="B122" s="214" t="s">
        <v>106</v>
      </c>
      <c r="C122" s="214" t="s">
        <v>173</v>
      </c>
      <c r="D122" s="214" t="s">
        <v>108</v>
      </c>
      <c r="E122" s="214">
        <v>69.78</v>
      </c>
      <c r="G122" s="214" t="s">
        <v>109</v>
      </c>
      <c r="H122" s="214">
        <v>1</v>
      </c>
      <c r="L122" s="214" t="s">
        <v>136</v>
      </c>
      <c r="M122" s="214" t="s">
        <v>107</v>
      </c>
      <c r="P122" s="214" t="s">
        <v>109</v>
      </c>
    </row>
    <row r="123" spans="1:29">
      <c r="A123" s="214" t="s">
        <v>105</v>
      </c>
      <c r="B123" s="214" t="s">
        <v>106</v>
      </c>
      <c r="C123" s="214" t="s">
        <v>174</v>
      </c>
      <c r="D123" s="214" t="s">
        <v>108</v>
      </c>
      <c r="E123" s="214">
        <v>21.04</v>
      </c>
      <c r="G123" s="214" t="s">
        <v>109</v>
      </c>
      <c r="H123" s="214">
        <v>1</v>
      </c>
      <c r="L123" s="214" t="s">
        <v>136</v>
      </c>
      <c r="M123" s="214" t="s">
        <v>107</v>
      </c>
      <c r="P123" s="214" t="s">
        <v>109</v>
      </c>
    </row>
    <row r="124" spans="1:29" s="212" customFormat="1">
      <c r="I124" s="221"/>
      <c r="J124" s="221"/>
      <c r="U124" s="222"/>
      <c r="V124" s="223"/>
      <c r="W124" s="224"/>
      <c r="X124" s="225"/>
      <c r="Y124" s="225"/>
      <c r="Z124" s="226"/>
      <c r="AA124" s="225"/>
      <c r="AB124" s="227"/>
      <c r="AC124" s="225"/>
    </row>
    <row r="125" spans="1:29" s="212" customFormat="1">
      <c r="A125" s="212" t="s">
        <v>89</v>
      </c>
      <c r="B125" s="212" t="s">
        <v>90</v>
      </c>
      <c r="C125" s="212" t="s">
        <v>91</v>
      </c>
      <c r="D125" s="212" t="s">
        <v>92</v>
      </c>
      <c r="E125" s="212" t="s">
        <v>93</v>
      </c>
      <c r="F125" s="212" t="s">
        <v>94</v>
      </c>
      <c r="G125" s="212" t="s">
        <v>95</v>
      </c>
      <c r="H125" s="212" t="s">
        <v>96</v>
      </c>
      <c r="I125" s="212" t="s">
        <v>97</v>
      </c>
      <c r="J125" s="212" t="s">
        <v>98</v>
      </c>
      <c r="K125" s="212" t="s">
        <v>99</v>
      </c>
      <c r="L125" s="212" t="s">
        <v>100</v>
      </c>
      <c r="M125" s="212" t="s">
        <v>101</v>
      </c>
      <c r="N125" s="212" t="s">
        <v>102</v>
      </c>
      <c r="O125" s="212" t="s">
        <v>103</v>
      </c>
      <c r="P125" s="212" t="s">
        <v>104</v>
      </c>
      <c r="U125" s="213"/>
      <c r="V125" s="216"/>
      <c r="W125" s="217"/>
      <c r="X125" s="218"/>
      <c r="Y125" s="218"/>
      <c r="Z125" s="219"/>
      <c r="AA125" s="218"/>
      <c r="AB125" s="220"/>
      <c r="AC125" s="218"/>
    </row>
    <row r="126" spans="1:29">
      <c r="A126" s="214" t="s">
        <v>133</v>
      </c>
      <c r="B126" s="214" t="s">
        <v>106</v>
      </c>
      <c r="C126" s="214" t="s">
        <v>134</v>
      </c>
      <c r="D126" s="214" t="s">
        <v>175</v>
      </c>
      <c r="E126" s="228">
        <f>10+15</f>
        <v>25</v>
      </c>
      <c r="G126" s="214" t="s">
        <v>176</v>
      </c>
      <c r="H126" s="214">
        <v>1</v>
      </c>
      <c r="I126" s="215"/>
      <c r="J126" s="215"/>
      <c r="L126" s="214" t="s">
        <v>110</v>
      </c>
      <c r="P126" s="214" t="s">
        <v>138</v>
      </c>
      <c r="R126" s="214" t="s">
        <v>177</v>
      </c>
      <c r="U126" s="213"/>
      <c r="V126" s="216"/>
      <c r="W126" s="217"/>
      <c r="X126" s="218"/>
      <c r="Y126" s="218"/>
      <c r="Z126" s="219"/>
      <c r="AA126" s="218"/>
      <c r="AB126" s="220"/>
      <c r="AC126" s="218"/>
    </row>
    <row r="127" spans="1:29">
      <c r="A127" s="214" t="s">
        <v>133</v>
      </c>
      <c r="B127" s="214" t="s">
        <v>106</v>
      </c>
      <c r="C127" s="214" t="s">
        <v>139</v>
      </c>
      <c r="D127" s="214" t="s">
        <v>175</v>
      </c>
      <c r="E127" s="228">
        <f t="shared" ref="E127:E135" si="0">10+15</f>
        <v>25</v>
      </c>
      <c r="G127" s="214" t="s">
        <v>176</v>
      </c>
      <c r="H127" s="214">
        <v>1</v>
      </c>
      <c r="L127" s="214" t="s">
        <v>110</v>
      </c>
      <c r="P127" s="214" t="s">
        <v>138</v>
      </c>
      <c r="R127" s="214" t="s">
        <v>177</v>
      </c>
      <c r="U127" s="213"/>
      <c r="V127" s="216"/>
      <c r="W127" s="217"/>
      <c r="X127" s="218"/>
      <c r="Y127" s="218"/>
      <c r="Z127" s="219"/>
      <c r="AA127" s="218"/>
      <c r="AB127" s="220"/>
      <c r="AC127" s="218"/>
    </row>
    <row r="128" spans="1:29">
      <c r="A128" s="214" t="s">
        <v>133</v>
      </c>
      <c r="B128" s="214" t="s">
        <v>106</v>
      </c>
      <c r="C128" s="214" t="s">
        <v>140</v>
      </c>
      <c r="D128" s="214" t="s">
        <v>175</v>
      </c>
      <c r="E128" s="228">
        <f t="shared" si="0"/>
        <v>25</v>
      </c>
      <c r="G128" s="214" t="s">
        <v>176</v>
      </c>
      <c r="H128" s="214">
        <v>1</v>
      </c>
      <c r="I128" s="215"/>
      <c r="J128" s="215"/>
      <c r="L128" s="214" t="s">
        <v>110</v>
      </c>
      <c r="P128" s="214" t="s">
        <v>138</v>
      </c>
      <c r="R128" s="214" t="s">
        <v>177</v>
      </c>
      <c r="U128" s="213"/>
      <c r="V128" s="216"/>
      <c r="W128" s="217"/>
      <c r="X128" s="218"/>
      <c r="Y128" s="218"/>
      <c r="Z128" s="219"/>
      <c r="AA128" s="218"/>
      <c r="AB128" s="220"/>
      <c r="AC128" s="218"/>
    </row>
    <row r="129" spans="1:29">
      <c r="A129" s="214" t="s">
        <v>133</v>
      </c>
      <c r="B129" s="214" t="s">
        <v>106</v>
      </c>
      <c r="C129" s="214" t="s">
        <v>141</v>
      </c>
      <c r="D129" s="214" t="s">
        <v>175</v>
      </c>
      <c r="E129" s="228">
        <f t="shared" si="0"/>
        <v>25</v>
      </c>
      <c r="G129" s="214" t="s">
        <v>176</v>
      </c>
      <c r="H129" s="214">
        <v>1</v>
      </c>
      <c r="I129" s="215"/>
      <c r="J129" s="215"/>
      <c r="L129" s="214" t="s">
        <v>110</v>
      </c>
      <c r="P129" s="214" t="s">
        <v>138</v>
      </c>
      <c r="R129" s="214" t="s">
        <v>177</v>
      </c>
      <c r="U129" s="213"/>
      <c r="V129" s="216"/>
      <c r="W129" s="217"/>
      <c r="X129" s="218"/>
      <c r="Y129" s="218"/>
      <c r="Z129" s="219"/>
      <c r="AA129" s="218"/>
      <c r="AB129" s="220"/>
      <c r="AC129" s="218"/>
    </row>
    <row r="130" spans="1:29">
      <c r="A130" s="214" t="s">
        <v>133</v>
      </c>
      <c r="B130" s="214" t="s">
        <v>106</v>
      </c>
      <c r="C130" s="214" t="s">
        <v>142</v>
      </c>
      <c r="D130" s="214" t="s">
        <v>175</v>
      </c>
      <c r="E130" s="228">
        <f t="shared" si="0"/>
        <v>25</v>
      </c>
      <c r="G130" s="214" t="s">
        <v>176</v>
      </c>
      <c r="H130" s="214">
        <v>1</v>
      </c>
      <c r="I130" s="215"/>
      <c r="J130" s="215"/>
      <c r="L130" s="214" t="s">
        <v>110</v>
      </c>
      <c r="P130" s="214" t="s">
        <v>138</v>
      </c>
      <c r="R130" s="214" t="s">
        <v>177</v>
      </c>
      <c r="U130" s="213"/>
      <c r="V130" s="216"/>
      <c r="W130" s="217"/>
      <c r="X130" s="218"/>
      <c r="Y130" s="218"/>
      <c r="Z130" s="219"/>
      <c r="AA130" s="218"/>
      <c r="AB130" s="220"/>
      <c r="AC130" s="218"/>
    </row>
    <row r="131" spans="1:29">
      <c r="A131" s="214" t="s">
        <v>133</v>
      </c>
      <c r="B131" s="214" t="s">
        <v>106</v>
      </c>
      <c r="C131" s="214" t="s">
        <v>186</v>
      </c>
      <c r="D131" s="214" t="s">
        <v>175</v>
      </c>
      <c r="E131" s="228">
        <f t="shared" si="0"/>
        <v>25</v>
      </c>
      <c r="G131" s="214" t="s">
        <v>176</v>
      </c>
      <c r="H131" s="214">
        <v>1</v>
      </c>
      <c r="I131" s="215"/>
      <c r="J131" s="215"/>
      <c r="L131" s="214" t="s">
        <v>110</v>
      </c>
      <c r="P131" s="214" t="s">
        <v>138</v>
      </c>
      <c r="R131" s="214" t="s">
        <v>177</v>
      </c>
      <c r="U131" s="213"/>
      <c r="V131" s="216"/>
      <c r="W131" s="217"/>
      <c r="X131" s="218"/>
      <c r="Y131" s="218"/>
      <c r="Z131" s="219"/>
      <c r="AA131" s="218"/>
      <c r="AB131" s="220"/>
      <c r="AC131" s="218"/>
    </row>
    <row r="132" spans="1:29">
      <c r="A132" s="214" t="s">
        <v>133</v>
      </c>
      <c r="B132" s="214" t="s">
        <v>106</v>
      </c>
      <c r="C132" s="214" t="s">
        <v>143</v>
      </c>
      <c r="D132" s="214" t="s">
        <v>175</v>
      </c>
      <c r="E132" s="228">
        <f t="shared" si="0"/>
        <v>25</v>
      </c>
      <c r="G132" s="214" t="s">
        <v>176</v>
      </c>
      <c r="H132" s="214">
        <v>1</v>
      </c>
      <c r="I132" s="215"/>
      <c r="J132" s="215"/>
      <c r="L132" s="214" t="s">
        <v>110</v>
      </c>
      <c r="P132" s="214" t="s">
        <v>138</v>
      </c>
      <c r="R132" s="214" t="s">
        <v>177</v>
      </c>
      <c r="U132" s="213"/>
      <c r="V132" s="216"/>
      <c r="W132" s="217"/>
      <c r="X132" s="218"/>
      <c r="Y132" s="218"/>
      <c r="Z132" s="219"/>
      <c r="AA132" s="218"/>
      <c r="AB132" s="220"/>
      <c r="AC132" s="218"/>
    </row>
    <row r="133" spans="1:29">
      <c r="A133" s="214" t="s">
        <v>133</v>
      </c>
      <c r="B133" s="214" t="s">
        <v>106</v>
      </c>
      <c r="C133" s="214" t="s">
        <v>242</v>
      </c>
      <c r="D133" s="214" t="s">
        <v>175</v>
      </c>
      <c r="E133" s="228">
        <f t="shared" si="0"/>
        <v>25</v>
      </c>
      <c r="G133" s="214" t="s">
        <v>176</v>
      </c>
      <c r="H133" s="214">
        <v>1</v>
      </c>
      <c r="I133" s="215"/>
      <c r="J133" s="215"/>
      <c r="L133" s="214" t="s">
        <v>110</v>
      </c>
      <c r="P133" s="214" t="s">
        <v>138</v>
      </c>
      <c r="R133" s="214" t="s">
        <v>177</v>
      </c>
      <c r="U133" s="213"/>
      <c r="V133" s="216"/>
      <c r="W133" s="217"/>
      <c r="X133" s="218"/>
      <c r="Y133" s="218"/>
      <c r="Z133" s="219"/>
      <c r="AA133" s="218"/>
      <c r="AB133" s="220"/>
      <c r="AC133" s="218"/>
    </row>
    <row r="134" spans="1:29">
      <c r="A134" s="214" t="s">
        <v>133</v>
      </c>
      <c r="B134" s="214" t="s">
        <v>106</v>
      </c>
      <c r="C134" s="214" t="s">
        <v>249</v>
      </c>
      <c r="D134" s="214" t="s">
        <v>175</v>
      </c>
      <c r="E134" s="228">
        <f t="shared" si="0"/>
        <v>25</v>
      </c>
      <c r="G134" s="214" t="s">
        <v>176</v>
      </c>
      <c r="H134" s="214">
        <v>1</v>
      </c>
      <c r="I134" s="215"/>
      <c r="J134" s="215"/>
      <c r="L134" s="214" t="s">
        <v>110</v>
      </c>
      <c r="P134" s="214" t="s">
        <v>138</v>
      </c>
      <c r="R134" s="214" t="s">
        <v>177</v>
      </c>
      <c r="U134" s="213"/>
      <c r="V134" s="216"/>
      <c r="W134" s="217"/>
      <c r="X134" s="218"/>
      <c r="Y134" s="218"/>
      <c r="Z134" s="219"/>
      <c r="AA134" s="218"/>
      <c r="AB134" s="220"/>
      <c r="AC134" s="218"/>
    </row>
    <row r="135" spans="1:29">
      <c r="A135" s="214" t="s">
        <v>133</v>
      </c>
      <c r="B135" s="214" t="s">
        <v>106</v>
      </c>
      <c r="C135" s="214" t="s">
        <v>250</v>
      </c>
      <c r="D135" s="214" t="s">
        <v>175</v>
      </c>
      <c r="E135" s="228">
        <f t="shared" si="0"/>
        <v>25</v>
      </c>
      <c r="G135" s="214" t="s">
        <v>176</v>
      </c>
      <c r="H135" s="214">
        <v>1</v>
      </c>
      <c r="I135" s="215"/>
      <c r="J135" s="215"/>
      <c r="L135" s="214" t="s">
        <v>110</v>
      </c>
      <c r="P135" s="214" t="s">
        <v>138</v>
      </c>
      <c r="R135" s="214" t="s">
        <v>177</v>
      </c>
      <c r="U135" s="213"/>
      <c r="V135" s="216"/>
      <c r="W135" s="217"/>
      <c r="X135" s="218"/>
      <c r="Y135" s="218"/>
      <c r="Z135" s="219"/>
      <c r="AA135" s="218"/>
      <c r="AB135" s="220"/>
      <c r="AC135" s="218"/>
    </row>
    <row r="136" spans="1:29">
      <c r="A136" s="214" t="s">
        <v>133</v>
      </c>
      <c r="B136" s="214" t="s">
        <v>106</v>
      </c>
      <c r="C136" s="214" t="s">
        <v>144</v>
      </c>
      <c r="D136" s="214" t="s">
        <v>175</v>
      </c>
      <c r="E136" s="229">
        <f t="shared" ref="E136:E141" si="1">10+20</f>
        <v>30</v>
      </c>
      <c r="G136" s="214" t="s">
        <v>176</v>
      </c>
      <c r="H136" s="214">
        <v>1</v>
      </c>
      <c r="I136" s="215"/>
      <c r="J136" s="215"/>
      <c r="L136" s="214" t="s">
        <v>110</v>
      </c>
      <c r="P136" s="214" t="s">
        <v>146</v>
      </c>
      <c r="R136" s="214" t="s">
        <v>177</v>
      </c>
      <c r="U136" s="213"/>
      <c r="V136" s="216"/>
      <c r="W136" s="217"/>
      <c r="X136" s="218"/>
      <c r="Y136" s="218"/>
      <c r="Z136" s="219"/>
      <c r="AA136" s="218"/>
      <c r="AB136" s="220"/>
      <c r="AC136" s="218"/>
    </row>
    <row r="137" spans="1:29">
      <c r="A137" s="214" t="s">
        <v>133</v>
      </c>
      <c r="B137" s="214" t="s">
        <v>106</v>
      </c>
      <c r="C137" s="214" t="s">
        <v>147</v>
      </c>
      <c r="D137" s="214" t="s">
        <v>175</v>
      </c>
      <c r="E137" s="229">
        <f t="shared" si="1"/>
        <v>30</v>
      </c>
      <c r="G137" s="214" t="s">
        <v>176</v>
      </c>
      <c r="H137" s="214">
        <v>1</v>
      </c>
      <c r="I137" s="215"/>
      <c r="J137" s="215"/>
      <c r="L137" s="214" t="s">
        <v>110</v>
      </c>
      <c r="P137" s="214" t="s">
        <v>146</v>
      </c>
      <c r="R137" s="214" t="s">
        <v>177</v>
      </c>
      <c r="U137" s="213"/>
      <c r="V137" s="216"/>
      <c r="W137" s="217"/>
      <c r="X137" s="218"/>
      <c r="Y137" s="218"/>
      <c r="Z137" s="219"/>
      <c r="AA137" s="218"/>
      <c r="AB137" s="220"/>
      <c r="AC137" s="218"/>
    </row>
    <row r="138" spans="1:29">
      <c r="A138" s="214" t="s">
        <v>133</v>
      </c>
      <c r="B138" s="214" t="s">
        <v>106</v>
      </c>
      <c r="C138" s="214" t="s">
        <v>148</v>
      </c>
      <c r="D138" s="214" t="s">
        <v>175</v>
      </c>
      <c r="E138" s="229">
        <f t="shared" si="1"/>
        <v>30</v>
      </c>
      <c r="G138" s="214" t="s">
        <v>176</v>
      </c>
      <c r="H138" s="214">
        <v>1</v>
      </c>
      <c r="I138" s="215"/>
      <c r="J138" s="215"/>
      <c r="L138" s="214" t="s">
        <v>110</v>
      </c>
      <c r="P138" s="214" t="s">
        <v>146</v>
      </c>
      <c r="R138" s="214" t="s">
        <v>177</v>
      </c>
      <c r="U138" s="213"/>
      <c r="V138" s="216"/>
      <c r="W138" s="217"/>
      <c r="X138" s="218"/>
      <c r="Y138" s="218"/>
      <c r="Z138" s="219"/>
      <c r="AA138" s="218"/>
      <c r="AB138" s="220"/>
      <c r="AC138" s="218"/>
    </row>
    <row r="139" spans="1:29">
      <c r="A139" s="214" t="s">
        <v>133</v>
      </c>
      <c r="B139" s="214" t="s">
        <v>106</v>
      </c>
      <c r="C139" s="214" t="s">
        <v>149</v>
      </c>
      <c r="D139" s="214" t="s">
        <v>175</v>
      </c>
      <c r="E139" s="229">
        <f t="shared" si="1"/>
        <v>30</v>
      </c>
      <c r="G139" s="214" t="s">
        <v>176</v>
      </c>
      <c r="H139" s="214">
        <v>1</v>
      </c>
      <c r="I139" s="215"/>
      <c r="J139" s="215"/>
      <c r="L139" s="214" t="s">
        <v>110</v>
      </c>
      <c r="P139" s="214" t="s">
        <v>146</v>
      </c>
      <c r="R139" s="214" t="s">
        <v>177</v>
      </c>
      <c r="U139" s="213"/>
      <c r="V139" s="216"/>
      <c r="W139" s="217"/>
      <c r="X139" s="218"/>
      <c r="Y139" s="218"/>
      <c r="Z139" s="219"/>
      <c r="AA139" s="218"/>
      <c r="AB139" s="220"/>
      <c r="AC139" s="218"/>
    </row>
    <row r="140" spans="1:29">
      <c r="A140" s="214" t="s">
        <v>133</v>
      </c>
      <c r="B140" s="214" t="s">
        <v>106</v>
      </c>
      <c r="C140" s="214" t="s">
        <v>151</v>
      </c>
      <c r="D140" s="214" t="s">
        <v>175</v>
      </c>
      <c r="E140" s="229">
        <f t="shared" si="1"/>
        <v>30</v>
      </c>
      <c r="G140" s="214" t="s">
        <v>176</v>
      </c>
      <c r="H140" s="214">
        <v>1</v>
      </c>
      <c r="I140" s="215"/>
      <c r="J140" s="215"/>
      <c r="L140" s="214" t="s">
        <v>110</v>
      </c>
      <c r="P140" s="214" t="s">
        <v>146</v>
      </c>
      <c r="R140" s="214" t="s">
        <v>177</v>
      </c>
      <c r="U140" s="213"/>
      <c r="V140" s="216"/>
      <c r="W140" s="217"/>
      <c r="X140" s="218"/>
      <c r="Y140" s="218"/>
      <c r="Z140" s="219"/>
      <c r="AA140" s="218"/>
      <c r="AB140" s="220"/>
      <c r="AC140" s="218"/>
    </row>
    <row r="141" spans="1:29">
      <c r="A141" s="214" t="s">
        <v>133</v>
      </c>
      <c r="B141" s="214" t="s">
        <v>106</v>
      </c>
      <c r="C141" s="214" t="s">
        <v>152</v>
      </c>
      <c r="D141" s="214" t="s">
        <v>175</v>
      </c>
      <c r="E141" s="229">
        <f t="shared" si="1"/>
        <v>30</v>
      </c>
      <c r="G141" s="214" t="s">
        <v>176</v>
      </c>
      <c r="H141" s="214">
        <v>1</v>
      </c>
      <c r="I141" s="215"/>
      <c r="J141" s="215"/>
      <c r="L141" s="214" t="s">
        <v>110</v>
      </c>
      <c r="P141" s="214" t="s">
        <v>146</v>
      </c>
      <c r="R141" s="214" t="s">
        <v>177</v>
      </c>
      <c r="U141" s="213"/>
      <c r="V141" s="216"/>
      <c r="W141" s="217"/>
      <c r="X141" s="218"/>
      <c r="Y141" s="218"/>
      <c r="Z141" s="219"/>
      <c r="AA141" s="218"/>
      <c r="AB141" s="220"/>
      <c r="AC141" s="218"/>
    </row>
    <row r="142" spans="1:29">
      <c r="A142" s="214" t="s">
        <v>153</v>
      </c>
      <c r="B142" s="214" t="s">
        <v>106</v>
      </c>
      <c r="C142" s="214" t="s">
        <v>157</v>
      </c>
      <c r="D142" s="214" t="s">
        <v>175</v>
      </c>
      <c r="E142" s="214">
        <v>20</v>
      </c>
      <c r="G142" s="214" t="s">
        <v>176</v>
      </c>
      <c r="H142" s="214">
        <v>1</v>
      </c>
      <c r="I142" s="215"/>
      <c r="J142" s="215"/>
      <c r="L142" s="214" t="s">
        <v>110</v>
      </c>
      <c r="P142" s="214" t="s">
        <v>156</v>
      </c>
      <c r="U142" s="213"/>
      <c r="V142" s="216"/>
      <c r="W142" s="217"/>
      <c r="X142" s="218"/>
      <c r="Y142" s="218"/>
      <c r="Z142" s="219"/>
      <c r="AA142" s="218"/>
      <c r="AB142" s="220"/>
      <c r="AC142" s="218"/>
    </row>
    <row r="143" spans="1:29">
      <c r="A143" s="214" t="s">
        <v>153</v>
      </c>
      <c r="B143" s="214" t="s">
        <v>106</v>
      </c>
      <c r="C143" s="214" t="s">
        <v>158</v>
      </c>
      <c r="D143" s="214" t="s">
        <v>175</v>
      </c>
      <c r="E143" s="214">
        <v>20</v>
      </c>
      <c r="G143" s="214" t="s">
        <v>176</v>
      </c>
      <c r="H143" s="214">
        <v>1</v>
      </c>
      <c r="I143" s="215"/>
      <c r="J143" s="215"/>
      <c r="L143" s="214" t="s">
        <v>110</v>
      </c>
      <c r="P143" s="214" t="s">
        <v>156</v>
      </c>
      <c r="U143" s="213"/>
      <c r="V143" s="216"/>
      <c r="W143" s="217"/>
      <c r="X143" s="218"/>
      <c r="Y143" s="218"/>
      <c r="Z143" s="219"/>
      <c r="AA143" s="218"/>
      <c r="AB143" s="220"/>
      <c r="AC143" s="218"/>
    </row>
    <row r="144" spans="1:29">
      <c r="A144" s="214" t="s">
        <v>153</v>
      </c>
      <c r="B144" s="214" t="s">
        <v>106</v>
      </c>
      <c r="C144" s="214" t="s">
        <v>159</v>
      </c>
      <c r="D144" s="214" t="s">
        <v>175</v>
      </c>
      <c r="E144" s="214">
        <v>20</v>
      </c>
      <c r="G144" s="214" t="s">
        <v>176</v>
      </c>
      <c r="H144" s="214">
        <v>1</v>
      </c>
      <c r="I144" s="215"/>
      <c r="J144" s="215"/>
      <c r="L144" s="214" t="s">
        <v>110</v>
      </c>
      <c r="P144" s="214" t="s">
        <v>156</v>
      </c>
      <c r="U144" s="213"/>
      <c r="V144" s="216"/>
      <c r="W144" s="217"/>
      <c r="X144" s="218"/>
      <c r="Y144" s="218"/>
      <c r="Z144" s="219"/>
      <c r="AA144" s="218"/>
      <c r="AB144" s="220"/>
      <c r="AC144" s="218"/>
    </row>
    <row r="145" spans="1:29">
      <c r="A145" s="214" t="s">
        <v>153</v>
      </c>
      <c r="B145" s="214" t="s">
        <v>106</v>
      </c>
      <c r="C145" s="214" t="s">
        <v>160</v>
      </c>
      <c r="D145" s="214" t="s">
        <v>175</v>
      </c>
      <c r="E145" s="214">
        <v>20</v>
      </c>
      <c r="G145" s="214" t="s">
        <v>176</v>
      </c>
      <c r="H145" s="214">
        <v>1</v>
      </c>
      <c r="I145" s="215"/>
      <c r="J145" s="215"/>
      <c r="L145" s="214" t="s">
        <v>110</v>
      </c>
      <c r="P145" s="214" t="s">
        <v>156</v>
      </c>
      <c r="U145" s="213"/>
      <c r="V145" s="216"/>
      <c r="W145" s="217"/>
      <c r="X145" s="218"/>
      <c r="Y145" s="218"/>
      <c r="Z145" s="219"/>
      <c r="AA145" s="218"/>
      <c r="AB145" s="220"/>
      <c r="AC145" s="218"/>
    </row>
    <row r="146" spans="1:29">
      <c r="A146" s="214" t="s">
        <v>153</v>
      </c>
      <c r="B146" s="214" t="s">
        <v>106</v>
      </c>
      <c r="C146" s="214" t="s">
        <v>161</v>
      </c>
      <c r="D146" s="214" t="s">
        <v>175</v>
      </c>
      <c r="E146" s="214">
        <v>20</v>
      </c>
      <c r="G146" s="214" t="s">
        <v>176</v>
      </c>
      <c r="H146" s="214">
        <v>1</v>
      </c>
      <c r="I146" s="215"/>
      <c r="J146" s="215"/>
      <c r="L146" s="214" t="s">
        <v>110</v>
      </c>
      <c r="P146" s="214" t="s">
        <v>156</v>
      </c>
      <c r="U146" s="213"/>
      <c r="V146" s="216"/>
      <c r="W146" s="217"/>
      <c r="X146" s="218"/>
      <c r="Y146" s="218"/>
      <c r="Z146" s="219"/>
      <c r="AA146" s="218"/>
      <c r="AB146" s="220"/>
      <c r="AC146" s="218"/>
    </row>
    <row r="147" spans="1:29">
      <c r="A147" s="214" t="s">
        <v>153</v>
      </c>
      <c r="B147" s="214" t="s">
        <v>106</v>
      </c>
      <c r="C147" s="214" t="s">
        <v>162</v>
      </c>
      <c r="D147" s="214" t="s">
        <v>175</v>
      </c>
      <c r="E147" s="214">
        <v>20</v>
      </c>
      <c r="G147" s="214" t="s">
        <v>176</v>
      </c>
      <c r="H147" s="214">
        <v>1</v>
      </c>
      <c r="I147" s="215"/>
      <c r="J147" s="215"/>
      <c r="L147" s="214" t="s">
        <v>110</v>
      </c>
      <c r="P147" s="214" t="s">
        <v>156</v>
      </c>
      <c r="U147" s="213"/>
      <c r="V147" s="216"/>
      <c r="W147" s="217"/>
      <c r="X147" s="218"/>
      <c r="Y147" s="218"/>
      <c r="Z147" s="219"/>
      <c r="AA147" s="218"/>
      <c r="AB147" s="220"/>
      <c r="AC147" s="218"/>
    </row>
    <row r="148" spans="1:29">
      <c r="A148" s="214" t="s">
        <v>153</v>
      </c>
      <c r="B148" s="214" t="s">
        <v>106</v>
      </c>
      <c r="C148" s="214" t="s">
        <v>154</v>
      </c>
      <c r="D148" s="214" t="s">
        <v>175</v>
      </c>
      <c r="E148" s="214">
        <v>20</v>
      </c>
      <c r="G148" s="214" t="s">
        <v>176</v>
      </c>
      <c r="H148" s="214">
        <v>1</v>
      </c>
      <c r="I148" s="215"/>
      <c r="J148" s="215"/>
      <c r="L148" s="214" t="s">
        <v>110</v>
      </c>
      <c r="P148" s="214" t="s">
        <v>156</v>
      </c>
      <c r="U148" s="213"/>
      <c r="V148" s="216"/>
      <c r="W148" s="217"/>
      <c r="X148" s="218"/>
      <c r="Y148" s="218"/>
      <c r="Z148" s="219"/>
      <c r="AA148" s="218"/>
      <c r="AB148" s="220"/>
      <c r="AC148" s="218"/>
    </row>
    <row r="149" spans="1:29">
      <c r="A149" s="214" t="s">
        <v>153</v>
      </c>
      <c r="B149" s="214" t="s">
        <v>106</v>
      </c>
      <c r="C149" s="214" t="s">
        <v>163</v>
      </c>
      <c r="D149" s="214" t="s">
        <v>175</v>
      </c>
      <c r="E149" s="214">
        <v>20</v>
      </c>
      <c r="G149" s="214" t="s">
        <v>176</v>
      </c>
      <c r="H149" s="214">
        <v>1</v>
      </c>
      <c r="I149" s="215"/>
      <c r="J149" s="215"/>
      <c r="L149" s="214" t="s">
        <v>110</v>
      </c>
      <c r="P149" s="214" t="s">
        <v>156</v>
      </c>
      <c r="U149" s="213"/>
      <c r="V149" s="216"/>
      <c r="W149" s="217"/>
      <c r="X149" s="218"/>
      <c r="Y149" s="218"/>
      <c r="Z149" s="219"/>
      <c r="AA149" s="218"/>
      <c r="AB149" s="220"/>
      <c r="AC149" s="218"/>
    </row>
    <row r="150" spans="1:29">
      <c r="A150" s="214" t="s">
        <v>153</v>
      </c>
      <c r="B150" s="214" t="s">
        <v>106</v>
      </c>
      <c r="C150" s="214" t="s">
        <v>164</v>
      </c>
      <c r="D150" s="214" t="s">
        <v>175</v>
      </c>
      <c r="E150" s="214">
        <v>20</v>
      </c>
      <c r="G150" s="214" t="s">
        <v>176</v>
      </c>
      <c r="H150" s="214">
        <v>1</v>
      </c>
      <c r="I150" s="215"/>
      <c r="J150" s="215"/>
      <c r="L150" s="214" t="s">
        <v>110</v>
      </c>
      <c r="P150" s="214" t="s">
        <v>156</v>
      </c>
      <c r="U150" s="213"/>
      <c r="V150" s="216"/>
      <c r="W150" s="217"/>
      <c r="X150" s="218"/>
      <c r="Y150" s="218"/>
      <c r="Z150" s="219"/>
      <c r="AA150" s="218"/>
      <c r="AB150" s="220"/>
      <c r="AC150" s="218"/>
    </row>
    <row r="151" spans="1:29">
      <c r="A151" s="214" t="s">
        <v>153</v>
      </c>
      <c r="B151" s="214" t="s">
        <v>106</v>
      </c>
      <c r="C151" s="214" t="s">
        <v>165</v>
      </c>
      <c r="D151" s="214" t="s">
        <v>175</v>
      </c>
      <c r="E151" s="214">
        <v>20</v>
      </c>
      <c r="G151" s="214" t="s">
        <v>176</v>
      </c>
      <c r="H151" s="214">
        <v>1</v>
      </c>
      <c r="I151" s="215"/>
      <c r="J151" s="215"/>
      <c r="L151" s="214" t="s">
        <v>110</v>
      </c>
      <c r="P151" s="214" t="s">
        <v>156</v>
      </c>
      <c r="U151" s="213"/>
      <c r="V151" s="216"/>
      <c r="W151" s="217"/>
      <c r="X151" s="218"/>
      <c r="Y151" s="218"/>
      <c r="Z151" s="219"/>
      <c r="AA151" s="218"/>
      <c r="AB151" s="220"/>
      <c r="AC151" s="218"/>
    </row>
    <row r="152" spans="1:29">
      <c r="A152" s="214" t="s">
        <v>153</v>
      </c>
      <c r="B152" s="214" t="s">
        <v>106</v>
      </c>
      <c r="C152" s="214" t="s">
        <v>166</v>
      </c>
      <c r="D152" s="214" t="s">
        <v>175</v>
      </c>
      <c r="E152" s="214">
        <v>20</v>
      </c>
      <c r="G152" s="214" t="s">
        <v>176</v>
      </c>
      <c r="H152" s="214">
        <v>1</v>
      </c>
      <c r="I152" s="215"/>
      <c r="J152" s="215"/>
      <c r="L152" s="214" t="s">
        <v>110</v>
      </c>
      <c r="P152" s="214" t="s">
        <v>156</v>
      </c>
      <c r="U152" s="213"/>
      <c r="V152" s="216"/>
      <c r="W152" s="217"/>
      <c r="X152" s="218"/>
      <c r="Y152" s="218"/>
      <c r="Z152" s="219"/>
      <c r="AA152" s="218"/>
      <c r="AB152" s="220"/>
      <c r="AC152" s="218"/>
    </row>
    <row r="153" spans="1:29">
      <c r="A153" s="214" t="s">
        <v>153</v>
      </c>
      <c r="B153" s="214" t="s">
        <v>106</v>
      </c>
      <c r="C153" s="214" t="s">
        <v>167</v>
      </c>
      <c r="D153" s="214" t="s">
        <v>175</v>
      </c>
      <c r="E153" s="214">
        <v>20</v>
      </c>
      <c r="G153" s="214" t="s">
        <v>176</v>
      </c>
      <c r="H153" s="214">
        <v>1</v>
      </c>
      <c r="I153" s="215"/>
      <c r="J153" s="215"/>
      <c r="L153" s="214" t="s">
        <v>110</v>
      </c>
      <c r="P153" s="214" t="s">
        <v>156</v>
      </c>
      <c r="U153" s="213"/>
      <c r="V153" s="216"/>
      <c r="W153" s="217"/>
      <c r="X153" s="218"/>
      <c r="Y153" s="218"/>
      <c r="Z153" s="219"/>
      <c r="AA153" s="218"/>
      <c r="AB153" s="220"/>
      <c r="AC153" s="218"/>
    </row>
    <row r="154" spans="1:29">
      <c r="A154" s="214" t="s">
        <v>153</v>
      </c>
      <c r="B154" s="214" t="s">
        <v>106</v>
      </c>
      <c r="C154" s="214" t="s">
        <v>168</v>
      </c>
      <c r="D154" s="214" t="s">
        <v>175</v>
      </c>
      <c r="E154" s="214">
        <v>20</v>
      </c>
      <c r="G154" s="214" t="s">
        <v>176</v>
      </c>
      <c r="H154" s="214">
        <v>1</v>
      </c>
      <c r="L154" s="214" t="s">
        <v>110</v>
      </c>
      <c r="P154" s="214" t="s">
        <v>169</v>
      </c>
      <c r="U154" s="213"/>
      <c r="V154" s="216"/>
      <c r="W154" s="217"/>
      <c r="X154" s="218"/>
      <c r="Y154" s="218"/>
      <c r="Z154" s="219"/>
      <c r="AA154" s="218"/>
      <c r="AB154" s="220"/>
      <c r="AC154" s="218"/>
    </row>
    <row r="155" spans="1:29">
      <c r="A155" s="214" t="s">
        <v>153</v>
      </c>
      <c r="B155" s="214" t="s">
        <v>106</v>
      </c>
      <c r="C155" s="214" t="s">
        <v>170</v>
      </c>
      <c r="D155" s="214" t="s">
        <v>175</v>
      </c>
      <c r="E155" s="214">
        <v>20</v>
      </c>
      <c r="G155" s="214" t="s">
        <v>176</v>
      </c>
      <c r="H155" s="214">
        <v>1</v>
      </c>
      <c r="L155" s="214" t="s">
        <v>110</v>
      </c>
      <c r="P155" s="214" t="s">
        <v>169</v>
      </c>
      <c r="U155" s="213"/>
      <c r="V155" s="216"/>
      <c r="W155" s="217"/>
      <c r="X155" s="218"/>
      <c r="Y155" s="218"/>
      <c r="Z155" s="219"/>
      <c r="AA155" s="218"/>
      <c r="AB155" s="220"/>
      <c r="AC155" s="218"/>
    </row>
    <row r="156" spans="1:29" customFormat="1" ht="12.75">
      <c r="A156" t="s">
        <v>133</v>
      </c>
      <c r="B156" t="s">
        <v>106</v>
      </c>
      <c r="C156" t="s">
        <v>198</v>
      </c>
      <c r="D156" t="s">
        <v>175</v>
      </c>
      <c r="E156">
        <v>40</v>
      </c>
      <c r="G156" t="s">
        <v>176</v>
      </c>
      <c r="H156">
        <v>1</v>
      </c>
      <c r="I156" s="249"/>
      <c r="J156" s="249"/>
      <c r="L156" t="s">
        <v>110</v>
      </c>
      <c r="O156" t="s">
        <v>226</v>
      </c>
      <c r="P156" t="s">
        <v>199</v>
      </c>
      <c r="Q156" t="b">
        <v>0</v>
      </c>
    </row>
    <row r="157" spans="1:29">
      <c r="U157" s="213"/>
      <c r="V157" s="216"/>
      <c r="W157" s="217"/>
      <c r="X157" s="218"/>
      <c r="Y157" s="218"/>
      <c r="Z157" s="219"/>
      <c r="AA157" s="218"/>
      <c r="AB157" s="220"/>
      <c r="AC157" s="218"/>
    </row>
    <row r="158" spans="1:29">
      <c r="A158" s="212" t="s">
        <v>89</v>
      </c>
      <c r="B158" s="212" t="s">
        <v>90</v>
      </c>
      <c r="C158" s="212" t="s">
        <v>91</v>
      </c>
      <c r="D158" s="212" t="s">
        <v>92</v>
      </c>
      <c r="E158" s="212" t="s">
        <v>93</v>
      </c>
      <c r="F158" s="212" t="s">
        <v>94</v>
      </c>
      <c r="G158" s="212" t="s">
        <v>95</v>
      </c>
      <c r="H158" s="212" t="s">
        <v>96</v>
      </c>
      <c r="I158" s="212" t="s">
        <v>97</v>
      </c>
      <c r="J158" s="212" t="s">
        <v>98</v>
      </c>
      <c r="K158" s="212" t="s">
        <v>99</v>
      </c>
      <c r="L158" s="212" t="s">
        <v>100</v>
      </c>
      <c r="M158" s="212" t="s">
        <v>101</v>
      </c>
      <c r="N158" s="212" t="s">
        <v>102</v>
      </c>
      <c r="O158" s="212" t="s">
        <v>103</v>
      </c>
      <c r="P158" s="212" t="s">
        <v>104</v>
      </c>
      <c r="U158" s="213"/>
      <c r="V158" s="216"/>
      <c r="W158" s="217"/>
      <c r="X158" s="218"/>
      <c r="Y158" s="218"/>
      <c r="Z158" s="219"/>
      <c r="AA158" s="218"/>
      <c r="AB158" s="220"/>
      <c r="AC158" s="218"/>
    </row>
    <row r="159" spans="1:29">
      <c r="A159" s="214" t="s">
        <v>133</v>
      </c>
      <c r="B159" s="214" t="s">
        <v>106</v>
      </c>
      <c r="C159" s="214" t="s">
        <v>134</v>
      </c>
      <c r="D159" s="214" t="s">
        <v>116</v>
      </c>
      <c r="E159" s="214">
        <v>8.5890000000000004</v>
      </c>
      <c r="G159" s="214" t="s">
        <v>178</v>
      </c>
      <c r="H159" s="214">
        <v>1</v>
      </c>
      <c r="L159" s="214" t="s">
        <v>110</v>
      </c>
      <c r="P159" s="214" t="s">
        <v>138</v>
      </c>
      <c r="U159" s="213"/>
      <c r="V159" s="216"/>
      <c r="W159" s="217"/>
      <c r="X159" s="218"/>
      <c r="Y159" s="218"/>
      <c r="Z159" s="219"/>
      <c r="AA159" s="218"/>
      <c r="AB159" s="220"/>
      <c r="AC159" s="218"/>
    </row>
    <row r="160" spans="1:29">
      <c r="A160" s="214" t="s">
        <v>133</v>
      </c>
      <c r="B160" s="214" t="s">
        <v>106</v>
      </c>
      <c r="C160" s="214" t="s">
        <v>139</v>
      </c>
      <c r="D160" s="214" t="s">
        <v>116</v>
      </c>
      <c r="E160" s="214">
        <v>8.5890000000000004</v>
      </c>
      <c r="G160" s="214" t="s">
        <v>178</v>
      </c>
      <c r="H160" s="214">
        <v>1</v>
      </c>
      <c r="L160" s="214" t="s">
        <v>110</v>
      </c>
      <c r="P160" s="214" t="s">
        <v>138</v>
      </c>
      <c r="U160" s="213"/>
      <c r="V160" s="216"/>
      <c r="W160" s="217"/>
      <c r="X160" s="218"/>
      <c r="Y160" s="218"/>
      <c r="Z160" s="219"/>
      <c r="AA160" s="218"/>
      <c r="AB160" s="220"/>
      <c r="AC160" s="218"/>
    </row>
    <row r="161" spans="1:29">
      <c r="A161" s="214" t="s">
        <v>133</v>
      </c>
      <c r="B161" s="214" t="s">
        <v>106</v>
      </c>
      <c r="C161" s="214" t="s">
        <v>140</v>
      </c>
      <c r="D161" s="214" t="s">
        <v>116</v>
      </c>
      <c r="E161" s="214">
        <v>8.5890000000000004</v>
      </c>
      <c r="G161" s="214" t="s">
        <v>178</v>
      </c>
      <c r="H161" s="214">
        <v>1</v>
      </c>
      <c r="L161" s="214" t="s">
        <v>110</v>
      </c>
      <c r="P161" s="214" t="s">
        <v>138</v>
      </c>
      <c r="U161" s="213"/>
      <c r="V161" s="216"/>
      <c r="W161" s="217"/>
      <c r="X161" s="218"/>
      <c r="Y161" s="218"/>
      <c r="Z161" s="219"/>
      <c r="AA161" s="218"/>
      <c r="AB161" s="220"/>
      <c r="AC161" s="218"/>
    </row>
    <row r="162" spans="1:29">
      <c r="A162" s="214" t="s">
        <v>133</v>
      </c>
      <c r="B162" s="214" t="s">
        <v>106</v>
      </c>
      <c r="C162" s="214" t="s">
        <v>141</v>
      </c>
      <c r="D162" s="214" t="s">
        <v>116</v>
      </c>
      <c r="E162" s="214">
        <v>8.5890000000000004</v>
      </c>
      <c r="G162" s="214" t="s">
        <v>178</v>
      </c>
      <c r="H162" s="214">
        <v>1</v>
      </c>
      <c r="L162" s="214" t="s">
        <v>110</v>
      </c>
      <c r="P162" s="214" t="s">
        <v>138</v>
      </c>
      <c r="U162" s="213"/>
      <c r="V162" s="216"/>
      <c r="W162" s="217"/>
      <c r="X162" s="218"/>
      <c r="Y162" s="218"/>
      <c r="Z162" s="219"/>
      <c r="AA162" s="218"/>
      <c r="AB162" s="220"/>
      <c r="AC162" s="218"/>
    </row>
    <row r="163" spans="1:29">
      <c r="A163" s="214" t="s">
        <v>133</v>
      </c>
      <c r="B163" s="214" t="s">
        <v>106</v>
      </c>
      <c r="C163" s="214" t="s">
        <v>142</v>
      </c>
      <c r="D163" s="214" t="s">
        <v>116</v>
      </c>
      <c r="E163" s="214">
        <v>8.5890000000000004</v>
      </c>
      <c r="G163" s="214" t="s">
        <v>178</v>
      </c>
      <c r="H163" s="214">
        <v>1</v>
      </c>
      <c r="L163" s="214" t="s">
        <v>110</v>
      </c>
      <c r="P163" s="214" t="s">
        <v>138</v>
      </c>
      <c r="U163" s="213"/>
      <c r="V163" s="216"/>
      <c r="W163" s="217"/>
      <c r="X163" s="218"/>
      <c r="Y163" s="218"/>
      <c r="Z163" s="219"/>
      <c r="AA163" s="218"/>
      <c r="AB163" s="220"/>
      <c r="AC163" s="218"/>
    </row>
    <row r="164" spans="1:29">
      <c r="A164" s="214" t="s">
        <v>133</v>
      </c>
      <c r="B164" s="214" t="s">
        <v>106</v>
      </c>
      <c r="C164" s="214" t="s">
        <v>186</v>
      </c>
      <c r="D164" s="214" t="s">
        <v>116</v>
      </c>
      <c r="E164" s="214">
        <v>8.5890000000000004</v>
      </c>
      <c r="G164" s="214" t="s">
        <v>178</v>
      </c>
      <c r="H164" s="214">
        <v>1</v>
      </c>
      <c r="L164" s="214" t="s">
        <v>110</v>
      </c>
      <c r="P164" s="214" t="s">
        <v>138</v>
      </c>
      <c r="U164" s="213"/>
      <c r="V164" s="216"/>
      <c r="W164" s="217"/>
      <c r="X164" s="218"/>
      <c r="Y164" s="218"/>
      <c r="Z164" s="219"/>
      <c r="AA164" s="218"/>
      <c r="AB164" s="220"/>
      <c r="AC164" s="218"/>
    </row>
    <row r="165" spans="1:29">
      <c r="A165" s="214" t="s">
        <v>133</v>
      </c>
      <c r="B165" s="214" t="s">
        <v>106</v>
      </c>
      <c r="C165" s="214" t="s">
        <v>143</v>
      </c>
      <c r="D165" s="214" t="s">
        <v>116</v>
      </c>
      <c r="E165" s="214">
        <v>8.5890000000000004</v>
      </c>
      <c r="G165" s="214" t="s">
        <v>178</v>
      </c>
      <c r="H165" s="214">
        <v>1</v>
      </c>
      <c r="L165" s="214" t="s">
        <v>110</v>
      </c>
      <c r="P165" s="214" t="s">
        <v>138</v>
      </c>
      <c r="U165" s="213"/>
      <c r="V165" s="216"/>
      <c r="W165" s="217"/>
      <c r="X165" s="218"/>
      <c r="Y165" s="218"/>
      <c r="Z165" s="219"/>
      <c r="AA165" s="218"/>
      <c r="AB165" s="220"/>
      <c r="AC165" s="218"/>
    </row>
    <row r="166" spans="1:29">
      <c r="A166" s="214" t="s">
        <v>133</v>
      </c>
      <c r="B166" s="214" t="s">
        <v>106</v>
      </c>
      <c r="C166" s="214" t="s">
        <v>144</v>
      </c>
      <c r="D166" s="214" t="s">
        <v>116</v>
      </c>
      <c r="E166" s="214">
        <v>8.15</v>
      </c>
      <c r="G166" s="214" t="s">
        <v>178</v>
      </c>
      <c r="H166" s="214">
        <v>1</v>
      </c>
      <c r="L166" s="214" t="s">
        <v>110</v>
      </c>
      <c r="P166" s="214" t="s">
        <v>146</v>
      </c>
      <c r="U166" s="213"/>
      <c r="V166" s="216"/>
      <c r="W166" s="217"/>
      <c r="X166" s="218"/>
      <c r="Y166" s="218"/>
      <c r="Z166" s="219"/>
      <c r="AA166" s="218"/>
      <c r="AB166" s="220"/>
      <c r="AC166" s="218"/>
    </row>
    <row r="167" spans="1:29">
      <c r="A167" s="214" t="s">
        <v>133</v>
      </c>
      <c r="B167" s="214" t="s">
        <v>106</v>
      </c>
      <c r="C167" s="214" t="s">
        <v>147</v>
      </c>
      <c r="D167" s="214" t="s">
        <v>116</v>
      </c>
      <c r="E167" s="214">
        <v>8.15</v>
      </c>
      <c r="G167" s="214" t="s">
        <v>178</v>
      </c>
      <c r="H167" s="214">
        <v>1</v>
      </c>
      <c r="L167" s="214" t="s">
        <v>110</v>
      </c>
      <c r="P167" s="214" t="s">
        <v>146</v>
      </c>
      <c r="U167" s="213"/>
      <c r="V167" s="216"/>
      <c r="W167" s="217"/>
      <c r="X167" s="218"/>
      <c r="Y167" s="218"/>
      <c r="Z167" s="219"/>
      <c r="AA167" s="218"/>
      <c r="AB167" s="220"/>
      <c r="AC167" s="218"/>
    </row>
    <row r="168" spans="1:29">
      <c r="A168" s="214" t="s">
        <v>133</v>
      </c>
      <c r="B168" s="214" t="s">
        <v>106</v>
      </c>
      <c r="C168" s="214" t="s">
        <v>148</v>
      </c>
      <c r="D168" s="214" t="s">
        <v>116</v>
      </c>
      <c r="E168" s="214">
        <v>8.15</v>
      </c>
      <c r="G168" s="214" t="s">
        <v>178</v>
      </c>
      <c r="H168" s="214">
        <v>1</v>
      </c>
      <c r="L168" s="214" t="s">
        <v>110</v>
      </c>
      <c r="P168" s="214" t="s">
        <v>146</v>
      </c>
      <c r="U168" s="213"/>
      <c r="V168" s="216"/>
      <c r="W168" s="217"/>
      <c r="X168" s="218"/>
      <c r="Y168" s="218"/>
      <c r="Z168" s="219"/>
      <c r="AA168" s="218"/>
      <c r="AB168" s="220"/>
      <c r="AC168" s="218"/>
    </row>
    <row r="169" spans="1:29">
      <c r="A169" s="214" t="s">
        <v>133</v>
      </c>
      <c r="B169" s="214" t="s">
        <v>106</v>
      </c>
      <c r="C169" s="214" t="s">
        <v>149</v>
      </c>
      <c r="D169" s="214" t="s">
        <v>116</v>
      </c>
      <c r="E169" s="214">
        <v>8.15</v>
      </c>
      <c r="G169" s="214" t="s">
        <v>178</v>
      </c>
      <c r="H169" s="214">
        <v>1</v>
      </c>
      <c r="L169" s="214" t="s">
        <v>110</v>
      </c>
      <c r="P169" s="214" t="s">
        <v>146</v>
      </c>
      <c r="U169" s="213"/>
      <c r="V169" s="216"/>
      <c r="W169" s="217"/>
      <c r="X169" s="218"/>
      <c r="Y169" s="218"/>
      <c r="Z169" s="219"/>
      <c r="AA169" s="218"/>
      <c r="AB169" s="220"/>
      <c r="AC169" s="218"/>
    </row>
    <row r="170" spans="1:29">
      <c r="A170" s="214" t="s">
        <v>133</v>
      </c>
      <c r="B170" s="214" t="s">
        <v>106</v>
      </c>
      <c r="C170" s="214" t="s">
        <v>151</v>
      </c>
      <c r="D170" s="214" t="s">
        <v>116</v>
      </c>
      <c r="E170" s="214">
        <v>8.1189999999999998</v>
      </c>
      <c r="G170" s="214" t="s">
        <v>178</v>
      </c>
      <c r="H170" s="214">
        <v>1</v>
      </c>
      <c r="L170" s="214" t="s">
        <v>110</v>
      </c>
      <c r="P170" s="214" t="s">
        <v>146</v>
      </c>
      <c r="U170" s="213"/>
      <c r="V170" s="216"/>
      <c r="W170" s="217"/>
      <c r="X170" s="218"/>
      <c r="Y170" s="218"/>
      <c r="Z170" s="219"/>
      <c r="AA170" s="218"/>
      <c r="AB170" s="220"/>
      <c r="AC170" s="218"/>
    </row>
    <row r="171" spans="1:29">
      <c r="A171" s="214" t="s">
        <v>133</v>
      </c>
      <c r="B171" s="214" t="s">
        <v>106</v>
      </c>
      <c r="C171" s="214" t="s">
        <v>152</v>
      </c>
      <c r="D171" s="214" t="s">
        <v>116</v>
      </c>
      <c r="E171" s="214">
        <v>8.15</v>
      </c>
      <c r="G171" s="214" t="s">
        <v>178</v>
      </c>
      <c r="H171" s="214">
        <v>1</v>
      </c>
      <c r="L171" s="214" t="s">
        <v>110</v>
      </c>
      <c r="P171" s="214" t="s">
        <v>146</v>
      </c>
      <c r="U171" s="213"/>
      <c r="V171" s="216"/>
      <c r="W171" s="217"/>
      <c r="X171" s="218"/>
      <c r="Y171" s="218"/>
      <c r="Z171" s="219"/>
      <c r="AA171" s="218"/>
      <c r="AB171" s="220"/>
      <c r="AC171" s="218"/>
    </row>
    <row r="172" spans="1:29">
      <c r="A172" s="214" t="s">
        <v>153</v>
      </c>
      <c r="B172" s="214" t="s">
        <v>106</v>
      </c>
      <c r="C172" s="214" t="s">
        <v>157</v>
      </c>
      <c r="D172" s="214" t="s">
        <v>116</v>
      </c>
      <c r="E172" s="214">
        <v>6.4779999999999998</v>
      </c>
      <c r="G172" s="214" t="s">
        <v>178</v>
      </c>
      <c r="H172" s="214">
        <v>1</v>
      </c>
      <c r="L172" s="214" t="s">
        <v>110</v>
      </c>
      <c r="P172" s="214" t="s">
        <v>156</v>
      </c>
      <c r="U172" s="213"/>
      <c r="V172" s="216"/>
      <c r="W172" s="217"/>
      <c r="X172" s="218"/>
      <c r="Y172" s="218"/>
      <c r="Z172" s="219"/>
      <c r="AA172" s="218"/>
      <c r="AB172" s="220"/>
      <c r="AC172" s="218"/>
    </row>
    <row r="173" spans="1:29">
      <c r="A173" s="214" t="s">
        <v>153</v>
      </c>
      <c r="B173" s="214" t="s">
        <v>106</v>
      </c>
      <c r="C173" s="214" t="s">
        <v>158</v>
      </c>
      <c r="D173" s="214" t="s">
        <v>116</v>
      </c>
      <c r="E173" s="214">
        <v>6.4779999999999998</v>
      </c>
      <c r="G173" s="214" t="s">
        <v>178</v>
      </c>
      <c r="H173" s="214">
        <v>1</v>
      </c>
      <c r="L173" s="214" t="s">
        <v>110</v>
      </c>
      <c r="P173" s="214" t="s">
        <v>156</v>
      </c>
      <c r="U173" s="213"/>
      <c r="V173" s="216"/>
      <c r="W173" s="217"/>
      <c r="X173" s="218"/>
      <c r="Y173" s="218"/>
      <c r="Z173" s="219"/>
      <c r="AA173" s="218"/>
      <c r="AB173" s="220"/>
      <c r="AC173" s="218"/>
    </row>
    <row r="174" spans="1:29">
      <c r="A174" s="214" t="s">
        <v>153</v>
      </c>
      <c r="B174" s="214" t="s">
        <v>106</v>
      </c>
      <c r="C174" s="214" t="s">
        <v>159</v>
      </c>
      <c r="D174" s="214" t="s">
        <v>116</v>
      </c>
      <c r="E174" s="214">
        <v>6.4779999999999998</v>
      </c>
      <c r="G174" s="214" t="s">
        <v>178</v>
      </c>
      <c r="H174" s="214">
        <v>1</v>
      </c>
      <c r="L174" s="214" t="s">
        <v>110</v>
      </c>
      <c r="P174" s="214" t="s">
        <v>156</v>
      </c>
      <c r="U174" s="213"/>
      <c r="V174" s="216"/>
      <c r="W174" s="217"/>
      <c r="X174" s="218"/>
      <c r="Y174" s="218"/>
      <c r="Z174" s="219"/>
      <c r="AA174" s="218"/>
      <c r="AB174" s="220"/>
      <c r="AC174" s="218"/>
    </row>
    <row r="175" spans="1:29">
      <c r="A175" s="214" t="s">
        <v>153</v>
      </c>
      <c r="B175" s="214" t="s">
        <v>106</v>
      </c>
      <c r="C175" s="214" t="s">
        <v>160</v>
      </c>
      <c r="D175" s="214" t="s">
        <v>116</v>
      </c>
      <c r="E175" s="214">
        <v>5.3860000000000001</v>
      </c>
      <c r="G175" s="214" t="s">
        <v>178</v>
      </c>
      <c r="H175" s="214">
        <v>1</v>
      </c>
      <c r="L175" s="214" t="s">
        <v>110</v>
      </c>
      <c r="P175" s="214" t="s">
        <v>156</v>
      </c>
      <c r="U175" s="213"/>
      <c r="V175" s="216"/>
      <c r="W175" s="217"/>
      <c r="X175" s="218"/>
      <c r="Y175" s="218"/>
      <c r="Z175" s="219"/>
      <c r="AA175" s="218"/>
      <c r="AB175" s="220"/>
      <c r="AC175" s="218"/>
    </row>
    <row r="176" spans="1:29">
      <c r="A176" s="214" t="s">
        <v>153</v>
      </c>
      <c r="B176" s="214" t="s">
        <v>106</v>
      </c>
      <c r="C176" s="214" t="s">
        <v>161</v>
      </c>
      <c r="D176" s="214" t="s">
        <v>116</v>
      </c>
      <c r="E176" s="214">
        <v>6.4779999999999998</v>
      </c>
      <c r="G176" s="214" t="s">
        <v>178</v>
      </c>
      <c r="H176" s="214">
        <v>1</v>
      </c>
      <c r="L176" s="214" t="s">
        <v>110</v>
      </c>
      <c r="P176" s="214" t="s">
        <v>156</v>
      </c>
      <c r="U176" s="213"/>
      <c r="V176" s="216"/>
      <c r="W176" s="217"/>
      <c r="X176" s="218"/>
      <c r="Y176" s="218"/>
      <c r="Z176" s="219"/>
      <c r="AA176" s="218"/>
      <c r="AB176" s="220"/>
      <c r="AC176" s="218"/>
    </row>
    <row r="177" spans="1:29">
      <c r="A177" s="214" t="s">
        <v>153</v>
      </c>
      <c r="B177" s="214" t="s">
        <v>106</v>
      </c>
      <c r="C177" s="214" t="s">
        <v>162</v>
      </c>
      <c r="D177" s="214" t="s">
        <v>116</v>
      </c>
      <c r="E177" s="214">
        <v>6.4779999999999998</v>
      </c>
      <c r="G177" s="214" t="s">
        <v>178</v>
      </c>
      <c r="H177" s="214">
        <v>1</v>
      </c>
      <c r="L177" s="214" t="s">
        <v>110</v>
      </c>
      <c r="P177" s="214" t="s">
        <v>156</v>
      </c>
      <c r="U177" s="213"/>
      <c r="V177" s="216"/>
      <c r="W177" s="217"/>
      <c r="X177" s="218"/>
      <c r="Y177" s="218"/>
      <c r="Z177" s="219"/>
      <c r="AA177" s="218"/>
      <c r="AB177" s="220"/>
      <c r="AC177" s="218"/>
    </row>
    <row r="178" spans="1:29">
      <c r="A178" s="214" t="s">
        <v>153</v>
      </c>
      <c r="B178" s="214" t="s">
        <v>106</v>
      </c>
      <c r="C178" s="214" t="s">
        <v>154</v>
      </c>
      <c r="D178" s="214" t="s">
        <v>116</v>
      </c>
      <c r="E178" s="214">
        <v>5.3860000000000001</v>
      </c>
      <c r="G178" s="214" t="s">
        <v>178</v>
      </c>
      <c r="H178" s="214">
        <v>1</v>
      </c>
      <c r="L178" s="214" t="s">
        <v>110</v>
      </c>
      <c r="P178" s="214" t="s">
        <v>156</v>
      </c>
      <c r="U178" s="213"/>
      <c r="V178" s="216"/>
      <c r="W178" s="217"/>
      <c r="X178" s="218"/>
      <c r="Y178" s="218"/>
      <c r="Z178" s="219"/>
      <c r="AA178" s="218"/>
      <c r="AB178" s="220"/>
      <c r="AC178" s="218"/>
    </row>
    <row r="179" spans="1:29">
      <c r="A179" s="214" t="s">
        <v>153</v>
      </c>
      <c r="B179" s="214" t="s">
        <v>106</v>
      </c>
      <c r="C179" s="214" t="s">
        <v>163</v>
      </c>
      <c r="D179" s="214" t="s">
        <v>116</v>
      </c>
      <c r="E179" s="214">
        <v>6.4779999999999998</v>
      </c>
      <c r="G179" s="214" t="s">
        <v>178</v>
      </c>
      <c r="H179" s="214">
        <v>1</v>
      </c>
      <c r="L179" s="214" t="s">
        <v>110</v>
      </c>
      <c r="P179" s="214" t="s">
        <v>156</v>
      </c>
      <c r="U179" s="213"/>
      <c r="V179" s="216"/>
      <c r="W179" s="217"/>
      <c r="X179" s="218"/>
      <c r="Y179" s="218"/>
      <c r="Z179" s="219"/>
      <c r="AA179" s="218"/>
      <c r="AB179" s="220"/>
      <c r="AC179" s="218"/>
    </row>
    <row r="180" spans="1:29">
      <c r="A180" s="214" t="s">
        <v>153</v>
      </c>
      <c r="B180" s="214" t="s">
        <v>106</v>
      </c>
      <c r="C180" s="214" t="s">
        <v>164</v>
      </c>
      <c r="D180" s="214" t="s">
        <v>116</v>
      </c>
      <c r="E180" s="214">
        <v>6.4779999999999998</v>
      </c>
      <c r="G180" s="214" t="s">
        <v>178</v>
      </c>
      <c r="H180" s="214">
        <v>1</v>
      </c>
      <c r="L180" s="214" t="s">
        <v>110</v>
      </c>
      <c r="P180" s="214" t="s">
        <v>156</v>
      </c>
      <c r="U180" s="213"/>
      <c r="V180" s="216"/>
      <c r="W180" s="217"/>
      <c r="X180" s="218"/>
      <c r="Y180" s="218"/>
      <c r="Z180" s="219"/>
      <c r="AA180" s="218"/>
      <c r="AB180" s="220"/>
      <c r="AC180" s="218"/>
    </row>
    <row r="181" spans="1:29">
      <c r="A181" s="214" t="s">
        <v>153</v>
      </c>
      <c r="B181" s="214" t="s">
        <v>106</v>
      </c>
      <c r="C181" s="214" t="s">
        <v>165</v>
      </c>
      <c r="D181" s="214" t="s">
        <v>116</v>
      </c>
      <c r="E181" s="214">
        <v>6.4779999999999998</v>
      </c>
      <c r="G181" s="214" t="s">
        <v>178</v>
      </c>
      <c r="H181" s="214">
        <v>1</v>
      </c>
      <c r="L181" s="214" t="s">
        <v>110</v>
      </c>
      <c r="P181" s="214" t="s">
        <v>156</v>
      </c>
      <c r="U181" s="213"/>
      <c r="V181" s="216"/>
      <c r="W181" s="217"/>
      <c r="X181" s="218"/>
      <c r="Y181" s="218"/>
      <c r="Z181" s="219"/>
      <c r="AA181" s="218"/>
      <c r="AB181" s="220"/>
      <c r="AC181" s="218"/>
    </row>
    <row r="182" spans="1:29">
      <c r="A182" s="214" t="s">
        <v>153</v>
      </c>
      <c r="B182" s="214" t="s">
        <v>106</v>
      </c>
      <c r="C182" s="214" t="s">
        <v>166</v>
      </c>
      <c r="D182" s="214" t="s">
        <v>116</v>
      </c>
      <c r="E182" s="214">
        <v>6.4779999999999998</v>
      </c>
      <c r="G182" s="214" t="s">
        <v>178</v>
      </c>
      <c r="H182" s="214">
        <v>1</v>
      </c>
      <c r="L182" s="214" t="s">
        <v>110</v>
      </c>
      <c r="P182" s="214" t="s">
        <v>156</v>
      </c>
      <c r="U182" s="213"/>
      <c r="V182" s="216"/>
      <c r="W182" s="217"/>
      <c r="X182" s="218"/>
      <c r="Y182" s="218"/>
      <c r="Z182" s="219"/>
      <c r="AA182" s="218"/>
      <c r="AB182" s="220"/>
      <c r="AC182" s="218"/>
    </row>
    <row r="183" spans="1:29">
      <c r="A183" s="214" t="s">
        <v>153</v>
      </c>
      <c r="B183" s="214" t="s">
        <v>106</v>
      </c>
      <c r="C183" s="214" t="s">
        <v>167</v>
      </c>
      <c r="D183" s="214" t="s">
        <v>116</v>
      </c>
      <c r="E183" s="214">
        <v>6.4779999999999998</v>
      </c>
      <c r="G183" s="214" t="s">
        <v>178</v>
      </c>
      <c r="H183" s="214">
        <v>1</v>
      </c>
      <c r="L183" s="214" t="s">
        <v>110</v>
      </c>
      <c r="P183" s="214" t="s">
        <v>156</v>
      </c>
      <c r="U183" s="213"/>
      <c r="V183" s="216"/>
      <c r="W183" s="217"/>
      <c r="X183" s="218"/>
      <c r="Y183" s="218"/>
      <c r="Z183" s="219"/>
      <c r="AA183" s="218"/>
      <c r="AB183" s="220"/>
      <c r="AC183" s="218"/>
    </row>
    <row r="184" spans="1:29">
      <c r="A184" s="214" t="s">
        <v>153</v>
      </c>
      <c r="B184" s="214" t="s">
        <v>106</v>
      </c>
      <c r="C184" s="214" t="s">
        <v>168</v>
      </c>
      <c r="D184" s="214" t="s">
        <v>116</v>
      </c>
      <c r="E184" s="214">
        <v>5.3869999999999996</v>
      </c>
      <c r="G184" s="214" t="s">
        <v>178</v>
      </c>
      <c r="H184" s="214">
        <v>1</v>
      </c>
      <c r="L184" s="214" t="s">
        <v>110</v>
      </c>
      <c r="P184" s="214" t="s">
        <v>169</v>
      </c>
      <c r="U184" s="213"/>
      <c r="V184" s="216"/>
      <c r="W184" s="217"/>
      <c r="X184" s="218"/>
      <c r="Y184" s="218"/>
      <c r="Z184" s="219"/>
      <c r="AA184" s="218"/>
      <c r="AB184" s="220"/>
      <c r="AC184" s="218"/>
    </row>
    <row r="185" spans="1:29">
      <c r="A185" s="214" t="s">
        <v>153</v>
      </c>
      <c r="B185" s="214" t="s">
        <v>106</v>
      </c>
      <c r="C185" s="214" t="s">
        <v>170</v>
      </c>
      <c r="D185" s="214" t="s">
        <v>116</v>
      </c>
      <c r="E185" s="214">
        <v>5.5430000000000001</v>
      </c>
      <c r="G185" s="214" t="s">
        <v>178</v>
      </c>
      <c r="H185" s="214">
        <v>1</v>
      </c>
      <c r="L185" s="214" t="s">
        <v>110</v>
      </c>
      <c r="P185" s="214" t="s">
        <v>169</v>
      </c>
      <c r="U185" s="213"/>
      <c r="V185" s="216"/>
      <c r="W185" s="217"/>
      <c r="X185" s="218"/>
      <c r="Y185" s="218"/>
      <c r="Z185" s="219"/>
      <c r="AA185" s="218"/>
      <c r="AB185" s="220"/>
      <c r="AC185" s="218"/>
    </row>
    <row r="186" spans="1:29" customFormat="1" ht="12.75">
      <c r="A186" t="s">
        <v>133</v>
      </c>
      <c r="B186" t="s">
        <v>106</v>
      </c>
      <c r="C186" t="s">
        <v>198</v>
      </c>
      <c r="D186" t="s">
        <v>116</v>
      </c>
      <c r="E186" s="159">
        <v>8.2750000000000004</v>
      </c>
      <c r="G186" t="s">
        <v>178</v>
      </c>
      <c r="H186">
        <v>1</v>
      </c>
      <c r="I186" s="249"/>
      <c r="J186" s="249"/>
      <c r="L186" t="s">
        <v>110</v>
      </c>
      <c r="P186" t="s">
        <v>199</v>
      </c>
      <c r="Q186" t="b">
        <v>0</v>
      </c>
    </row>
    <row r="187" spans="1:29">
      <c r="U187" s="213"/>
      <c r="V187" s="216"/>
      <c r="W187" s="217"/>
      <c r="X187" s="218"/>
      <c r="Y187" s="218"/>
      <c r="Z187" s="219"/>
      <c r="AA187" s="218"/>
      <c r="AB187" s="220"/>
      <c r="AC187" s="218"/>
    </row>
    <row r="188" spans="1:29">
      <c r="U188" s="213"/>
      <c r="V188" s="216"/>
      <c r="W188" s="217"/>
      <c r="X188" s="218"/>
      <c r="Y188" s="218"/>
      <c r="Z188" s="219"/>
      <c r="AA188" s="218"/>
      <c r="AB188" s="220"/>
      <c r="AC188" s="218"/>
    </row>
    <row r="189" spans="1:29" s="212" customFormat="1">
      <c r="A189" s="212" t="s">
        <v>89</v>
      </c>
      <c r="B189" s="212" t="s">
        <v>90</v>
      </c>
      <c r="C189" s="212" t="s">
        <v>91</v>
      </c>
      <c r="D189" s="212" t="s">
        <v>92</v>
      </c>
      <c r="E189" s="212" t="s">
        <v>93</v>
      </c>
      <c r="F189" s="212" t="s">
        <v>94</v>
      </c>
      <c r="G189" s="212" t="s">
        <v>95</v>
      </c>
      <c r="H189" s="212" t="s">
        <v>96</v>
      </c>
      <c r="I189" s="212" t="s">
        <v>97</v>
      </c>
      <c r="J189" s="212" t="s">
        <v>98</v>
      </c>
      <c r="K189" s="212" t="s">
        <v>99</v>
      </c>
      <c r="L189" s="212" t="s">
        <v>100</v>
      </c>
      <c r="M189" s="212" t="s">
        <v>101</v>
      </c>
      <c r="N189" s="212" t="s">
        <v>102</v>
      </c>
      <c r="O189" s="212" t="s">
        <v>103</v>
      </c>
      <c r="P189" s="212" t="s">
        <v>104</v>
      </c>
      <c r="S189" s="212" t="s">
        <v>0</v>
      </c>
      <c r="U189" s="213"/>
      <c r="V189" s="216"/>
      <c r="W189" s="217"/>
      <c r="X189" s="218"/>
      <c r="Y189" s="218"/>
      <c r="Z189" s="219"/>
      <c r="AA189" s="218"/>
      <c r="AB189" s="220"/>
      <c r="AC189" s="218"/>
    </row>
    <row r="190" spans="1:29">
      <c r="A190" s="214" t="s">
        <v>105</v>
      </c>
      <c r="B190" s="214" t="s">
        <v>106</v>
      </c>
      <c r="C190" s="214" t="s">
        <v>137</v>
      </c>
      <c r="D190" s="214" t="s">
        <v>108</v>
      </c>
      <c r="E190" s="214">
        <v>1.065089773</v>
      </c>
      <c r="G190" s="214" t="s">
        <v>109</v>
      </c>
      <c r="H190" s="214">
        <v>1</v>
      </c>
      <c r="I190" s="215">
        <v>45658</v>
      </c>
      <c r="J190" s="215"/>
      <c r="L190" s="214" t="s">
        <v>110</v>
      </c>
      <c r="N190" s="214" t="s">
        <v>287</v>
      </c>
      <c r="O190" s="214" t="s">
        <v>288</v>
      </c>
      <c r="P190" s="214" t="s">
        <v>179</v>
      </c>
      <c r="S190" s="214">
        <f>YEAR(I190)</f>
        <v>2025</v>
      </c>
      <c r="U190" s="213"/>
      <c r="V190" s="216"/>
      <c r="W190" s="217"/>
      <c r="X190" s="218"/>
      <c r="Y190" s="218"/>
      <c r="Z190" s="219"/>
      <c r="AA190" s="218"/>
      <c r="AB190" s="220"/>
      <c r="AC190" s="218"/>
    </row>
    <row r="191" spans="1:29">
      <c r="A191" s="214" t="s">
        <v>105</v>
      </c>
      <c r="B191" s="214" t="s">
        <v>106</v>
      </c>
      <c r="C191" s="214" t="s">
        <v>137</v>
      </c>
      <c r="D191" s="214" t="s">
        <v>108</v>
      </c>
      <c r="E191" s="214">
        <v>1.0448009469999999</v>
      </c>
      <c r="G191" s="214" t="s">
        <v>109</v>
      </c>
      <c r="H191" s="214">
        <v>1</v>
      </c>
      <c r="I191" s="215">
        <v>46023</v>
      </c>
      <c r="J191" s="215"/>
      <c r="L191" s="214" t="s">
        <v>110</v>
      </c>
      <c r="N191" s="214" t="s">
        <v>287</v>
      </c>
      <c r="O191" s="214" t="s">
        <v>288</v>
      </c>
      <c r="P191" s="214" t="s">
        <v>179</v>
      </c>
      <c r="S191" s="214">
        <f t="shared" ref="S191:S210" si="2">YEAR(I191)</f>
        <v>2026</v>
      </c>
      <c r="U191" s="213"/>
      <c r="V191" s="216"/>
      <c r="W191" s="217"/>
      <c r="X191" s="218"/>
      <c r="Y191" s="218"/>
      <c r="Z191" s="219"/>
      <c r="AA191" s="218"/>
      <c r="AB191" s="220"/>
      <c r="AC191" s="218"/>
    </row>
    <row r="192" spans="1:29">
      <c r="A192" s="214" t="s">
        <v>105</v>
      </c>
      <c r="B192" s="214" t="s">
        <v>106</v>
      </c>
      <c r="C192" s="214" t="s">
        <v>137</v>
      </c>
      <c r="D192" s="214" t="s">
        <v>108</v>
      </c>
      <c r="E192" s="214">
        <v>1.0231213539999999</v>
      </c>
      <c r="G192" s="214" t="s">
        <v>109</v>
      </c>
      <c r="H192" s="214">
        <v>1</v>
      </c>
      <c r="I192" s="215">
        <v>46388</v>
      </c>
      <c r="J192" s="215"/>
      <c r="L192" s="214" t="s">
        <v>110</v>
      </c>
      <c r="N192" s="214" t="s">
        <v>287</v>
      </c>
      <c r="O192" s="214" t="s">
        <v>288</v>
      </c>
      <c r="P192" s="214" t="s">
        <v>179</v>
      </c>
      <c r="S192" s="214">
        <f t="shared" si="2"/>
        <v>2027</v>
      </c>
      <c r="U192" s="213"/>
      <c r="V192" s="216"/>
      <c r="W192" s="217"/>
      <c r="X192" s="218"/>
      <c r="Y192" s="218"/>
      <c r="Z192" s="219"/>
      <c r="AA192" s="218"/>
      <c r="AB192" s="220"/>
      <c r="AC192" s="218"/>
    </row>
    <row r="193" spans="1:29">
      <c r="A193" s="214" t="s">
        <v>105</v>
      </c>
      <c r="B193" s="214" t="s">
        <v>106</v>
      </c>
      <c r="C193" s="214" t="s">
        <v>137</v>
      </c>
      <c r="D193" s="214" t="s">
        <v>108</v>
      </c>
      <c r="E193" s="214">
        <v>1</v>
      </c>
      <c r="G193" s="214" t="s">
        <v>109</v>
      </c>
      <c r="H193" s="214">
        <v>1</v>
      </c>
      <c r="I193" s="215">
        <v>46753</v>
      </c>
      <c r="J193" s="215"/>
      <c r="L193" s="214" t="s">
        <v>110</v>
      </c>
      <c r="N193" s="214" t="s">
        <v>287</v>
      </c>
      <c r="O193" s="214" t="s">
        <v>288</v>
      </c>
      <c r="P193" s="214" t="s">
        <v>179</v>
      </c>
      <c r="S193" s="214">
        <f t="shared" si="2"/>
        <v>2028</v>
      </c>
      <c r="U193" s="213"/>
      <c r="V193" s="216"/>
      <c r="W193" s="219"/>
      <c r="X193" s="218"/>
      <c r="Y193" s="218"/>
      <c r="Z193" s="219"/>
      <c r="AA193" s="218"/>
      <c r="AB193" s="220"/>
      <c r="AC193" s="218"/>
    </row>
    <row r="194" spans="1:29">
      <c r="A194" s="214" t="s">
        <v>105</v>
      </c>
      <c r="B194" s="214" t="s">
        <v>106</v>
      </c>
      <c r="C194" s="214" t="s">
        <v>137</v>
      </c>
      <c r="D194" s="214" t="s">
        <v>108</v>
      </c>
      <c r="E194" s="214">
        <v>0.975384327</v>
      </c>
      <c r="G194" s="214" t="s">
        <v>109</v>
      </c>
      <c r="H194" s="214">
        <v>1</v>
      </c>
      <c r="I194" s="215">
        <v>47119</v>
      </c>
      <c r="J194" s="215"/>
      <c r="L194" s="214" t="s">
        <v>110</v>
      </c>
      <c r="N194" s="214" t="s">
        <v>287</v>
      </c>
      <c r="O194" s="214" t="s">
        <v>288</v>
      </c>
      <c r="P194" s="214" t="s">
        <v>179</v>
      </c>
      <c r="S194" s="214">
        <f t="shared" si="2"/>
        <v>2029</v>
      </c>
      <c r="U194" s="213"/>
      <c r="V194" s="216"/>
      <c r="W194" s="219"/>
      <c r="X194" s="218"/>
      <c r="Y194" s="218"/>
      <c r="Z194" s="219"/>
      <c r="AA194" s="218"/>
      <c r="AB194" s="220"/>
      <c r="AC194" s="218"/>
    </row>
    <row r="195" spans="1:29">
      <c r="A195" s="214" t="s">
        <v>105</v>
      </c>
      <c r="B195" s="214" t="s">
        <v>106</v>
      </c>
      <c r="C195" s="214" t="s">
        <v>137</v>
      </c>
      <c r="D195" s="214" t="s">
        <v>108</v>
      </c>
      <c r="E195" s="214">
        <v>0.94922017000000003</v>
      </c>
      <c r="G195" s="214" t="s">
        <v>109</v>
      </c>
      <c r="H195" s="214">
        <v>1</v>
      </c>
      <c r="I195" s="215">
        <v>47484</v>
      </c>
      <c r="J195" s="215"/>
      <c r="L195" s="214" t="s">
        <v>110</v>
      </c>
      <c r="N195" s="214" t="s">
        <v>287</v>
      </c>
      <c r="O195" s="214" t="s">
        <v>288</v>
      </c>
      <c r="P195" s="214" t="s">
        <v>179</v>
      </c>
      <c r="S195" s="214">
        <f t="shared" si="2"/>
        <v>2030</v>
      </c>
      <c r="U195" s="213"/>
      <c r="V195" s="216"/>
      <c r="W195" s="219"/>
      <c r="X195" s="218"/>
      <c r="Y195" s="218"/>
      <c r="Z195" s="219"/>
      <c r="AA195" s="218"/>
      <c r="AB195" s="220"/>
      <c r="AC195" s="218"/>
    </row>
    <row r="196" spans="1:29">
      <c r="A196" s="214" t="s">
        <v>105</v>
      </c>
      <c r="B196" s="214" t="s">
        <v>106</v>
      </c>
      <c r="C196" s="214" t="s">
        <v>137</v>
      </c>
      <c r="D196" s="214" t="s">
        <v>108</v>
      </c>
      <c r="E196" s="214">
        <v>0.92145171400000003</v>
      </c>
      <c r="G196" s="214" t="s">
        <v>109</v>
      </c>
      <c r="H196" s="214">
        <v>1</v>
      </c>
      <c r="I196" s="215">
        <v>47849</v>
      </c>
      <c r="J196" s="215"/>
      <c r="L196" s="214" t="s">
        <v>110</v>
      </c>
      <c r="N196" s="214" t="s">
        <v>287</v>
      </c>
      <c r="O196" s="214" t="s">
        <v>288</v>
      </c>
      <c r="P196" s="214" t="s">
        <v>179</v>
      </c>
      <c r="S196" s="214">
        <f t="shared" si="2"/>
        <v>2031</v>
      </c>
      <c r="U196" s="213"/>
      <c r="V196" s="216"/>
      <c r="W196" s="219"/>
      <c r="X196" s="218"/>
      <c r="Y196" s="218"/>
      <c r="Z196" s="219"/>
      <c r="AA196" s="218"/>
      <c r="AB196" s="218"/>
      <c r="AC196" s="218"/>
    </row>
    <row r="197" spans="1:29">
      <c r="A197" s="214" t="s">
        <v>105</v>
      </c>
      <c r="B197" s="214" t="s">
        <v>106</v>
      </c>
      <c r="C197" s="214" t="s">
        <v>137</v>
      </c>
      <c r="D197" s="214" t="s">
        <v>108</v>
      </c>
      <c r="E197" s="214">
        <v>0.89202144699999997</v>
      </c>
      <c r="G197" s="214" t="s">
        <v>109</v>
      </c>
      <c r="H197" s="214">
        <v>1</v>
      </c>
      <c r="I197" s="215">
        <v>48214</v>
      </c>
      <c r="J197" s="215"/>
      <c r="L197" s="214" t="s">
        <v>110</v>
      </c>
      <c r="N197" s="214" t="s">
        <v>287</v>
      </c>
      <c r="O197" s="214" t="s">
        <v>288</v>
      </c>
      <c r="P197" s="214" t="s">
        <v>179</v>
      </c>
      <c r="S197" s="214">
        <f t="shared" si="2"/>
        <v>2032</v>
      </c>
      <c r="U197" s="213"/>
      <c r="V197" s="216"/>
      <c r="W197" s="219"/>
      <c r="X197" s="218"/>
      <c r="Y197" s="218"/>
      <c r="Z197" s="219"/>
      <c r="AA197" s="218"/>
      <c r="AB197" s="218"/>
      <c r="AC197" s="218"/>
    </row>
    <row r="198" spans="1:29">
      <c r="A198" s="214" t="s">
        <v>105</v>
      </c>
      <c r="B198" s="214" t="s">
        <v>106</v>
      </c>
      <c r="C198" s="214" t="s">
        <v>137</v>
      </c>
      <c r="D198" s="214" t="s">
        <v>108</v>
      </c>
      <c r="E198" s="214">
        <v>0.86087010900000005</v>
      </c>
      <c r="G198" s="214" t="s">
        <v>109</v>
      </c>
      <c r="H198" s="214">
        <v>1</v>
      </c>
      <c r="I198" s="215">
        <v>48580</v>
      </c>
      <c r="J198" s="215"/>
      <c r="L198" s="214" t="s">
        <v>110</v>
      </c>
      <c r="N198" s="214" t="s">
        <v>287</v>
      </c>
      <c r="O198" s="214" t="s">
        <v>288</v>
      </c>
      <c r="P198" s="214" t="s">
        <v>179</v>
      </c>
      <c r="S198" s="214">
        <f t="shared" si="2"/>
        <v>2033</v>
      </c>
      <c r="U198" s="213"/>
      <c r="V198" s="216"/>
      <c r="W198" s="219"/>
      <c r="X198" s="218"/>
      <c r="Y198" s="218"/>
      <c r="Z198" s="219"/>
      <c r="AA198" s="218"/>
      <c r="AB198" s="218"/>
      <c r="AC198" s="218"/>
    </row>
    <row r="199" spans="1:29">
      <c r="A199" s="214" t="s">
        <v>105</v>
      </c>
      <c r="B199" s="214" t="s">
        <v>106</v>
      </c>
      <c r="C199" s="214" t="s">
        <v>137</v>
      </c>
      <c r="D199" s="214" t="s">
        <v>108</v>
      </c>
      <c r="E199" s="214">
        <v>0.827936648</v>
      </c>
      <c r="G199" s="214" t="s">
        <v>109</v>
      </c>
      <c r="H199" s="214">
        <v>1</v>
      </c>
      <c r="I199" s="215">
        <v>48945</v>
      </c>
      <c r="J199" s="215"/>
      <c r="L199" s="214" t="s">
        <v>110</v>
      </c>
      <c r="N199" s="214" t="s">
        <v>287</v>
      </c>
      <c r="O199" s="214" t="s">
        <v>288</v>
      </c>
      <c r="P199" s="214" t="s">
        <v>179</v>
      </c>
      <c r="S199" s="214">
        <f t="shared" si="2"/>
        <v>2034</v>
      </c>
      <c r="U199" s="213"/>
      <c r="V199" s="216"/>
      <c r="W199" s="219"/>
      <c r="X199" s="218"/>
      <c r="Y199" s="218"/>
      <c r="Z199" s="219"/>
      <c r="AA199" s="218"/>
      <c r="AB199" s="218"/>
      <c r="AC199" s="218"/>
    </row>
    <row r="200" spans="1:29">
      <c r="A200" s="214" t="s">
        <v>105</v>
      </c>
      <c r="B200" s="214" t="s">
        <v>106</v>
      </c>
      <c r="C200" s="214" t="s">
        <v>137</v>
      </c>
      <c r="D200" s="214" t="s">
        <v>108</v>
      </c>
      <c r="E200" s="214">
        <v>0.79315816900000002</v>
      </c>
      <c r="G200" s="214" t="s">
        <v>109</v>
      </c>
      <c r="H200" s="214">
        <v>1</v>
      </c>
      <c r="I200" s="215">
        <v>49310</v>
      </c>
      <c r="J200" s="215"/>
      <c r="L200" s="214" t="s">
        <v>110</v>
      </c>
      <c r="N200" s="214" t="s">
        <v>287</v>
      </c>
      <c r="O200" s="214" t="s">
        <v>288</v>
      </c>
      <c r="P200" s="214" t="s">
        <v>179</v>
      </c>
      <c r="S200" s="214">
        <f t="shared" si="2"/>
        <v>2035</v>
      </c>
      <c r="U200" s="213"/>
      <c r="V200" s="216"/>
      <c r="W200" s="219"/>
      <c r="X200" s="218"/>
      <c r="Y200" s="218"/>
      <c r="Z200" s="219"/>
      <c r="AA200" s="218"/>
      <c r="AB200" s="218"/>
      <c r="AC200" s="218"/>
    </row>
    <row r="201" spans="1:29">
      <c r="A201" s="214" t="s">
        <v>105</v>
      </c>
      <c r="B201" s="214" t="s">
        <v>106</v>
      </c>
      <c r="C201" s="214" t="s">
        <v>137</v>
      </c>
      <c r="D201" s="214" t="s">
        <v>108</v>
      </c>
      <c r="E201" s="214">
        <v>0.79762982100000002</v>
      </c>
      <c r="G201" s="214" t="s">
        <v>109</v>
      </c>
      <c r="H201" s="214">
        <v>1</v>
      </c>
      <c r="I201" s="215">
        <v>49675</v>
      </c>
      <c r="J201" s="215"/>
      <c r="L201" s="214" t="s">
        <v>110</v>
      </c>
      <c r="N201" s="214" t="s">
        <v>287</v>
      </c>
      <c r="O201" s="214" t="s">
        <v>288</v>
      </c>
      <c r="P201" s="214" t="s">
        <v>179</v>
      </c>
      <c r="S201" s="214">
        <f t="shared" si="2"/>
        <v>2036</v>
      </c>
      <c r="Z201" s="213"/>
      <c r="AA201" s="213"/>
      <c r="AB201" s="213"/>
      <c r="AC201" s="213"/>
    </row>
    <row r="202" spans="1:29">
      <c r="A202" s="214" t="s">
        <v>105</v>
      </c>
      <c r="B202" s="214" t="s">
        <v>106</v>
      </c>
      <c r="C202" s="214" t="s">
        <v>137</v>
      </c>
      <c r="D202" s="214" t="s">
        <v>108</v>
      </c>
      <c r="E202" s="214">
        <v>0.80191949600000001</v>
      </c>
      <c r="G202" s="214" t="s">
        <v>109</v>
      </c>
      <c r="H202" s="214">
        <v>1</v>
      </c>
      <c r="I202" s="215">
        <v>50041</v>
      </c>
      <c r="J202" s="215"/>
      <c r="L202" s="214" t="s">
        <v>110</v>
      </c>
      <c r="N202" s="214" t="s">
        <v>287</v>
      </c>
      <c r="O202" s="214" t="s">
        <v>288</v>
      </c>
      <c r="P202" s="214" t="s">
        <v>179</v>
      </c>
      <c r="S202" s="214">
        <f t="shared" si="2"/>
        <v>2037</v>
      </c>
      <c r="Z202" s="213"/>
      <c r="AA202" s="213"/>
      <c r="AB202" s="213"/>
      <c r="AC202" s="213"/>
    </row>
    <row r="203" spans="1:29">
      <c r="A203" s="214" t="s">
        <v>105</v>
      </c>
      <c r="B203" s="214" t="s">
        <v>106</v>
      </c>
      <c r="C203" s="214" t="s">
        <v>137</v>
      </c>
      <c r="D203" s="214" t="s">
        <v>108</v>
      </c>
      <c r="E203" s="214">
        <v>0.80601713600000002</v>
      </c>
      <c r="G203" s="214" t="s">
        <v>109</v>
      </c>
      <c r="H203" s="214">
        <v>1</v>
      </c>
      <c r="I203" s="215">
        <v>50406</v>
      </c>
      <c r="J203" s="215"/>
      <c r="L203" s="214" t="s">
        <v>110</v>
      </c>
      <c r="N203" s="214" t="s">
        <v>287</v>
      </c>
      <c r="O203" s="214" t="s">
        <v>288</v>
      </c>
      <c r="P203" s="214" t="s">
        <v>179</v>
      </c>
      <c r="S203" s="214">
        <f t="shared" si="2"/>
        <v>2038</v>
      </c>
      <c r="Z203" s="213"/>
      <c r="AA203" s="213"/>
      <c r="AB203" s="213"/>
      <c r="AC203" s="213"/>
    </row>
    <row r="204" spans="1:29">
      <c r="A204" s="214" t="s">
        <v>105</v>
      </c>
      <c r="B204" s="214" t="s">
        <v>106</v>
      </c>
      <c r="C204" s="214" t="s">
        <v>137</v>
      </c>
      <c r="D204" s="214" t="s">
        <v>108</v>
      </c>
      <c r="E204" s="214">
        <v>0.80991232800000001</v>
      </c>
      <c r="G204" s="214" t="s">
        <v>109</v>
      </c>
      <c r="H204" s="214">
        <v>1</v>
      </c>
      <c r="I204" s="215">
        <v>50771</v>
      </c>
      <c r="J204" s="215"/>
      <c r="L204" s="214" t="s">
        <v>110</v>
      </c>
      <c r="N204" s="214" t="s">
        <v>287</v>
      </c>
      <c r="O204" s="214" t="s">
        <v>288</v>
      </c>
      <c r="P204" s="214" t="s">
        <v>179</v>
      </c>
      <c r="S204" s="214">
        <f t="shared" si="2"/>
        <v>2039</v>
      </c>
      <c r="Z204" s="213"/>
      <c r="AA204" s="213"/>
      <c r="AB204" s="213"/>
      <c r="AC204" s="213"/>
    </row>
    <row r="205" spans="1:29">
      <c r="A205" s="214" t="s">
        <v>105</v>
      </c>
      <c r="B205" s="214" t="s">
        <v>106</v>
      </c>
      <c r="C205" s="214" t="s">
        <v>137</v>
      </c>
      <c r="D205" s="214" t="s">
        <v>108</v>
      </c>
      <c r="E205" s="214">
        <v>0.81359429999999999</v>
      </c>
      <c r="G205" s="214" t="s">
        <v>109</v>
      </c>
      <c r="H205" s="214">
        <v>1</v>
      </c>
      <c r="I205" s="215">
        <v>51136</v>
      </c>
      <c r="J205" s="215"/>
      <c r="L205" s="214" t="s">
        <v>110</v>
      </c>
      <c r="N205" s="214" t="s">
        <v>287</v>
      </c>
      <c r="O205" s="214" t="s">
        <v>288</v>
      </c>
      <c r="P205" s="214" t="s">
        <v>179</v>
      </c>
      <c r="S205" s="214">
        <f t="shared" si="2"/>
        <v>2040</v>
      </c>
      <c r="Z205" s="213"/>
      <c r="AA205" s="213"/>
      <c r="AB205" s="213"/>
      <c r="AC205" s="213"/>
    </row>
    <row r="206" spans="1:29">
      <c r="A206" s="214" t="s">
        <v>105</v>
      </c>
      <c r="B206" s="214" t="s">
        <v>106</v>
      </c>
      <c r="C206" s="214" t="s">
        <v>137</v>
      </c>
      <c r="D206" s="214" t="s">
        <v>108</v>
      </c>
      <c r="E206" s="214">
        <v>0.817051902</v>
      </c>
      <c r="G206" s="214" t="s">
        <v>109</v>
      </c>
      <c r="H206" s="214">
        <v>1</v>
      </c>
      <c r="I206" s="215">
        <v>51502</v>
      </c>
      <c r="J206" s="215"/>
      <c r="L206" s="214" t="s">
        <v>110</v>
      </c>
      <c r="N206" s="214" t="s">
        <v>287</v>
      </c>
      <c r="O206" s="214" t="s">
        <v>288</v>
      </c>
      <c r="P206" s="214" t="s">
        <v>179</v>
      </c>
      <c r="S206" s="214">
        <f t="shared" si="2"/>
        <v>2041</v>
      </c>
      <c r="Z206" s="213"/>
      <c r="AA206" s="213"/>
      <c r="AB206" s="213"/>
      <c r="AC206" s="213"/>
    </row>
    <row r="207" spans="1:29">
      <c r="A207" s="214" t="s">
        <v>105</v>
      </c>
      <c r="B207" s="214" t="s">
        <v>106</v>
      </c>
      <c r="C207" s="214" t="s">
        <v>137</v>
      </c>
      <c r="D207" s="214" t="s">
        <v>108</v>
      </c>
      <c r="E207" s="214">
        <v>0.82027360400000005</v>
      </c>
      <c r="G207" s="214" t="s">
        <v>109</v>
      </c>
      <c r="H207" s="214">
        <v>1</v>
      </c>
      <c r="I207" s="215">
        <v>51867</v>
      </c>
      <c r="J207" s="215"/>
      <c r="L207" s="214" t="s">
        <v>110</v>
      </c>
      <c r="N207" s="214" t="s">
        <v>287</v>
      </c>
      <c r="O207" s="214" t="s">
        <v>288</v>
      </c>
      <c r="P207" s="214" t="s">
        <v>179</v>
      </c>
      <c r="S207" s="214">
        <f t="shared" si="2"/>
        <v>2042</v>
      </c>
      <c r="Z207" s="213"/>
      <c r="AA207" s="213"/>
      <c r="AB207" s="213"/>
      <c r="AC207" s="213"/>
    </row>
    <row r="208" spans="1:29">
      <c r="A208" s="214" t="s">
        <v>105</v>
      </c>
      <c r="B208" s="214" t="s">
        <v>106</v>
      </c>
      <c r="C208" s="214" t="s">
        <v>137</v>
      </c>
      <c r="D208" s="214" t="s">
        <v>108</v>
      </c>
      <c r="E208" s="214">
        <v>0.82324747600000003</v>
      </c>
      <c r="G208" s="214" t="s">
        <v>109</v>
      </c>
      <c r="H208" s="214">
        <v>1</v>
      </c>
      <c r="I208" s="215">
        <v>52232</v>
      </c>
      <c r="J208" s="215"/>
      <c r="L208" s="214" t="s">
        <v>110</v>
      </c>
      <c r="N208" s="214" t="s">
        <v>287</v>
      </c>
      <c r="O208" s="214" t="s">
        <v>288</v>
      </c>
      <c r="P208" s="214" t="s">
        <v>179</v>
      </c>
      <c r="S208" s="214">
        <f t="shared" si="2"/>
        <v>2043</v>
      </c>
      <c r="Z208" s="213"/>
      <c r="AA208" s="213"/>
      <c r="AB208" s="213"/>
      <c r="AC208" s="213"/>
    </row>
    <row r="209" spans="1:29">
      <c r="A209" s="214" t="s">
        <v>105</v>
      </c>
      <c r="B209" s="214" t="s">
        <v>106</v>
      </c>
      <c r="C209" s="214" t="s">
        <v>137</v>
      </c>
      <c r="D209" s="214" t="s">
        <v>108</v>
      </c>
      <c r="E209" s="214">
        <v>0.82596118200000002</v>
      </c>
      <c r="G209" s="214" t="s">
        <v>109</v>
      </c>
      <c r="H209" s="214">
        <v>1</v>
      </c>
      <c r="I209" s="215">
        <v>52597</v>
      </c>
      <c r="J209" s="215"/>
      <c r="L209" s="214" t="s">
        <v>110</v>
      </c>
      <c r="N209" s="214" t="s">
        <v>287</v>
      </c>
      <c r="O209" s="214" t="s">
        <v>288</v>
      </c>
      <c r="P209" s="214" t="s">
        <v>179</v>
      </c>
      <c r="S209" s="214">
        <f t="shared" si="2"/>
        <v>2044</v>
      </c>
      <c r="Z209" s="213"/>
      <c r="AA209" s="213"/>
      <c r="AB209" s="213"/>
      <c r="AC209" s="213"/>
    </row>
    <row r="210" spans="1:29">
      <c r="A210" s="214" t="s">
        <v>105</v>
      </c>
      <c r="B210" s="214" t="s">
        <v>106</v>
      </c>
      <c r="C210" s="214" t="s">
        <v>137</v>
      </c>
      <c r="D210" s="214" t="s">
        <v>108</v>
      </c>
      <c r="E210" s="214">
        <v>0.82840196499999996</v>
      </c>
      <c r="G210" s="214" t="s">
        <v>109</v>
      </c>
      <c r="H210" s="214">
        <v>1</v>
      </c>
      <c r="I210" s="215">
        <v>52963</v>
      </c>
      <c r="J210" s="215"/>
      <c r="L210" s="214" t="s">
        <v>110</v>
      </c>
      <c r="N210" s="214" t="s">
        <v>287</v>
      </c>
      <c r="O210" s="214" t="s">
        <v>288</v>
      </c>
      <c r="P210" s="214" t="s">
        <v>179</v>
      </c>
      <c r="S210" s="214">
        <f t="shared" si="2"/>
        <v>2045</v>
      </c>
      <c r="Z210" s="213"/>
      <c r="AA210" s="213"/>
      <c r="AB210" s="213"/>
      <c r="AC210" s="213"/>
    </row>
    <row r="211" spans="1:29">
      <c r="Z211" s="213"/>
      <c r="AA211" s="213"/>
      <c r="AB211" s="213"/>
      <c r="AC211" s="213"/>
    </row>
    <row r="212" spans="1:29" s="212" customFormat="1">
      <c r="A212" s="212" t="s">
        <v>89</v>
      </c>
      <c r="B212" s="212" t="s">
        <v>90</v>
      </c>
      <c r="C212" s="212" t="s">
        <v>91</v>
      </c>
      <c r="D212" s="212" t="s">
        <v>92</v>
      </c>
      <c r="E212" s="212" t="s">
        <v>93</v>
      </c>
      <c r="F212" s="212" t="s">
        <v>94</v>
      </c>
      <c r="G212" s="212" t="s">
        <v>95</v>
      </c>
      <c r="H212" s="212" t="s">
        <v>96</v>
      </c>
      <c r="I212" s="212" t="s">
        <v>97</v>
      </c>
      <c r="J212" s="212" t="s">
        <v>98</v>
      </c>
      <c r="K212" s="212" t="s">
        <v>99</v>
      </c>
      <c r="L212" s="212" t="s">
        <v>100</v>
      </c>
      <c r="M212" s="212" t="s">
        <v>101</v>
      </c>
      <c r="N212" s="212" t="s">
        <v>102</v>
      </c>
      <c r="O212" s="212" t="s">
        <v>103</v>
      </c>
      <c r="P212" s="212" t="s">
        <v>104</v>
      </c>
      <c r="S212" s="212" t="s">
        <v>0</v>
      </c>
      <c r="Z212" s="213"/>
      <c r="AA212" s="213"/>
      <c r="AB212" s="213"/>
      <c r="AC212" s="213"/>
    </row>
    <row r="213" spans="1:29">
      <c r="A213" s="214" t="s">
        <v>105</v>
      </c>
      <c r="B213" s="214" t="s">
        <v>106</v>
      </c>
      <c r="C213" s="214" t="s">
        <v>155</v>
      </c>
      <c r="D213" s="214" t="s">
        <v>108</v>
      </c>
      <c r="E213" s="214">
        <v>1.0197683399999999</v>
      </c>
      <c r="G213" s="214" t="s">
        <v>109</v>
      </c>
      <c r="H213" s="214">
        <v>1</v>
      </c>
      <c r="I213" s="215">
        <v>45658</v>
      </c>
      <c r="J213" s="215"/>
      <c r="L213" s="214" t="s">
        <v>110</v>
      </c>
      <c r="N213" s="214" t="s">
        <v>287</v>
      </c>
      <c r="O213" s="214" t="s">
        <v>288</v>
      </c>
      <c r="P213" s="214" t="s">
        <v>179</v>
      </c>
      <c r="S213" s="214">
        <f>YEAR(I213)</f>
        <v>2025</v>
      </c>
      <c r="Z213" s="213"/>
      <c r="AA213" s="213"/>
      <c r="AB213" s="213"/>
      <c r="AC213" s="213"/>
    </row>
    <row r="214" spans="1:29">
      <c r="A214" s="214" t="s">
        <v>105</v>
      </c>
      <c r="B214" s="214" t="s">
        <v>106</v>
      </c>
      <c r="C214" s="214" t="s">
        <v>155</v>
      </c>
      <c r="D214" s="214" t="s">
        <v>108</v>
      </c>
      <c r="E214" s="214">
        <v>1.0103333569999999</v>
      </c>
      <c r="G214" s="214" t="s">
        <v>109</v>
      </c>
      <c r="H214" s="214">
        <v>1</v>
      </c>
      <c r="I214" s="215">
        <v>46023</v>
      </c>
      <c r="J214" s="215"/>
      <c r="L214" s="214" t="s">
        <v>110</v>
      </c>
      <c r="N214" s="214" t="s">
        <v>287</v>
      </c>
      <c r="O214" s="214" t="s">
        <v>288</v>
      </c>
      <c r="P214" s="214" t="s">
        <v>179</v>
      </c>
      <c r="S214" s="214">
        <f t="shared" ref="S214:S233" si="3">YEAR(I214)</f>
        <v>2026</v>
      </c>
      <c r="Z214" s="213"/>
      <c r="AA214" s="213"/>
      <c r="AB214" s="213"/>
      <c r="AC214" s="213"/>
    </row>
    <row r="215" spans="1:29">
      <c r="A215" s="214" t="s">
        <v>105</v>
      </c>
      <c r="B215" s="214" t="s">
        <v>106</v>
      </c>
      <c r="C215" s="214" t="s">
        <v>155</v>
      </c>
      <c r="D215" s="214" t="s">
        <v>108</v>
      </c>
      <c r="E215" s="214">
        <v>1</v>
      </c>
      <c r="G215" s="214" t="s">
        <v>109</v>
      </c>
      <c r="H215" s="214">
        <v>1</v>
      </c>
      <c r="I215" s="215">
        <v>46388</v>
      </c>
      <c r="J215" s="215"/>
      <c r="L215" s="214" t="s">
        <v>110</v>
      </c>
      <c r="N215" s="214" t="s">
        <v>287</v>
      </c>
      <c r="O215" s="214" t="s">
        <v>288</v>
      </c>
      <c r="P215" s="214" t="s">
        <v>179</v>
      </c>
      <c r="S215" s="214">
        <f t="shared" si="3"/>
        <v>2027</v>
      </c>
      <c r="Z215" s="213"/>
      <c r="AA215" s="213"/>
      <c r="AB215" s="213"/>
      <c r="AC215" s="213"/>
    </row>
    <row r="216" spans="1:29">
      <c r="A216" s="214" t="s">
        <v>105</v>
      </c>
      <c r="B216" s="214" t="s">
        <v>106</v>
      </c>
      <c r="C216" s="214" t="s">
        <v>155</v>
      </c>
      <c r="D216" s="214" t="s">
        <v>108</v>
      </c>
      <c r="E216" s="214">
        <v>0.98873323999999996</v>
      </c>
      <c r="G216" s="214" t="s">
        <v>109</v>
      </c>
      <c r="H216" s="214">
        <v>1</v>
      </c>
      <c r="I216" s="215">
        <v>46753</v>
      </c>
      <c r="J216" s="215"/>
      <c r="L216" s="214" t="s">
        <v>110</v>
      </c>
      <c r="N216" s="214" t="s">
        <v>287</v>
      </c>
      <c r="O216" s="214" t="s">
        <v>288</v>
      </c>
      <c r="P216" s="214" t="s">
        <v>179</v>
      </c>
      <c r="S216" s="214">
        <f t="shared" si="3"/>
        <v>2028</v>
      </c>
    </row>
    <row r="217" spans="1:29">
      <c r="A217" s="214" t="s">
        <v>105</v>
      </c>
      <c r="B217" s="214" t="s">
        <v>106</v>
      </c>
      <c r="C217" s="214" t="s">
        <v>155</v>
      </c>
      <c r="D217" s="214" t="s">
        <v>108</v>
      </c>
      <c r="E217" s="214">
        <v>0.97649688099999998</v>
      </c>
      <c r="G217" s="214" t="s">
        <v>109</v>
      </c>
      <c r="H217" s="214">
        <v>1</v>
      </c>
      <c r="I217" s="215">
        <v>47119</v>
      </c>
      <c r="J217" s="215"/>
      <c r="L217" s="214" t="s">
        <v>110</v>
      </c>
      <c r="N217" s="214" t="s">
        <v>287</v>
      </c>
      <c r="O217" s="214" t="s">
        <v>288</v>
      </c>
      <c r="P217" s="214" t="s">
        <v>179</v>
      </c>
      <c r="S217" s="214">
        <f t="shared" si="3"/>
        <v>2029</v>
      </c>
    </row>
    <row r="218" spans="1:29">
      <c r="A218" s="214" t="s">
        <v>105</v>
      </c>
      <c r="B218" s="214" t="s">
        <v>106</v>
      </c>
      <c r="C218" s="214" t="s">
        <v>155</v>
      </c>
      <c r="D218" s="214" t="s">
        <v>108</v>
      </c>
      <c r="E218" s="214">
        <v>0.96325351599999998</v>
      </c>
      <c r="G218" s="214" t="s">
        <v>109</v>
      </c>
      <c r="H218" s="214">
        <v>1</v>
      </c>
      <c r="I218" s="215">
        <v>47484</v>
      </c>
      <c r="J218" s="215"/>
      <c r="L218" s="214" t="s">
        <v>110</v>
      </c>
      <c r="N218" s="214" t="s">
        <v>287</v>
      </c>
      <c r="O218" s="214" t="s">
        <v>288</v>
      </c>
      <c r="P218" s="214" t="s">
        <v>179</v>
      </c>
      <c r="S218" s="214">
        <f t="shared" si="3"/>
        <v>2030</v>
      </c>
    </row>
    <row r="219" spans="1:29">
      <c r="A219" s="214" t="s">
        <v>105</v>
      </c>
      <c r="B219" s="214" t="s">
        <v>106</v>
      </c>
      <c r="C219" s="214" t="s">
        <v>155</v>
      </c>
      <c r="D219" s="214" t="s">
        <v>108</v>
      </c>
      <c r="E219" s="214">
        <v>0.970156354</v>
      </c>
      <c r="G219" s="214" t="s">
        <v>109</v>
      </c>
      <c r="H219" s="214">
        <v>1</v>
      </c>
      <c r="I219" s="215">
        <v>47849</v>
      </c>
      <c r="J219" s="215"/>
      <c r="L219" s="214" t="s">
        <v>110</v>
      </c>
      <c r="N219" s="214" t="s">
        <v>287</v>
      </c>
      <c r="O219" s="214" t="s">
        <v>288</v>
      </c>
      <c r="P219" s="214" t="s">
        <v>179</v>
      </c>
      <c r="S219" s="214">
        <f t="shared" si="3"/>
        <v>2031</v>
      </c>
    </row>
    <row r="220" spans="1:29">
      <c r="A220" s="214" t="s">
        <v>105</v>
      </c>
      <c r="B220" s="214" t="s">
        <v>106</v>
      </c>
      <c r="C220" s="214" t="s">
        <v>155</v>
      </c>
      <c r="D220" s="214" t="s">
        <v>108</v>
      </c>
      <c r="E220" s="214">
        <v>0.97690282699999997</v>
      </c>
      <c r="G220" s="214" t="s">
        <v>109</v>
      </c>
      <c r="H220" s="214">
        <v>1</v>
      </c>
      <c r="I220" s="215">
        <v>48214</v>
      </c>
      <c r="J220" s="215"/>
      <c r="L220" s="214" t="s">
        <v>110</v>
      </c>
      <c r="N220" s="214" t="s">
        <v>287</v>
      </c>
      <c r="O220" s="214" t="s">
        <v>288</v>
      </c>
      <c r="P220" s="214" t="s">
        <v>179</v>
      </c>
      <c r="S220" s="214">
        <f t="shared" si="3"/>
        <v>2032</v>
      </c>
    </row>
    <row r="221" spans="1:29">
      <c r="A221" s="214" t="s">
        <v>105</v>
      </c>
      <c r="B221" s="214" t="s">
        <v>106</v>
      </c>
      <c r="C221" s="214" t="s">
        <v>155</v>
      </c>
      <c r="D221" s="214" t="s">
        <v>108</v>
      </c>
      <c r="E221" s="214">
        <v>0.98348286600000001</v>
      </c>
      <c r="G221" s="214" t="s">
        <v>109</v>
      </c>
      <c r="H221" s="214">
        <v>1</v>
      </c>
      <c r="I221" s="215">
        <v>48580</v>
      </c>
      <c r="J221" s="215"/>
      <c r="L221" s="214" t="s">
        <v>110</v>
      </c>
      <c r="N221" s="214" t="s">
        <v>287</v>
      </c>
      <c r="O221" s="214" t="s">
        <v>288</v>
      </c>
      <c r="P221" s="214" t="s">
        <v>179</v>
      </c>
      <c r="S221" s="214">
        <f t="shared" si="3"/>
        <v>2033</v>
      </c>
    </row>
    <row r="222" spans="1:29">
      <c r="A222" s="214" t="s">
        <v>105</v>
      </c>
      <c r="B222" s="214" t="s">
        <v>106</v>
      </c>
      <c r="C222" s="214" t="s">
        <v>155</v>
      </c>
      <c r="D222" s="214" t="s">
        <v>108</v>
      </c>
      <c r="E222" s="214">
        <v>0.98988603799999997</v>
      </c>
      <c r="G222" s="214" t="s">
        <v>109</v>
      </c>
      <c r="H222" s="214">
        <v>1</v>
      </c>
      <c r="I222" s="215">
        <v>48945</v>
      </c>
      <c r="J222" s="215"/>
      <c r="L222" s="214" t="s">
        <v>110</v>
      </c>
      <c r="N222" s="214" t="s">
        <v>287</v>
      </c>
      <c r="O222" s="214" t="s">
        <v>288</v>
      </c>
      <c r="P222" s="214" t="s">
        <v>179</v>
      </c>
      <c r="S222" s="214">
        <f t="shared" si="3"/>
        <v>2034</v>
      </c>
    </row>
    <row r="223" spans="1:29">
      <c r="A223" s="214" t="s">
        <v>105</v>
      </c>
      <c r="B223" s="214" t="s">
        <v>106</v>
      </c>
      <c r="C223" s="214" t="s">
        <v>155</v>
      </c>
      <c r="D223" s="214" t="s">
        <v>108</v>
      </c>
      <c r="E223" s="214">
        <v>0.99610153400000001</v>
      </c>
      <c r="G223" s="214" t="s">
        <v>109</v>
      </c>
      <c r="H223" s="214">
        <v>1</v>
      </c>
      <c r="I223" s="215">
        <v>49310</v>
      </c>
      <c r="J223" s="215"/>
      <c r="L223" s="214" t="s">
        <v>110</v>
      </c>
      <c r="N223" s="214" t="s">
        <v>287</v>
      </c>
      <c r="O223" s="214" t="s">
        <v>288</v>
      </c>
      <c r="P223" s="214" t="s">
        <v>179</v>
      </c>
      <c r="S223" s="214">
        <f t="shared" si="3"/>
        <v>2035</v>
      </c>
    </row>
    <row r="224" spans="1:29">
      <c r="A224" s="214" t="s">
        <v>105</v>
      </c>
      <c r="B224" s="214" t="s">
        <v>106</v>
      </c>
      <c r="C224" s="214" t="s">
        <v>155</v>
      </c>
      <c r="D224" s="214" t="s">
        <v>108</v>
      </c>
      <c r="E224" s="214">
        <v>1.0021181649999999</v>
      </c>
      <c r="G224" s="214" t="s">
        <v>109</v>
      </c>
      <c r="H224" s="214">
        <v>1</v>
      </c>
      <c r="I224" s="215">
        <v>49675</v>
      </c>
      <c r="J224" s="215"/>
      <c r="L224" s="214" t="s">
        <v>110</v>
      </c>
      <c r="N224" s="214" t="s">
        <v>287</v>
      </c>
      <c r="O224" s="214" t="s">
        <v>288</v>
      </c>
      <c r="P224" s="214" t="s">
        <v>179</v>
      </c>
      <c r="S224" s="214">
        <f t="shared" si="3"/>
        <v>2036</v>
      </c>
    </row>
    <row r="225" spans="1:19">
      <c r="A225" s="214" t="s">
        <v>105</v>
      </c>
      <c r="B225" s="214" t="s">
        <v>106</v>
      </c>
      <c r="C225" s="214" t="s">
        <v>155</v>
      </c>
      <c r="D225" s="214" t="s">
        <v>108</v>
      </c>
      <c r="E225" s="214">
        <v>1.0079243410000001</v>
      </c>
      <c r="G225" s="214" t="s">
        <v>109</v>
      </c>
      <c r="H225" s="214">
        <v>1</v>
      </c>
      <c r="I225" s="215">
        <v>50041</v>
      </c>
      <c r="J225" s="215"/>
      <c r="L225" s="214" t="s">
        <v>110</v>
      </c>
      <c r="N225" s="214" t="s">
        <v>287</v>
      </c>
      <c r="O225" s="214" t="s">
        <v>288</v>
      </c>
      <c r="P225" s="214" t="s">
        <v>179</v>
      </c>
      <c r="S225" s="214">
        <f t="shared" si="3"/>
        <v>2037</v>
      </c>
    </row>
    <row r="226" spans="1:19">
      <c r="A226" s="214" t="s">
        <v>105</v>
      </c>
      <c r="B226" s="214" t="s">
        <v>106</v>
      </c>
      <c r="C226" s="214" t="s">
        <v>155</v>
      </c>
      <c r="D226" s="214" t="s">
        <v>108</v>
      </c>
      <c r="E226" s="214">
        <v>1.0135080670000001</v>
      </c>
      <c r="G226" s="214" t="s">
        <v>109</v>
      </c>
      <c r="H226" s="214">
        <v>1</v>
      </c>
      <c r="I226" s="215">
        <v>50406</v>
      </c>
      <c r="J226" s="215"/>
      <c r="L226" s="214" t="s">
        <v>110</v>
      </c>
      <c r="N226" s="214" t="s">
        <v>287</v>
      </c>
      <c r="O226" s="214" t="s">
        <v>288</v>
      </c>
      <c r="P226" s="214" t="s">
        <v>179</v>
      </c>
      <c r="S226" s="214">
        <f t="shared" si="3"/>
        <v>2038</v>
      </c>
    </row>
    <row r="227" spans="1:19">
      <c r="A227" s="214" t="s">
        <v>105</v>
      </c>
      <c r="B227" s="214" t="s">
        <v>106</v>
      </c>
      <c r="C227" s="214" t="s">
        <v>155</v>
      </c>
      <c r="D227" s="214" t="s">
        <v>108</v>
      </c>
      <c r="E227" s="214">
        <v>1.0188569270000001</v>
      </c>
      <c r="G227" s="214" t="s">
        <v>109</v>
      </c>
      <c r="H227" s="214">
        <v>1</v>
      </c>
      <c r="I227" s="215">
        <v>50771</v>
      </c>
      <c r="J227" s="215"/>
      <c r="L227" s="214" t="s">
        <v>110</v>
      </c>
      <c r="N227" s="214" t="s">
        <v>287</v>
      </c>
      <c r="O227" s="214" t="s">
        <v>288</v>
      </c>
      <c r="P227" s="214" t="s">
        <v>179</v>
      </c>
      <c r="S227" s="214">
        <f t="shared" si="3"/>
        <v>2039</v>
      </c>
    </row>
    <row r="228" spans="1:19">
      <c r="A228" s="214" t="s">
        <v>105</v>
      </c>
      <c r="B228" s="214" t="s">
        <v>106</v>
      </c>
      <c r="C228" s="214" t="s">
        <v>155</v>
      </c>
      <c r="D228" s="214" t="s">
        <v>108</v>
      </c>
      <c r="E228" s="214">
        <v>1.0239580720000001</v>
      </c>
      <c r="G228" s="214" t="s">
        <v>109</v>
      </c>
      <c r="H228" s="214">
        <v>1</v>
      </c>
      <c r="I228" s="215">
        <v>51136</v>
      </c>
      <c r="J228" s="215"/>
      <c r="L228" s="214" t="s">
        <v>110</v>
      </c>
      <c r="N228" s="214" t="s">
        <v>287</v>
      </c>
      <c r="O228" s="214" t="s">
        <v>288</v>
      </c>
      <c r="P228" s="214" t="s">
        <v>179</v>
      </c>
      <c r="S228" s="214">
        <f t="shared" si="3"/>
        <v>2040</v>
      </c>
    </row>
    <row r="229" spans="1:19">
      <c r="A229" s="214" t="s">
        <v>105</v>
      </c>
      <c r="B229" s="214" t="s">
        <v>106</v>
      </c>
      <c r="C229" s="214" t="s">
        <v>155</v>
      </c>
      <c r="D229" s="214" t="s">
        <v>108</v>
      </c>
      <c r="E229" s="214">
        <v>1.028798208</v>
      </c>
      <c r="G229" s="214" t="s">
        <v>109</v>
      </c>
      <c r="H229" s="214">
        <v>1</v>
      </c>
      <c r="I229" s="215">
        <v>51502</v>
      </c>
      <c r="J229" s="215"/>
      <c r="L229" s="214" t="s">
        <v>110</v>
      </c>
      <c r="N229" s="214" t="s">
        <v>287</v>
      </c>
      <c r="O229" s="214" t="s">
        <v>288</v>
      </c>
      <c r="P229" s="214" t="s">
        <v>179</v>
      </c>
      <c r="S229" s="214">
        <f t="shared" si="3"/>
        <v>2041</v>
      </c>
    </row>
    <row r="230" spans="1:19">
      <c r="A230" s="214" t="s">
        <v>105</v>
      </c>
      <c r="B230" s="214" t="s">
        <v>106</v>
      </c>
      <c r="C230" s="214" t="s">
        <v>155</v>
      </c>
      <c r="D230" s="214" t="s">
        <v>108</v>
      </c>
      <c r="E230" s="214">
        <v>1.0333635839999999</v>
      </c>
      <c r="G230" s="214" t="s">
        <v>109</v>
      </c>
      <c r="H230" s="214">
        <v>1</v>
      </c>
      <c r="I230" s="215">
        <v>51867</v>
      </c>
      <c r="J230" s="215"/>
      <c r="L230" s="214" t="s">
        <v>110</v>
      </c>
      <c r="N230" s="214" t="s">
        <v>287</v>
      </c>
      <c r="O230" s="214" t="s">
        <v>288</v>
      </c>
      <c r="P230" s="214" t="s">
        <v>179</v>
      </c>
      <c r="S230" s="214">
        <f t="shared" si="3"/>
        <v>2042</v>
      </c>
    </row>
    <row r="231" spans="1:19">
      <c r="A231" s="214" t="s">
        <v>105</v>
      </c>
      <c r="B231" s="214" t="s">
        <v>106</v>
      </c>
      <c r="C231" s="214" t="s">
        <v>155</v>
      </c>
      <c r="D231" s="214" t="s">
        <v>108</v>
      </c>
      <c r="E231" s="214">
        <v>1.037639977</v>
      </c>
      <c r="G231" s="214" t="s">
        <v>109</v>
      </c>
      <c r="H231" s="214">
        <v>1</v>
      </c>
      <c r="I231" s="215">
        <v>52232</v>
      </c>
      <c r="J231" s="215"/>
      <c r="L231" s="214" t="s">
        <v>110</v>
      </c>
      <c r="N231" s="214" t="s">
        <v>287</v>
      </c>
      <c r="O231" s="214" t="s">
        <v>288</v>
      </c>
      <c r="P231" s="214" t="s">
        <v>179</v>
      </c>
      <c r="S231" s="214">
        <f t="shared" si="3"/>
        <v>2043</v>
      </c>
    </row>
    <row r="232" spans="1:19">
      <c r="A232" s="214" t="s">
        <v>105</v>
      </c>
      <c r="B232" s="214" t="s">
        <v>106</v>
      </c>
      <c r="C232" s="214" t="s">
        <v>155</v>
      </c>
      <c r="D232" s="214" t="s">
        <v>108</v>
      </c>
      <c r="E232" s="214">
        <v>1.041612677</v>
      </c>
      <c r="G232" s="214" t="s">
        <v>109</v>
      </c>
      <c r="H232" s="214">
        <v>1</v>
      </c>
      <c r="I232" s="215">
        <v>52597</v>
      </c>
      <c r="J232" s="215"/>
      <c r="L232" s="214" t="s">
        <v>110</v>
      </c>
      <c r="N232" s="214" t="s">
        <v>287</v>
      </c>
      <c r="O232" s="214" t="s">
        <v>288</v>
      </c>
      <c r="P232" s="214" t="s">
        <v>179</v>
      </c>
      <c r="S232" s="214">
        <f t="shared" si="3"/>
        <v>2044</v>
      </c>
    </row>
    <row r="233" spans="1:19">
      <c r="A233" s="214" t="s">
        <v>105</v>
      </c>
      <c r="B233" s="214" t="s">
        <v>106</v>
      </c>
      <c r="C233" s="214" t="s">
        <v>155</v>
      </c>
      <c r="D233" s="214" t="s">
        <v>108</v>
      </c>
      <c r="E233" s="214">
        <v>1.045266477</v>
      </c>
      <c r="G233" s="214" t="s">
        <v>109</v>
      </c>
      <c r="H233" s="214">
        <v>1</v>
      </c>
      <c r="I233" s="215">
        <v>52963</v>
      </c>
      <c r="J233" s="215"/>
      <c r="L233" s="214" t="s">
        <v>110</v>
      </c>
      <c r="N233" s="214" t="s">
        <v>287</v>
      </c>
      <c r="O233" s="214" t="s">
        <v>288</v>
      </c>
      <c r="P233" s="214" t="s">
        <v>179</v>
      </c>
      <c r="S233" s="214">
        <f t="shared" si="3"/>
        <v>2045</v>
      </c>
    </row>
    <row r="235" spans="1:19" s="212" customFormat="1">
      <c r="A235" s="212" t="s">
        <v>89</v>
      </c>
      <c r="B235" s="212" t="s">
        <v>90</v>
      </c>
      <c r="C235" s="212" t="s">
        <v>91</v>
      </c>
      <c r="D235" s="212" t="s">
        <v>92</v>
      </c>
      <c r="E235" s="212" t="s">
        <v>93</v>
      </c>
      <c r="F235" s="212" t="s">
        <v>94</v>
      </c>
      <c r="G235" s="212" t="s">
        <v>95</v>
      </c>
      <c r="H235" s="212" t="s">
        <v>96</v>
      </c>
      <c r="I235" s="212" t="s">
        <v>97</v>
      </c>
      <c r="J235" s="212" t="s">
        <v>98</v>
      </c>
      <c r="K235" s="212" t="s">
        <v>99</v>
      </c>
      <c r="L235" s="212" t="s">
        <v>100</v>
      </c>
      <c r="M235" s="212" t="s">
        <v>101</v>
      </c>
      <c r="N235" s="212" t="s">
        <v>102</v>
      </c>
      <c r="O235" s="212" t="s">
        <v>103</v>
      </c>
      <c r="P235" s="212" t="s">
        <v>104</v>
      </c>
      <c r="S235" s="212" t="s">
        <v>0</v>
      </c>
    </row>
    <row r="236" spans="1:19">
      <c r="A236" s="214" t="s">
        <v>105</v>
      </c>
      <c r="B236" s="214" t="s">
        <v>106</v>
      </c>
      <c r="C236" s="214" t="s">
        <v>145</v>
      </c>
      <c r="D236" s="214" t="s">
        <v>108</v>
      </c>
      <c r="E236" s="214">
        <v>1.000535835</v>
      </c>
      <c r="G236" s="214" t="s">
        <v>109</v>
      </c>
      <c r="H236" s="214">
        <v>1</v>
      </c>
      <c r="I236" s="215">
        <v>45658</v>
      </c>
      <c r="J236" s="215"/>
      <c r="L236" s="214" t="s">
        <v>110</v>
      </c>
      <c r="N236" s="214" t="s">
        <v>287</v>
      </c>
      <c r="O236" s="214" t="s">
        <v>288</v>
      </c>
      <c r="P236" s="214" t="s">
        <v>179</v>
      </c>
      <c r="S236" s="214">
        <f>YEAR(I236)</f>
        <v>2025</v>
      </c>
    </row>
    <row r="237" spans="1:19">
      <c r="A237" s="214" t="s">
        <v>105</v>
      </c>
      <c r="B237" s="214" t="s">
        <v>106</v>
      </c>
      <c r="C237" s="214" t="s">
        <v>145</v>
      </c>
      <c r="D237" s="214" t="s">
        <v>108</v>
      </c>
      <c r="E237" s="214">
        <v>1.0013485790000001</v>
      </c>
      <c r="G237" s="214" t="s">
        <v>109</v>
      </c>
      <c r="H237" s="214">
        <v>1</v>
      </c>
      <c r="I237" s="215">
        <v>46023</v>
      </c>
      <c r="J237" s="215"/>
      <c r="L237" s="214" t="s">
        <v>110</v>
      </c>
      <c r="N237" s="214" t="s">
        <v>287</v>
      </c>
      <c r="O237" s="214" t="s">
        <v>288</v>
      </c>
      <c r="P237" s="214" t="s">
        <v>179</v>
      </c>
      <c r="S237" s="214">
        <f t="shared" ref="S237:S256" si="4">YEAR(I237)</f>
        <v>2026</v>
      </c>
    </row>
    <row r="238" spans="1:19">
      <c r="A238" s="214" t="s">
        <v>105</v>
      </c>
      <c r="B238" s="214" t="s">
        <v>106</v>
      </c>
      <c r="C238" s="214" t="s">
        <v>145</v>
      </c>
      <c r="D238" s="214" t="s">
        <v>108</v>
      </c>
      <c r="E238" s="214">
        <v>1.001721265</v>
      </c>
      <c r="G238" s="214" t="s">
        <v>109</v>
      </c>
      <c r="H238" s="214">
        <v>1</v>
      </c>
      <c r="I238" s="215">
        <v>46388</v>
      </c>
      <c r="J238" s="215"/>
      <c r="L238" s="214" t="s">
        <v>110</v>
      </c>
      <c r="N238" s="214" t="s">
        <v>287</v>
      </c>
      <c r="O238" s="214" t="s">
        <v>288</v>
      </c>
      <c r="P238" s="214" t="s">
        <v>179</v>
      </c>
      <c r="S238" s="214">
        <f t="shared" si="4"/>
        <v>2027</v>
      </c>
    </row>
    <row r="239" spans="1:19">
      <c r="A239" s="214" t="s">
        <v>105</v>
      </c>
      <c r="B239" s="214" t="s">
        <v>106</v>
      </c>
      <c r="C239" s="214" t="s">
        <v>145</v>
      </c>
      <c r="D239" s="214" t="s">
        <v>108</v>
      </c>
      <c r="E239" s="214">
        <v>1.0016343190000001</v>
      </c>
      <c r="G239" s="214" t="s">
        <v>109</v>
      </c>
      <c r="H239" s="214">
        <v>1</v>
      </c>
      <c r="I239" s="215">
        <v>46753</v>
      </c>
      <c r="J239" s="215"/>
      <c r="L239" s="214" t="s">
        <v>110</v>
      </c>
      <c r="N239" s="214" t="s">
        <v>287</v>
      </c>
      <c r="O239" s="214" t="s">
        <v>288</v>
      </c>
      <c r="P239" s="214" t="s">
        <v>179</v>
      </c>
      <c r="S239" s="214">
        <f t="shared" si="4"/>
        <v>2028</v>
      </c>
    </row>
    <row r="240" spans="1:19">
      <c r="A240" s="214" t="s">
        <v>105</v>
      </c>
      <c r="B240" s="214" t="s">
        <v>106</v>
      </c>
      <c r="C240" s="214" t="s">
        <v>145</v>
      </c>
      <c r="D240" s="214" t="s">
        <v>108</v>
      </c>
      <c r="E240" s="214">
        <v>1.001067524</v>
      </c>
      <c r="G240" s="214" t="s">
        <v>109</v>
      </c>
      <c r="H240" s="214">
        <v>1</v>
      </c>
      <c r="I240" s="215">
        <v>47119</v>
      </c>
      <c r="J240" s="215"/>
      <c r="L240" s="214" t="s">
        <v>110</v>
      </c>
      <c r="N240" s="214" t="s">
        <v>287</v>
      </c>
      <c r="O240" s="214" t="s">
        <v>288</v>
      </c>
      <c r="P240" s="214" t="s">
        <v>179</v>
      </c>
      <c r="S240" s="214">
        <f t="shared" si="4"/>
        <v>2029</v>
      </c>
    </row>
    <row r="241" spans="1:19">
      <c r="A241" s="214" t="s">
        <v>105</v>
      </c>
      <c r="B241" s="214" t="s">
        <v>106</v>
      </c>
      <c r="C241" s="214" t="s">
        <v>145</v>
      </c>
      <c r="D241" s="214" t="s">
        <v>108</v>
      </c>
      <c r="E241" s="214">
        <v>1</v>
      </c>
      <c r="G241" s="214" t="s">
        <v>109</v>
      </c>
      <c r="H241" s="214">
        <v>1</v>
      </c>
      <c r="I241" s="215">
        <v>47484</v>
      </c>
      <c r="J241" s="215"/>
      <c r="L241" s="214" t="s">
        <v>110</v>
      </c>
      <c r="N241" s="214" t="s">
        <v>287</v>
      </c>
      <c r="O241" s="214" t="s">
        <v>288</v>
      </c>
      <c r="P241" s="214" t="s">
        <v>179</v>
      </c>
      <c r="S241" s="214">
        <f t="shared" si="4"/>
        <v>2030</v>
      </c>
    </row>
    <row r="242" spans="1:19">
      <c r="A242" s="214" t="s">
        <v>105</v>
      </c>
      <c r="B242" s="214" t="s">
        <v>106</v>
      </c>
      <c r="C242" s="214" t="s">
        <v>145</v>
      </c>
      <c r="D242" s="214" t="s">
        <v>108</v>
      </c>
      <c r="E242" s="214">
        <v>1.0111663580000001</v>
      </c>
      <c r="G242" s="214" t="s">
        <v>109</v>
      </c>
      <c r="H242" s="214">
        <v>1</v>
      </c>
      <c r="I242" s="215">
        <v>47849</v>
      </c>
      <c r="J242" s="215"/>
      <c r="L242" s="214" t="s">
        <v>110</v>
      </c>
      <c r="N242" s="214" t="s">
        <v>287</v>
      </c>
      <c r="O242" s="214" t="s">
        <v>288</v>
      </c>
      <c r="P242" s="214" t="s">
        <v>179</v>
      </c>
      <c r="S242" s="214">
        <f t="shared" si="4"/>
        <v>2031</v>
      </c>
    </row>
    <row r="243" spans="1:19">
      <c r="A243" s="214" t="s">
        <v>105</v>
      </c>
      <c r="B243" s="214" t="s">
        <v>106</v>
      </c>
      <c r="C243" s="214" t="s">
        <v>145</v>
      </c>
      <c r="D243" s="214" t="s">
        <v>108</v>
      </c>
      <c r="E243" s="214">
        <v>1.0223443299999999</v>
      </c>
      <c r="G243" s="214" t="s">
        <v>109</v>
      </c>
      <c r="H243" s="214">
        <v>1</v>
      </c>
      <c r="I243" s="215">
        <v>48214</v>
      </c>
      <c r="J243" s="215"/>
      <c r="L243" s="214" t="s">
        <v>110</v>
      </c>
      <c r="N243" s="214" t="s">
        <v>287</v>
      </c>
      <c r="O243" s="214" t="s">
        <v>288</v>
      </c>
      <c r="P243" s="214" t="s">
        <v>179</v>
      </c>
      <c r="S243" s="214">
        <f t="shared" si="4"/>
        <v>2032</v>
      </c>
    </row>
    <row r="244" spans="1:19">
      <c r="A244" s="214" t="s">
        <v>105</v>
      </c>
      <c r="B244" s="214" t="s">
        <v>106</v>
      </c>
      <c r="C244" s="214" t="s">
        <v>145</v>
      </c>
      <c r="D244" s="214" t="s">
        <v>108</v>
      </c>
      <c r="E244" s="214">
        <v>1.033529114</v>
      </c>
      <c r="G244" s="214" t="s">
        <v>109</v>
      </c>
      <c r="H244" s="214">
        <v>1</v>
      </c>
      <c r="I244" s="215">
        <v>48580</v>
      </c>
      <c r="J244" s="215"/>
      <c r="L244" s="214" t="s">
        <v>110</v>
      </c>
      <c r="N244" s="214" t="s">
        <v>287</v>
      </c>
      <c r="O244" s="214" t="s">
        <v>288</v>
      </c>
      <c r="P244" s="214" t="s">
        <v>179</v>
      </c>
      <c r="S244" s="214">
        <f t="shared" si="4"/>
        <v>2033</v>
      </c>
    </row>
    <row r="245" spans="1:19">
      <c r="A245" s="214" t="s">
        <v>105</v>
      </c>
      <c r="B245" s="214" t="s">
        <v>106</v>
      </c>
      <c r="C245" s="214" t="s">
        <v>145</v>
      </c>
      <c r="D245" s="214" t="s">
        <v>108</v>
      </c>
      <c r="E245" s="214">
        <v>1.0447156959999999</v>
      </c>
      <c r="G245" s="214" t="s">
        <v>109</v>
      </c>
      <c r="H245" s="214">
        <v>1</v>
      </c>
      <c r="I245" s="215">
        <v>48945</v>
      </c>
      <c r="J245" s="215"/>
      <c r="L245" s="214" t="s">
        <v>110</v>
      </c>
      <c r="N245" s="214" t="s">
        <v>287</v>
      </c>
      <c r="O245" s="214" t="s">
        <v>288</v>
      </c>
      <c r="P245" s="214" t="s">
        <v>179</v>
      </c>
      <c r="S245" s="214">
        <f t="shared" si="4"/>
        <v>2034</v>
      </c>
    </row>
    <row r="246" spans="1:19">
      <c r="A246" s="214" t="s">
        <v>105</v>
      </c>
      <c r="B246" s="214" t="s">
        <v>106</v>
      </c>
      <c r="C246" s="214" t="s">
        <v>145</v>
      </c>
      <c r="D246" s="214" t="s">
        <v>108</v>
      </c>
      <c r="E246" s="214">
        <v>1.0558988380000001</v>
      </c>
      <c r="G246" s="214" t="s">
        <v>109</v>
      </c>
      <c r="H246" s="214">
        <v>1</v>
      </c>
      <c r="I246" s="215">
        <v>49310</v>
      </c>
      <c r="J246" s="215"/>
      <c r="L246" s="214" t="s">
        <v>110</v>
      </c>
      <c r="N246" s="214" t="s">
        <v>287</v>
      </c>
      <c r="O246" s="214" t="s">
        <v>288</v>
      </c>
      <c r="P246" s="214" t="s">
        <v>179</v>
      </c>
      <c r="S246" s="214">
        <f t="shared" si="4"/>
        <v>2035</v>
      </c>
    </row>
    <row r="247" spans="1:19">
      <c r="A247" s="214" t="s">
        <v>105</v>
      </c>
      <c r="B247" s="214" t="s">
        <v>106</v>
      </c>
      <c r="C247" s="214" t="s">
        <v>145</v>
      </c>
      <c r="D247" s="214" t="s">
        <v>108</v>
      </c>
      <c r="E247" s="214">
        <v>1.0670730749999999</v>
      </c>
      <c r="G247" s="214" t="s">
        <v>109</v>
      </c>
      <c r="H247" s="214">
        <v>1</v>
      </c>
      <c r="I247" s="215">
        <v>49675</v>
      </c>
      <c r="J247" s="215"/>
      <c r="L247" s="214" t="s">
        <v>110</v>
      </c>
      <c r="N247" s="214" t="s">
        <v>287</v>
      </c>
      <c r="O247" s="214" t="s">
        <v>288</v>
      </c>
      <c r="P247" s="214" t="s">
        <v>179</v>
      </c>
      <c r="S247" s="214">
        <f t="shared" si="4"/>
        <v>2036</v>
      </c>
    </row>
    <row r="248" spans="1:19">
      <c r="A248" s="214" t="s">
        <v>105</v>
      </c>
      <c r="B248" s="214" t="s">
        <v>106</v>
      </c>
      <c r="C248" s="214" t="s">
        <v>145</v>
      </c>
      <c r="D248" s="214" t="s">
        <v>108</v>
      </c>
      <c r="E248" s="214">
        <v>1.0782327039999999</v>
      </c>
      <c r="G248" s="214" t="s">
        <v>109</v>
      </c>
      <c r="H248" s="214">
        <v>1</v>
      </c>
      <c r="I248" s="215">
        <v>50041</v>
      </c>
      <c r="J248" s="215"/>
      <c r="L248" s="214" t="s">
        <v>110</v>
      </c>
      <c r="N248" s="214" t="s">
        <v>287</v>
      </c>
      <c r="O248" s="214" t="s">
        <v>288</v>
      </c>
      <c r="P248" s="214" t="s">
        <v>179</v>
      </c>
      <c r="S248" s="214">
        <f t="shared" si="4"/>
        <v>2037</v>
      </c>
    </row>
    <row r="249" spans="1:19">
      <c r="A249" s="214" t="s">
        <v>105</v>
      </c>
      <c r="B249" s="214" t="s">
        <v>106</v>
      </c>
      <c r="C249" s="214" t="s">
        <v>145</v>
      </c>
      <c r="D249" s="214" t="s">
        <v>108</v>
      </c>
      <c r="E249" s="214">
        <v>1.0893717759999999</v>
      </c>
      <c r="G249" s="214" t="s">
        <v>109</v>
      </c>
      <c r="H249" s="214">
        <v>1</v>
      </c>
      <c r="I249" s="215">
        <v>50406</v>
      </c>
      <c r="J249" s="215"/>
      <c r="L249" s="214" t="s">
        <v>110</v>
      </c>
      <c r="N249" s="214" t="s">
        <v>287</v>
      </c>
      <c r="O249" s="214" t="s">
        <v>288</v>
      </c>
      <c r="P249" s="214" t="s">
        <v>179</v>
      </c>
      <c r="S249" s="214">
        <f t="shared" si="4"/>
        <v>2038</v>
      </c>
    </row>
    <row r="250" spans="1:19">
      <c r="A250" s="214" t="s">
        <v>105</v>
      </c>
      <c r="B250" s="214" t="s">
        <v>106</v>
      </c>
      <c r="C250" s="214" t="s">
        <v>145</v>
      </c>
      <c r="D250" s="214" t="s">
        <v>108</v>
      </c>
      <c r="E250" s="214">
        <v>1.1004840920000001</v>
      </c>
      <c r="G250" s="214" t="s">
        <v>109</v>
      </c>
      <c r="H250" s="214">
        <v>1</v>
      </c>
      <c r="I250" s="215">
        <v>50771</v>
      </c>
      <c r="J250" s="215"/>
      <c r="L250" s="214" t="s">
        <v>110</v>
      </c>
      <c r="N250" s="214" t="s">
        <v>287</v>
      </c>
      <c r="O250" s="214" t="s">
        <v>288</v>
      </c>
      <c r="P250" s="214" t="s">
        <v>179</v>
      </c>
      <c r="S250" s="214">
        <f t="shared" si="4"/>
        <v>2039</v>
      </c>
    </row>
    <row r="251" spans="1:19">
      <c r="A251" s="214" t="s">
        <v>105</v>
      </c>
      <c r="B251" s="214" t="s">
        <v>106</v>
      </c>
      <c r="C251" s="214" t="s">
        <v>145</v>
      </c>
      <c r="D251" s="214" t="s">
        <v>108</v>
      </c>
      <c r="E251" s="214">
        <v>1.1115631930000001</v>
      </c>
      <c r="G251" s="214" t="s">
        <v>109</v>
      </c>
      <c r="H251" s="214">
        <v>1</v>
      </c>
      <c r="I251" s="215">
        <v>51136</v>
      </c>
      <c r="J251" s="215"/>
      <c r="L251" s="214" t="s">
        <v>110</v>
      </c>
      <c r="N251" s="214" t="s">
        <v>287</v>
      </c>
      <c r="O251" s="214" t="s">
        <v>288</v>
      </c>
      <c r="P251" s="214" t="s">
        <v>179</v>
      </c>
      <c r="S251" s="214">
        <f t="shared" si="4"/>
        <v>2040</v>
      </c>
    </row>
    <row r="252" spans="1:19">
      <c r="A252" s="214" t="s">
        <v>105</v>
      </c>
      <c r="B252" s="214" t="s">
        <v>106</v>
      </c>
      <c r="C252" s="214" t="s">
        <v>145</v>
      </c>
      <c r="D252" s="214" t="s">
        <v>108</v>
      </c>
      <c r="E252" s="214">
        <v>1.122602348</v>
      </c>
      <c r="G252" s="214" t="s">
        <v>109</v>
      </c>
      <c r="H252" s="214">
        <v>1</v>
      </c>
      <c r="I252" s="215">
        <v>51502</v>
      </c>
      <c r="J252" s="215"/>
      <c r="L252" s="214" t="s">
        <v>110</v>
      </c>
      <c r="N252" s="214" t="s">
        <v>287</v>
      </c>
      <c r="O252" s="214" t="s">
        <v>288</v>
      </c>
      <c r="P252" s="214" t="s">
        <v>179</v>
      </c>
      <c r="S252" s="214">
        <f t="shared" si="4"/>
        <v>2041</v>
      </c>
    </row>
    <row r="253" spans="1:19">
      <c r="A253" s="214" t="s">
        <v>105</v>
      </c>
      <c r="B253" s="214" t="s">
        <v>106</v>
      </c>
      <c r="C253" s="214" t="s">
        <v>145</v>
      </c>
      <c r="D253" s="214" t="s">
        <v>108</v>
      </c>
      <c r="E253" s="214">
        <v>1.1335945510000001</v>
      </c>
      <c r="G253" s="214" t="s">
        <v>109</v>
      </c>
      <c r="H253" s="214">
        <v>1</v>
      </c>
      <c r="I253" s="215">
        <v>51867</v>
      </c>
      <c r="J253" s="215"/>
      <c r="L253" s="214" t="s">
        <v>110</v>
      </c>
      <c r="N253" s="214" t="s">
        <v>287</v>
      </c>
      <c r="O253" s="214" t="s">
        <v>288</v>
      </c>
      <c r="P253" s="214" t="s">
        <v>179</v>
      </c>
      <c r="S253" s="214">
        <f t="shared" si="4"/>
        <v>2042</v>
      </c>
    </row>
    <row r="254" spans="1:19">
      <c r="A254" s="214" t="s">
        <v>105</v>
      </c>
      <c r="B254" s="214" t="s">
        <v>106</v>
      </c>
      <c r="C254" s="214" t="s">
        <v>145</v>
      </c>
      <c r="D254" s="214" t="s">
        <v>108</v>
      </c>
      <c r="E254" s="214">
        <v>1.1445325079999999</v>
      </c>
      <c r="G254" s="214" t="s">
        <v>109</v>
      </c>
      <c r="H254" s="214">
        <v>1</v>
      </c>
      <c r="I254" s="215">
        <v>52232</v>
      </c>
      <c r="J254" s="215"/>
      <c r="L254" s="214" t="s">
        <v>110</v>
      </c>
      <c r="N254" s="214" t="s">
        <v>287</v>
      </c>
      <c r="O254" s="214" t="s">
        <v>288</v>
      </c>
      <c r="P254" s="214" t="s">
        <v>179</v>
      </c>
      <c r="S254" s="214">
        <f t="shared" si="4"/>
        <v>2043</v>
      </c>
    </row>
    <row r="255" spans="1:19">
      <c r="A255" s="214" t="s">
        <v>105</v>
      </c>
      <c r="B255" s="214" t="s">
        <v>106</v>
      </c>
      <c r="C255" s="214" t="s">
        <v>145</v>
      </c>
      <c r="D255" s="214" t="s">
        <v>108</v>
      </c>
      <c r="E255" s="214">
        <v>1.155408631</v>
      </c>
      <c r="G255" s="214" t="s">
        <v>109</v>
      </c>
      <c r="H255" s="214">
        <v>1</v>
      </c>
      <c r="I255" s="215">
        <v>52597</v>
      </c>
      <c r="J255" s="215"/>
      <c r="L255" s="214" t="s">
        <v>110</v>
      </c>
      <c r="N255" s="214" t="s">
        <v>287</v>
      </c>
      <c r="O255" s="214" t="s">
        <v>288</v>
      </c>
      <c r="P255" s="214" t="s">
        <v>179</v>
      </c>
      <c r="S255" s="214">
        <f t="shared" si="4"/>
        <v>2044</v>
      </c>
    </row>
    <row r="256" spans="1:19">
      <c r="A256" s="214" t="s">
        <v>105</v>
      </c>
      <c r="B256" s="214" t="s">
        <v>106</v>
      </c>
      <c r="C256" s="214" t="s">
        <v>145</v>
      </c>
      <c r="D256" s="214" t="s">
        <v>108</v>
      </c>
      <c r="E256" s="214">
        <v>1.1662150259999999</v>
      </c>
      <c r="G256" s="214" t="s">
        <v>109</v>
      </c>
      <c r="H256" s="214">
        <v>1</v>
      </c>
      <c r="I256" s="215">
        <v>52963</v>
      </c>
      <c r="J256" s="215"/>
      <c r="L256" s="214" t="s">
        <v>110</v>
      </c>
      <c r="N256" s="214" t="s">
        <v>287</v>
      </c>
      <c r="O256" s="214" t="s">
        <v>288</v>
      </c>
      <c r="P256" s="214" t="s">
        <v>179</v>
      </c>
      <c r="S256" s="214">
        <f t="shared" si="4"/>
        <v>2045</v>
      </c>
    </row>
    <row r="258" spans="1:19" s="212" customFormat="1">
      <c r="A258" s="212" t="s">
        <v>89</v>
      </c>
      <c r="B258" s="212" t="s">
        <v>90</v>
      </c>
      <c r="C258" s="212" t="s">
        <v>91</v>
      </c>
      <c r="D258" s="212" t="s">
        <v>92</v>
      </c>
      <c r="E258" s="212" t="s">
        <v>93</v>
      </c>
      <c r="F258" s="212" t="s">
        <v>94</v>
      </c>
      <c r="G258" s="212" t="s">
        <v>95</v>
      </c>
      <c r="H258" s="212" t="s">
        <v>96</v>
      </c>
      <c r="I258" s="212" t="s">
        <v>97</v>
      </c>
      <c r="J258" s="212" t="s">
        <v>98</v>
      </c>
      <c r="K258" s="212" t="s">
        <v>99</v>
      </c>
      <c r="L258" s="212" t="s">
        <v>100</v>
      </c>
      <c r="M258" s="212" t="s">
        <v>101</v>
      </c>
      <c r="N258" s="212" t="s">
        <v>102</v>
      </c>
      <c r="O258" s="212" t="s">
        <v>103</v>
      </c>
      <c r="P258" s="212" t="s">
        <v>104</v>
      </c>
      <c r="S258" s="212" t="s">
        <v>0</v>
      </c>
    </row>
    <row r="259" spans="1:19">
      <c r="A259" s="214" t="s">
        <v>105</v>
      </c>
      <c r="B259" s="214" t="s">
        <v>106</v>
      </c>
      <c r="C259" s="214" t="s">
        <v>181</v>
      </c>
      <c r="D259" s="214" t="s">
        <v>108</v>
      </c>
      <c r="E259" s="214">
        <v>1.02648937</v>
      </c>
      <c r="G259" s="214" t="s">
        <v>109</v>
      </c>
      <c r="H259" s="214">
        <v>1</v>
      </c>
      <c r="I259" s="215">
        <v>45658</v>
      </c>
      <c r="J259" s="215"/>
      <c r="L259" s="214" t="s">
        <v>110</v>
      </c>
      <c r="N259" s="214" t="s">
        <v>287</v>
      </c>
      <c r="O259" s="214" t="s">
        <v>288</v>
      </c>
      <c r="P259" s="214" t="s">
        <v>179</v>
      </c>
      <c r="S259" s="214">
        <f>YEAR(I259)</f>
        <v>2025</v>
      </c>
    </row>
    <row r="260" spans="1:19">
      <c r="A260" s="214" t="s">
        <v>105</v>
      </c>
      <c r="B260" s="214" t="s">
        <v>106</v>
      </c>
      <c r="C260" s="214" t="s">
        <v>181</v>
      </c>
      <c r="D260" s="214" t="s">
        <v>108</v>
      </c>
      <c r="E260" s="214">
        <v>1.0185063519999999</v>
      </c>
      <c r="G260" s="214" t="s">
        <v>109</v>
      </c>
      <c r="H260" s="214">
        <v>1</v>
      </c>
      <c r="I260" s="215">
        <v>46023</v>
      </c>
      <c r="J260" s="215"/>
      <c r="L260" s="214" t="s">
        <v>110</v>
      </c>
      <c r="N260" s="214" t="s">
        <v>287</v>
      </c>
      <c r="O260" s="214" t="s">
        <v>288</v>
      </c>
      <c r="P260" s="214" t="s">
        <v>179</v>
      </c>
      <c r="S260" s="214">
        <f t="shared" ref="S260:S279" si="5">YEAR(I260)</f>
        <v>2026</v>
      </c>
    </row>
    <row r="261" spans="1:19">
      <c r="A261" s="214" t="s">
        <v>105</v>
      </c>
      <c r="B261" s="214" t="s">
        <v>106</v>
      </c>
      <c r="C261" s="214" t="s">
        <v>181</v>
      </c>
      <c r="D261" s="214" t="s">
        <v>108</v>
      </c>
      <c r="E261" s="214">
        <v>1.009687446</v>
      </c>
      <c r="G261" s="214" t="s">
        <v>109</v>
      </c>
      <c r="H261" s="214">
        <v>1</v>
      </c>
      <c r="I261" s="215">
        <v>46388</v>
      </c>
      <c r="J261" s="215"/>
      <c r="L261" s="214" t="s">
        <v>110</v>
      </c>
      <c r="N261" s="214" t="s">
        <v>287</v>
      </c>
      <c r="O261" s="214" t="s">
        <v>288</v>
      </c>
      <c r="P261" s="214" t="s">
        <v>179</v>
      </c>
      <c r="S261" s="214">
        <f t="shared" si="5"/>
        <v>2027</v>
      </c>
    </row>
    <row r="262" spans="1:19">
      <c r="A262" s="214" t="s">
        <v>105</v>
      </c>
      <c r="B262" s="214" t="s">
        <v>106</v>
      </c>
      <c r="C262" s="214" t="s">
        <v>181</v>
      </c>
      <c r="D262" s="214" t="s">
        <v>108</v>
      </c>
      <c r="E262" s="214">
        <v>1</v>
      </c>
      <c r="G262" s="214" t="s">
        <v>109</v>
      </c>
      <c r="H262" s="214">
        <v>1</v>
      </c>
      <c r="I262" s="215">
        <v>46753</v>
      </c>
      <c r="J262" s="215"/>
      <c r="L262" s="214" t="s">
        <v>110</v>
      </c>
      <c r="N262" s="214" t="s">
        <v>287</v>
      </c>
      <c r="O262" s="214" t="s">
        <v>288</v>
      </c>
      <c r="P262" s="214" t="s">
        <v>179</v>
      </c>
      <c r="S262" s="214">
        <f t="shared" si="5"/>
        <v>2028</v>
      </c>
    </row>
    <row r="263" spans="1:19">
      <c r="A263" s="214" t="s">
        <v>105</v>
      </c>
      <c r="B263" s="214" t="s">
        <v>106</v>
      </c>
      <c r="C263" s="214" t="s">
        <v>181</v>
      </c>
      <c r="D263" s="214" t="s">
        <v>108</v>
      </c>
      <c r="E263" s="214">
        <v>0.989410338</v>
      </c>
      <c r="G263" s="214" t="s">
        <v>109</v>
      </c>
      <c r="H263" s="214">
        <v>1</v>
      </c>
      <c r="I263" s="215">
        <v>47119</v>
      </c>
      <c r="J263" s="215"/>
      <c r="L263" s="214" t="s">
        <v>110</v>
      </c>
      <c r="N263" s="214" t="s">
        <v>287</v>
      </c>
      <c r="O263" s="214" t="s">
        <v>288</v>
      </c>
      <c r="P263" s="214" t="s">
        <v>179</v>
      </c>
      <c r="S263" s="214">
        <f t="shared" si="5"/>
        <v>2029</v>
      </c>
    </row>
    <row r="264" spans="1:19">
      <c r="A264" s="214" t="s">
        <v>105</v>
      </c>
      <c r="B264" s="214" t="s">
        <v>106</v>
      </c>
      <c r="C264" s="214" t="s">
        <v>181</v>
      </c>
      <c r="D264" s="214" t="s">
        <v>108</v>
      </c>
      <c r="E264" s="214">
        <v>0.97788372599999995</v>
      </c>
      <c r="G264" s="214" t="s">
        <v>109</v>
      </c>
      <c r="H264" s="214">
        <v>1</v>
      </c>
      <c r="I264" s="215">
        <v>47484</v>
      </c>
      <c r="J264" s="215"/>
      <c r="L264" s="214" t="s">
        <v>110</v>
      </c>
      <c r="N264" s="214" t="s">
        <v>287</v>
      </c>
      <c r="O264" s="214" t="s">
        <v>288</v>
      </c>
      <c r="P264" s="214" t="s">
        <v>179</v>
      </c>
      <c r="S264" s="214">
        <f t="shared" si="5"/>
        <v>2030</v>
      </c>
    </row>
    <row r="265" spans="1:19">
      <c r="A265" s="214" t="s">
        <v>105</v>
      </c>
      <c r="B265" s="214" t="s">
        <v>106</v>
      </c>
      <c r="C265" s="214" t="s">
        <v>181</v>
      </c>
      <c r="D265" s="214" t="s">
        <v>108</v>
      </c>
      <c r="E265" s="214">
        <v>0.96538434699999998</v>
      </c>
      <c r="G265" s="214" t="s">
        <v>109</v>
      </c>
      <c r="H265" s="214">
        <v>1</v>
      </c>
      <c r="I265" s="215">
        <v>47849</v>
      </c>
      <c r="J265" s="215"/>
      <c r="L265" s="214" t="s">
        <v>110</v>
      </c>
      <c r="N265" s="214" t="s">
        <v>287</v>
      </c>
      <c r="O265" s="214" t="s">
        <v>288</v>
      </c>
      <c r="P265" s="214" t="s">
        <v>179</v>
      </c>
      <c r="S265" s="214">
        <f t="shared" si="5"/>
        <v>2031</v>
      </c>
    </row>
    <row r="266" spans="1:19">
      <c r="A266" s="214" t="s">
        <v>105</v>
      </c>
      <c r="B266" s="214" t="s">
        <v>106</v>
      </c>
      <c r="C266" s="214" t="s">
        <v>181</v>
      </c>
      <c r="D266" s="214" t="s">
        <v>108</v>
      </c>
      <c r="E266" s="214">
        <v>0.95187526600000005</v>
      </c>
      <c r="G266" s="214" t="s">
        <v>109</v>
      </c>
      <c r="H266" s="214">
        <v>1</v>
      </c>
      <c r="I266" s="215">
        <v>48214</v>
      </c>
      <c r="J266" s="215"/>
      <c r="L266" s="214" t="s">
        <v>110</v>
      </c>
      <c r="N266" s="214" t="s">
        <v>287</v>
      </c>
      <c r="O266" s="214" t="s">
        <v>288</v>
      </c>
      <c r="P266" s="214" t="s">
        <v>179</v>
      </c>
      <c r="S266" s="214">
        <f t="shared" si="5"/>
        <v>2032</v>
      </c>
    </row>
    <row r="267" spans="1:19">
      <c r="A267" s="214" t="s">
        <v>105</v>
      </c>
      <c r="B267" s="214" t="s">
        <v>106</v>
      </c>
      <c r="C267" s="214" t="s">
        <v>181</v>
      </c>
      <c r="D267" s="214" t="s">
        <v>108</v>
      </c>
      <c r="E267" s="214">
        <v>0.93731839900000002</v>
      </c>
      <c r="G267" s="214" t="s">
        <v>109</v>
      </c>
      <c r="H267" s="214">
        <v>1</v>
      </c>
      <c r="I267" s="215">
        <v>48580</v>
      </c>
      <c r="J267" s="215"/>
      <c r="L267" s="214" t="s">
        <v>110</v>
      </c>
      <c r="N267" s="214" t="s">
        <v>287</v>
      </c>
      <c r="O267" s="214" t="s">
        <v>288</v>
      </c>
      <c r="P267" s="214" t="s">
        <v>179</v>
      </c>
      <c r="S267" s="214">
        <f t="shared" si="5"/>
        <v>2033</v>
      </c>
    </row>
    <row r="268" spans="1:19">
      <c r="A268" s="214" t="s">
        <v>105</v>
      </c>
      <c r="B268" s="214" t="s">
        <v>106</v>
      </c>
      <c r="C268" s="214" t="s">
        <v>181</v>
      </c>
      <c r="D268" s="214" t="s">
        <v>108</v>
      </c>
      <c r="E268" s="214">
        <v>0.92167448399999996</v>
      </c>
      <c r="G268" s="214" t="s">
        <v>109</v>
      </c>
      <c r="H268" s="214">
        <v>1</v>
      </c>
      <c r="I268" s="215">
        <v>48945</v>
      </c>
      <c r="J268" s="215"/>
      <c r="L268" s="214" t="s">
        <v>110</v>
      </c>
      <c r="N268" s="214" t="s">
        <v>287</v>
      </c>
      <c r="O268" s="214" t="s">
        <v>288</v>
      </c>
      <c r="P268" s="214" t="s">
        <v>179</v>
      </c>
      <c r="S268" s="214">
        <f t="shared" si="5"/>
        <v>2034</v>
      </c>
    </row>
    <row r="269" spans="1:19">
      <c r="A269" s="214" t="s">
        <v>105</v>
      </c>
      <c r="B269" s="214" t="s">
        <v>106</v>
      </c>
      <c r="C269" s="214" t="s">
        <v>181</v>
      </c>
      <c r="D269" s="214" t="s">
        <v>108</v>
      </c>
      <c r="E269" s="214">
        <v>0.90490304300000002</v>
      </c>
      <c r="G269" s="214" t="s">
        <v>109</v>
      </c>
      <c r="H269" s="214">
        <v>1</v>
      </c>
      <c r="I269" s="215">
        <v>49310</v>
      </c>
      <c r="J269" s="215"/>
      <c r="L269" s="214" t="s">
        <v>110</v>
      </c>
      <c r="N269" s="214" t="s">
        <v>287</v>
      </c>
      <c r="O269" s="214" t="s">
        <v>288</v>
      </c>
      <c r="P269" s="214" t="s">
        <v>179</v>
      </c>
      <c r="S269" s="214">
        <f t="shared" si="5"/>
        <v>2035</v>
      </c>
    </row>
    <row r="270" spans="1:19">
      <c r="A270" s="214" t="s">
        <v>105</v>
      </c>
      <c r="B270" s="214" t="s">
        <v>106</v>
      </c>
      <c r="C270" s="214" t="s">
        <v>181</v>
      </c>
      <c r="D270" s="214" t="s">
        <v>108</v>
      </c>
      <c r="E270" s="214">
        <v>0.90920414299999996</v>
      </c>
      <c r="G270" s="214" t="s">
        <v>109</v>
      </c>
      <c r="H270" s="214">
        <v>1</v>
      </c>
      <c r="I270" s="215">
        <v>49675</v>
      </c>
      <c r="J270" s="215"/>
      <c r="L270" s="214" t="s">
        <v>110</v>
      </c>
      <c r="N270" s="214" t="s">
        <v>287</v>
      </c>
      <c r="O270" s="214" t="s">
        <v>288</v>
      </c>
      <c r="P270" s="214" t="s">
        <v>179</v>
      </c>
      <c r="S270" s="214">
        <f t="shared" si="5"/>
        <v>2036</v>
      </c>
    </row>
    <row r="271" spans="1:19">
      <c r="A271" s="214" t="s">
        <v>105</v>
      </c>
      <c r="B271" s="214" t="s">
        <v>106</v>
      </c>
      <c r="C271" s="214" t="s">
        <v>181</v>
      </c>
      <c r="D271" s="214" t="s">
        <v>108</v>
      </c>
      <c r="E271" s="214">
        <v>0.91326272500000005</v>
      </c>
      <c r="G271" s="214" t="s">
        <v>109</v>
      </c>
      <c r="H271" s="214">
        <v>1</v>
      </c>
      <c r="I271" s="215">
        <v>50041</v>
      </c>
      <c r="J271" s="215"/>
      <c r="L271" s="214" t="s">
        <v>110</v>
      </c>
      <c r="N271" s="214" t="s">
        <v>287</v>
      </c>
      <c r="O271" s="214" t="s">
        <v>288</v>
      </c>
      <c r="P271" s="214" t="s">
        <v>179</v>
      </c>
      <c r="S271" s="214">
        <f t="shared" si="5"/>
        <v>2037</v>
      </c>
    </row>
    <row r="272" spans="1:19">
      <c r="A272" s="214" t="s">
        <v>105</v>
      </c>
      <c r="B272" s="214" t="s">
        <v>106</v>
      </c>
      <c r="C272" s="214" t="s">
        <v>181</v>
      </c>
      <c r="D272" s="214" t="s">
        <v>108</v>
      </c>
      <c r="E272" s="214">
        <v>0.91706617099999999</v>
      </c>
      <c r="G272" s="214" t="s">
        <v>109</v>
      </c>
      <c r="H272" s="214">
        <v>1</v>
      </c>
      <c r="I272" s="215">
        <v>50406</v>
      </c>
      <c r="J272" s="215"/>
      <c r="L272" s="214" t="s">
        <v>110</v>
      </c>
      <c r="N272" s="214" t="s">
        <v>287</v>
      </c>
      <c r="O272" s="214" t="s">
        <v>288</v>
      </c>
      <c r="P272" s="214" t="s">
        <v>179</v>
      </c>
      <c r="S272" s="214">
        <f t="shared" si="5"/>
        <v>2038</v>
      </c>
    </row>
    <row r="273" spans="1:19">
      <c r="A273" s="214" t="s">
        <v>105</v>
      </c>
      <c r="B273" s="214" t="s">
        <v>106</v>
      </c>
      <c r="C273" s="214" t="s">
        <v>181</v>
      </c>
      <c r="D273" s="214" t="s">
        <v>108</v>
      </c>
      <c r="E273" s="214">
        <v>0.920601428</v>
      </c>
      <c r="G273" s="214" t="s">
        <v>109</v>
      </c>
      <c r="H273" s="214">
        <v>1</v>
      </c>
      <c r="I273" s="215">
        <v>50771</v>
      </c>
      <c r="J273" s="215"/>
      <c r="L273" s="214" t="s">
        <v>110</v>
      </c>
      <c r="N273" s="214" t="s">
        <v>287</v>
      </c>
      <c r="O273" s="214" t="s">
        <v>288</v>
      </c>
      <c r="P273" s="214" t="s">
        <v>179</v>
      </c>
      <c r="S273" s="214">
        <f t="shared" si="5"/>
        <v>2039</v>
      </c>
    </row>
    <row r="274" spans="1:19">
      <c r="A274" s="214" t="s">
        <v>105</v>
      </c>
      <c r="B274" s="214" t="s">
        <v>106</v>
      </c>
      <c r="C274" s="214" t="s">
        <v>181</v>
      </c>
      <c r="D274" s="214" t="s">
        <v>108</v>
      </c>
      <c r="E274" s="214">
        <v>0.92385499500000001</v>
      </c>
      <c r="G274" s="214" t="s">
        <v>109</v>
      </c>
      <c r="H274" s="214">
        <v>1</v>
      </c>
      <c r="I274" s="215">
        <v>51136</v>
      </c>
      <c r="J274" s="215"/>
      <c r="L274" s="214" t="s">
        <v>110</v>
      </c>
      <c r="N274" s="214" t="s">
        <v>287</v>
      </c>
      <c r="O274" s="214" t="s">
        <v>288</v>
      </c>
      <c r="P274" s="214" t="s">
        <v>179</v>
      </c>
      <c r="S274" s="214">
        <f t="shared" si="5"/>
        <v>2040</v>
      </c>
    </row>
    <row r="275" spans="1:19">
      <c r="A275" s="214" t="s">
        <v>105</v>
      </c>
      <c r="B275" s="214" t="s">
        <v>106</v>
      </c>
      <c r="C275" s="214" t="s">
        <v>181</v>
      </c>
      <c r="D275" s="214" t="s">
        <v>108</v>
      </c>
      <c r="E275" s="214">
        <v>0.92681291200000004</v>
      </c>
      <c r="G275" s="214" t="s">
        <v>109</v>
      </c>
      <c r="H275" s="214">
        <v>1</v>
      </c>
      <c r="I275" s="215">
        <v>51502</v>
      </c>
      <c r="J275" s="215"/>
      <c r="L275" s="214" t="s">
        <v>110</v>
      </c>
      <c r="N275" s="214" t="s">
        <v>287</v>
      </c>
      <c r="O275" s="214" t="s">
        <v>288</v>
      </c>
      <c r="P275" s="214" t="s">
        <v>179</v>
      </c>
      <c r="S275" s="214">
        <f t="shared" si="5"/>
        <v>2041</v>
      </c>
    </row>
    <row r="276" spans="1:19">
      <c r="A276" s="214" t="s">
        <v>105</v>
      </c>
      <c r="B276" s="214" t="s">
        <v>106</v>
      </c>
      <c r="C276" s="214" t="s">
        <v>181</v>
      </c>
      <c r="D276" s="214" t="s">
        <v>108</v>
      </c>
      <c r="E276" s="214">
        <v>0.92946074099999998</v>
      </c>
      <c r="G276" s="214" t="s">
        <v>109</v>
      </c>
      <c r="H276" s="214">
        <v>1</v>
      </c>
      <c r="I276" s="215">
        <v>51867</v>
      </c>
      <c r="J276" s="215"/>
      <c r="L276" s="214" t="s">
        <v>110</v>
      </c>
      <c r="N276" s="214" t="s">
        <v>287</v>
      </c>
      <c r="O276" s="214" t="s">
        <v>288</v>
      </c>
      <c r="P276" s="214" t="s">
        <v>179</v>
      </c>
      <c r="S276" s="214">
        <f t="shared" si="5"/>
        <v>2042</v>
      </c>
    </row>
    <row r="277" spans="1:19">
      <c r="A277" s="214" t="s">
        <v>105</v>
      </c>
      <c r="B277" s="214" t="s">
        <v>106</v>
      </c>
      <c r="C277" s="214" t="s">
        <v>181</v>
      </c>
      <c r="D277" s="214" t="s">
        <v>108</v>
      </c>
      <c r="E277" s="214">
        <v>0.93178355700000004</v>
      </c>
      <c r="G277" s="214" t="s">
        <v>109</v>
      </c>
      <c r="H277" s="214">
        <v>1</v>
      </c>
      <c r="I277" s="215">
        <v>52232</v>
      </c>
      <c r="J277" s="215"/>
      <c r="L277" s="214" t="s">
        <v>110</v>
      </c>
      <c r="N277" s="214" t="s">
        <v>287</v>
      </c>
      <c r="O277" s="214" t="s">
        <v>288</v>
      </c>
      <c r="P277" s="214" t="s">
        <v>179</v>
      </c>
      <c r="S277" s="214">
        <f t="shared" si="5"/>
        <v>2043</v>
      </c>
    </row>
    <row r="278" spans="1:19">
      <c r="A278" s="214" t="s">
        <v>105</v>
      </c>
      <c r="B278" s="214" t="s">
        <v>106</v>
      </c>
      <c r="C278" s="214" t="s">
        <v>181</v>
      </c>
      <c r="D278" s="214" t="s">
        <v>108</v>
      </c>
      <c r="E278" s="214">
        <v>0.93376592999999997</v>
      </c>
      <c r="G278" s="214" t="s">
        <v>109</v>
      </c>
      <c r="H278" s="214">
        <v>1</v>
      </c>
      <c r="I278" s="215">
        <v>52597</v>
      </c>
      <c r="J278" s="215"/>
      <c r="L278" s="214" t="s">
        <v>110</v>
      </c>
      <c r="N278" s="214" t="s">
        <v>287</v>
      </c>
      <c r="O278" s="214" t="s">
        <v>288</v>
      </c>
      <c r="P278" s="214" t="s">
        <v>179</v>
      </c>
      <c r="S278" s="214">
        <f t="shared" si="5"/>
        <v>2044</v>
      </c>
    </row>
    <row r="279" spans="1:19">
      <c r="A279" s="214" t="s">
        <v>105</v>
      </c>
      <c r="B279" s="214" t="s">
        <v>106</v>
      </c>
      <c r="C279" s="214" t="s">
        <v>181</v>
      </c>
      <c r="D279" s="214" t="s">
        <v>108</v>
      </c>
      <c r="E279" s="214">
        <v>0.93539191499999996</v>
      </c>
      <c r="G279" s="214" t="s">
        <v>109</v>
      </c>
      <c r="H279" s="214">
        <v>1</v>
      </c>
      <c r="I279" s="215">
        <v>52963</v>
      </c>
      <c r="J279" s="215"/>
      <c r="L279" s="214" t="s">
        <v>110</v>
      </c>
      <c r="N279" s="214" t="s">
        <v>287</v>
      </c>
      <c r="O279" s="214" t="s">
        <v>288</v>
      </c>
      <c r="P279" s="214" t="s">
        <v>179</v>
      </c>
      <c r="S279" s="214">
        <f t="shared" si="5"/>
        <v>2045</v>
      </c>
    </row>
    <row r="281" spans="1:19">
      <c r="A281" s="214" t="s">
        <v>182</v>
      </c>
      <c r="C281" s="230">
        <v>6.3799999999999996E-2</v>
      </c>
    </row>
    <row r="283" spans="1:19" s="212" customFormat="1">
      <c r="A283" s="212" t="s">
        <v>89</v>
      </c>
      <c r="B283" s="212" t="s">
        <v>90</v>
      </c>
      <c r="C283" s="212" t="s">
        <v>91</v>
      </c>
      <c r="D283" s="212" t="s">
        <v>92</v>
      </c>
      <c r="E283" s="212" t="s">
        <v>93</v>
      </c>
      <c r="F283" s="212" t="s">
        <v>94</v>
      </c>
      <c r="G283" s="212" t="s">
        <v>95</v>
      </c>
      <c r="H283" s="212" t="s">
        <v>96</v>
      </c>
      <c r="I283" s="212" t="s">
        <v>97</v>
      </c>
      <c r="J283" s="212" t="s">
        <v>98</v>
      </c>
      <c r="K283" s="212" t="s">
        <v>99</v>
      </c>
      <c r="L283" s="212" t="s">
        <v>100</v>
      </c>
      <c r="M283" s="212" t="s">
        <v>101</v>
      </c>
      <c r="N283" s="212" t="s">
        <v>102</v>
      </c>
      <c r="O283" s="212" t="s">
        <v>103</v>
      </c>
      <c r="P283" s="212" t="s">
        <v>104</v>
      </c>
      <c r="S283" s="212" t="s">
        <v>0</v>
      </c>
    </row>
    <row r="284" spans="1:19">
      <c r="A284" s="214" t="s">
        <v>105</v>
      </c>
      <c r="B284" s="214" t="s">
        <v>106</v>
      </c>
      <c r="C284" s="214" t="s">
        <v>150</v>
      </c>
      <c r="D284" s="214" t="s">
        <v>108</v>
      </c>
      <c r="E284" s="214">
        <v>1.015349032</v>
      </c>
      <c r="G284" s="214" t="s">
        <v>109</v>
      </c>
      <c r="H284" s="214">
        <v>1</v>
      </c>
      <c r="I284" s="215">
        <v>45658</v>
      </c>
      <c r="J284" s="215"/>
      <c r="L284" s="214" t="s">
        <v>110</v>
      </c>
      <c r="N284" s="214" t="s">
        <v>287</v>
      </c>
      <c r="O284" s="214" t="s">
        <v>288</v>
      </c>
      <c r="P284" s="214" t="s">
        <v>179</v>
      </c>
      <c r="S284" s="214">
        <f>YEAR(I284)</f>
        <v>2025</v>
      </c>
    </row>
    <row r="285" spans="1:19">
      <c r="A285" s="214" t="s">
        <v>105</v>
      </c>
      <c r="B285" s="214" t="s">
        <v>106</v>
      </c>
      <c r="C285" s="214" t="s">
        <v>150</v>
      </c>
      <c r="D285" s="214" t="s">
        <v>108</v>
      </c>
      <c r="E285" s="214">
        <v>1.0134574789999999</v>
      </c>
      <c r="G285" s="214" t="s">
        <v>109</v>
      </c>
      <c r="H285" s="214">
        <v>1</v>
      </c>
      <c r="I285" s="215">
        <v>46023</v>
      </c>
      <c r="J285" s="215"/>
      <c r="L285" s="214" t="s">
        <v>110</v>
      </c>
      <c r="N285" s="214" t="s">
        <v>287</v>
      </c>
      <c r="O285" s="214" t="s">
        <v>288</v>
      </c>
      <c r="P285" s="214" t="s">
        <v>179</v>
      </c>
      <c r="S285" s="214">
        <f t="shared" ref="S285:S304" si="6">YEAR(I285)</f>
        <v>2026</v>
      </c>
    </row>
    <row r="286" spans="1:19">
      <c r="A286" s="214" t="s">
        <v>105</v>
      </c>
      <c r="B286" s="214" t="s">
        <v>106</v>
      </c>
      <c r="C286" s="214" t="s">
        <v>150</v>
      </c>
      <c r="D286" s="214" t="s">
        <v>108</v>
      </c>
      <c r="E286" s="214">
        <v>1.0110009200000001</v>
      </c>
      <c r="G286" s="214" t="s">
        <v>109</v>
      </c>
      <c r="H286" s="214">
        <v>1</v>
      </c>
      <c r="I286" s="215">
        <v>46388</v>
      </c>
      <c r="J286" s="215"/>
      <c r="L286" s="214" t="s">
        <v>110</v>
      </c>
      <c r="N286" s="214" t="s">
        <v>287</v>
      </c>
      <c r="O286" s="214" t="s">
        <v>288</v>
      </c>
      <c r="P286" s="214" t="s">
        <v>179</v>
      </c>
      <c r="S286" s="214">
        <f t="shared" si="6"/>
        <v>2027</v>
      </c>
    </row>
    <row r="287" spans="1:19">
      <c r="A287" s="214" t="s">
        <v>105</v>
      </c>
      <c r="B287" s="214" t="s">
        <v>106</v>
      </c>
      <c r="C287" s="214" t="s">
        <v>150</v>
      </c>
      <c r="D287" s="214" t="s">
        <v>108</v>
      </c>
      <c r="E287" s="214">
        <v>1.0079556199999999</v>
      </c>
      <c r="G287" s="214" t="s">
        <v>109</v>
      </c>
      <c r="H287" s="214">
        <v>1</v>
      </c>
      <c r="I287" s="215">
        <v>46753</v>
      </c>
      <c r="J287" s="215"/>
      <c r="L287" s="214" t="s">
        <v>110</v>
      </c>
      <c r="N287" s="214" t="s">
        <v>287</v>
      </c>
      <c r="O287" s="214" t="s">
        <v>288</v>
      </c>
      <c r="P287" s="214" t="s">
        <v>179</v>
      </c>
      <c r="S287" s="214">
        <f t="shared" si="6"/>
        <v>2028</v>
      </c>
    </row>
    <row r="288" spans="1:19">
      <c r="A288" s="214" t="s">
        <v>105</v>
      </c>
      <c r="B288" s="214" t="s">
        <v>106</v>
      </c>
      <c r="C288" s="214" t="s">
        <v>150</v>
      </c>
      <c r="D288" s="214" t="s">
        <v>108</v>
      </c>
      <c r="E288" s="214">
        <v>1.0042970769999999</v>
      </c>
      <c r="G288" s="214" t="s">
        <v>109</v>
      </c>
      <c r="H288" s="214">
        <v>1</v>
      </c>
      <c r="I288" s="215">
        <v>47119</v>
      </c>
      <c r="J288" s="215"/>
      <c r="L288" s="214" t="s">
        <v>110</v>
      </c>
      <c r="N288" s="214" t="s">
        <v>287</v>
      </c>
      <c r="O288" s="214" t="s">
        <v>288</v>
      </c>
      <c r="P288" s="214" t="s">
        <v>179</v>
      </c>
      <c r="S288" s="214">
        <f t="shared" si="6"/>
        <v>2029</v>
      </c>
    </row>
    <row r="289" spans="1:19">
      <c r="A289" s="214" t="s">
        <v>105</v>
      </c>
      <c r="B289" s="214" t="s">
        <v>106</v>
      </c>
      <c r="C289" s="214" t="s">
        <v>150</v>
      </c>
      <c r="D289" s="214" t="s">
        <v>108</v>
      </c>
      <c r="E289" s="214">
        <v>1</v>
      </c>
      <c r="G289" s="214" t="s">
        <v>109</v>
      </c>
      <c r="H289" s="214">
        <v>1</v>
      </c>
      <c r="I289" s="215">
        <v>47484</v>
      </c>
      <c r="J289" s="215"/>
      <c r="L289" s="214" t="s">
        <v>110</v>
      </c>
      <c r="N289" s="214" t="s">
        <v>287</v>
      </c>
      <c r="O289" s="214" t="s">
        <v>288</v>
      </c>
      <c r="P289" s="214" t="s">
        <v>179</v>
      </c>
      <c r="S289" s="214">
        <f t="shared" si="6"/>
        <v>2030</v>
      </c>
    </row>
    <row r="290" spans="1:19">
      <c r="A290" s="214" t="s">
        <v>105</v>
      </c>
      <c r="B290" s="214" t="s">
        <v>106</v>
      </c>
      <c r="C290" s="214" t="s">
        <v>150</v>
      </c>
      <c r="D290" s="214" t="s">
        <v>108</v>
      </c>
      <c r="E290" s="214">
        <v>0.99503828900000002</v>
      </c>
      <c r="G290" s="214" t="s">
        <v>109</v>
      </c>
      <c r="H290" s="214">
        <v>1</v>
      </c>
      <c r="I290" s="215">
        <v>47849</v>
      </c>
      <c r="J290" s="215"/>
      <c r="L290" s="214" t="s">
        <v>110</v>
      </c>
      <c r="N290" s="214" t="s">
        <v>287</v>
      </c>
      <c r="O290" s="214" t="s">
        <v>288</v>
      </c>
      <c r="P290" s="214" t="s">
        <v>179</v>
      </c>
      <c r="S290" s="214">
        <f t="shared" si="6"/>
        <v>2031</v>
      </c>
    </row>
    <row r="291" spans="1:19">
      <c r="A291" s="214" t="s">
        <v>105</v>
      </c>
      <c r="B291" s="214" t="s">
        <v>106</v>
      </c>
      <c r="C291" s="214" t="s">
        <v>150</v>
      </c>
      <c r="D291" s="214" t="s">
        <v>108</v>
      </c>
      <c r="E291" s="214">
        <v>1.006562822</v>
      </c>
      <c r="G291" s="214" t="s">
        <v>109</v>
      </c>
      <c r="H291" s="214">
        <v>1</v>
      </c>
      <c r="I291" s="215">
        <v>48214</v>
      </c>
      <c r="J291" s="215"/>
      <c r="L291" s="214" t="s">
        <v>110</v>
      </c>
      <c r="N291" s="214" t="s">
        <v>287</v>
      </c>
      <c r="O291" s="214" t="s">
        <v>288</v>
      </c>
      <c r="P291" s="214" t="s">
        <v>179</v>
      </c>
      <c r="S291" s="214">
        <f t="shared" si="6"/>
        <v>2032</v>
      </c>
    </row>
    <row r="292" spans="1:19">
      <c r="A292" s="214" t="s">
        <v>105</v>
      </c>
      <c r="B292" s="214" t="s">
        <v>106</v>
      </c>
      <c r="C292" s="214" t="s">
        <v>150</v>
      </c>
      <c r="D292" s="214" t="s">
        <v>108</v>
      </c>
      <c r="E292" s="214">
        <v>1.0181169430000001</v>
      </c>
      <c r="G292" s="214" t="s">
        <v>109</v>
      </c>
      <c r="H292" s="214">
        <v>1</v>
      </c>
      <c r="I292" s="215">
        <v>48580</v>
      </c>
      <c r="J292" s="215"/>
      <c r="L292" s="214" t="s">
        <v>110</v>
      </c>
      <c r="N292" s="214" t="s">
        <v>287</v>
      </c>
      <c r="O292" s="214" t="s">
        <v>288</v>
      </c>
      <c r="P292" s="214" t="s">
        <v>179</v>
      </c>
      <c r="S292" s="214">
        <f t="shared" si="6"/>
        <v>2033</v>
      </c>
    </row>
    <row r="293" spans="1:19">
      <c r="A293" s="214" t="s">
        <v>105</v>
      </c>
      <c r="B293" s="214" t="s">
        <v>106</v>
      </c>
      <c r="C293" s="214" t="s">
        <v>150</v>
      </c>
      <c r="D293" s="214" t="s">
        <v>108</v>
      </c>
      <c r="E293" s="214">
        <v>1.029696465</v>
      </c>
      <c r="G293" s="214" t="s">
        <v>109</v>
      </c>
      <c r="H293" s="214">
        <v>1</v>
      </c>
      <c r="I293" s="215">
        <v>48945</v>
      </c>
      <c r="J293" s="215"/>
      <c r="L293" s="214" t="s">
        <v>110</v>
      </c>
      <c r="N293" s="214" t="s">
        <v>287</v>
      </c>
      <c r="O293" s="214" t="s">
        <v>288</v>
      </c>
      <c r="P293" s="214" t="s">
        <v>179</v>
      </c>
      <c r="S293" s="214">
        <f t="shared" si="6"/>
        <v>2034</v>
      </c>
    </row>
    <row r="294" spans="1:19">
      <c r="A294" s="214" t="s">
        <v>105</v>
      </c>
      <c r="B294" s="214" t="s">
        <v>106</v>
      </c>
      <c r="C294" s="214" t="s">
        <v>150</v>
      </c>
      <c r="D294" s="214" t="s">
        <v>108</v>
      </c>
      <c r="E294" s="214">
        <v>1.041297004</v>
      </c>
      <c r="G294" s="214" t="s">
        <v>109</v>
      </c>
      <c r="H294" s="214">
        <v>1</v>
      </c>
      <c r="I294" s="215">
        <v>49310</v>
      </c>
      <c r="J294" s="215"/>
      <c r="L294" s="214" t="s">
        <v>110</v>
      </c>
      <c r="N294" s="214" t="s">
        <v>287</v>
      </c>
      <c r="O294" s="214" t="s">
        <v>288</v>
      </c>
      <c r="P294" s="214" t="s">
        <v>179</v>
      </c>
      <c r="S294" s="214">
        <f t="shared" si="6"/>
        <v>2035</v>
      </c>
    </row>
    <row r="295" spans="1:19">
      <c r="A295" s="214" t="s">
        <v>105</v>
      </c>
      <c r="B295" s="214" t="s">
        <v>106</v>
      </c>
      <c r="C295" s="214" t="s">
        <v>150</v>
      </c>
      <c r="D295" s="214" t="s">
        <v>108</v>
      </c>
      <c r="E295" s="214">
        <v>1.052913974</v>
      </c>
      <c r="G295" s="214" t="s">
        <v>109</v>
      </c>
      <c r="H295" s="214">
        <v>1</v>
      </c>
      <c r="I295" s="215">
        <v>49675</v>
      </c>
      <c r="J295" s="215"/>
      <c r="L295" s="214" t="s">
        <v>110</v>
      </c>
      <c r="N295" s="214" t="s">
        <v>287</v>
      </c>
      <c r="O295" s="214" t="s">
        <v>288</v>
      </c>
      <c r="P295" s="214" t="s">
        <v>179</v>
      </c>
      <c r="S295" s="214">
        <f t="shared" si="6"/>
        <v>2036</v>
      </c>
    </row>
    <row r="296" spans="1:19">
      <c r="A296" s="214" t="s">
        <v>105</v>
      </c>
      <c r="B296" s="214" t="s">
        <v>106</v>
      </c>
      <c r="C296" s="214" t="s">
        <v>150</v>
      </c>
      <c r="D296" s="214" t="s">
        <v>108</v>
      </c>
      <c r="E296" s="214">
        <v>1.064542578</v>
      </c>
      <c r="G296" s="214" t="s">
        <v>109</v>
      </c>
      <c r="H296" s="214">
        <v>1</v>
      </c>
      <c r="I296" s="215">
        <v>50041</v>
      </c>
      <c r="J296" s="215"/>
      <c r="L296" s="214" t="s">
        <v>110</v>
      </c>
      <c r="N296" s="214" t="s">
        <v>287</v>
      </c>
      <c r="O296" s="214" t="s">
        <v>288</v>
      </c>
      <c r="P296" s="214" t="s">
        <v>179</v>
      </c>
      <c r="S296" s="214">
        <f t="shared" si="6"/>
        <v>2037</v>
      </c>
    </row>
    <row r="297" spans="1:19">
      <c r="A297" s="214" t="s">
        <v>105</v>
      </c>
      <c r="B297" s="214" t="s">
        <v>106</v>
      </c>
      <c r="C297" s="214" t="s">
        <v>150</v>
      </c>
      <c r="D297" s="214" t="s">
        <v>108</v>
      </c>
      <c r="E297" s="214">
        <v>1.076177801</v>
      </c>
      <c r="G297" s="214" t="s">
        <v>109</v>
      </c>
      <c r="H297" s="214">
        <v>1</v>
      </c>
      <c r="I297" s="215">
        <v>50406</v>
      </c>
      <c r="J297" s="215"/>
      <c r="L297" s="214" t="s">
        <v>110</v>
      </c>
      <c r="N297" s="214" t="s">
        <v>287</v>
      </c>
      <c r="O297" s="214" t="s">
        <v>288</v>
      </c>
      <c r="P297" s="214" t="s">
        <v>179</v>
      </c>
      <c r="S297" s="214">
        <f t="shared" si="6"/>
        <v>2038</v>
      </c>
    </row>
    <row r="298" spans="1:19">
      <c r="A298" s="214" t="s">
        <v>105</v>
      </c>
      <c r="B298" s="214" t="s">
        <v>106</v>
      </c>
      <c r="C298" s="214" t="s">
        <v>150</v>
      </c>
      <c r="D298" s="214" t="s">
        <v>108</v>
      </c>
      <c r="E298" s="214">
        <v>1.0878144080000001</v>
      </c>
      <c r="G298" s="214" t="s">
        <v>109</v>
      </c>
      <c r="H298" s="214">
        <v>1</v>
      </c>
      <c r="I298" s="215">
        <v>50771</v>
      </c>
      <c r="J298" s="215"/>
      <c r="L298" s="214" t="s">
        <v>110</v>
      </c>
      <c r="N298" s="214" t="s">
        <v>287</v>
      </c>
      <c r="O298" s="214" t="s">
        <v>288</v>
      </c>
      <c r="P298" s="214" t="s">
        <v>179</v>
      </c>
      <c r="S298" s="214">
        <f t="shared" si="6"/>
        <v>2039</v>
      </c>
    </row>
    <row r="299" spans="1:19">
      <c r="A299" s="214" t="s">
        <v>105</v>
      </c>
      <c r="B299" s="214" t="s">
        <v>106</v>
      </c>
      <c r="C299" s="214" t="s">
        <v>150</v>
      </c>
      <c r="D299" s="214" t="s">
        <v>108</v>
      </c>
      <c r="E299" s="214">
        <v>1.0994469280000001</v>
      </c>
      <c r="G299" s="214" t="s">
        <v>109</v>
      </c>
      <c r="H299" s="214">
        <v>1</v>
      </c>
      <c r="I299" s="215">
        <v>51136</v>
      </c>
      <c r="J299" s="215"/>
      <c r="L299" s="214" t="s">
        <v>110</v>
      </c>
      <c r="N299" s="214" t="s">
        <v>287</v>
      </c>
      <c r="O299" s="214" t="s">
        <v>288</v>
      </c>
      <c r="P299" s="214" t="s">
        <v>179</v>
      </c>
      <c r="S299" s="214">
        <f t="shared" si="6"/>
        <v>2040</v>
      </c>
    </row>
    <row r="300" spans="1:19">
      <c r="A300" s="214" t="s">
        <v>105</v>
      </c>
      <c r="B300" s="214" t="s">
        <v>106</v>
      </c>
      <c r="C300" s="214" t="s">
        <v>150</v>
      </c>
      <c r="D300" s="214" t="s">
        <v>108</v>
      </c>
      <c r="E300" s="214">
        <v>1.1110696520000001</v>
      </c>
      <c r="G300" s="214" t="s">
        <v>109</v>
      </c>
      <c r="H300" s="214">
        <v>1</v>
      </c>
      <c r="I300" s="215">
        <v>51502</v>
      </c>
      <c r="J300" s="215"/>
      <c r="L300" s="214" t="s">
        <v>110</v>
      </c>
      <c r="N300" s="214" t="s">
        <v>287</v>
      </c>
      <c r="O300" s="214" t="s">
        <v>288</v>
      </c>
      <c r="P300" s="214" t="s">
        <v>179</v>
      </c>
      <c r="S300" s="214">
        <f t="shared" si="6"/>
        <v>2041</v>
      </c>
    </row>
    <row r="301" spans="1:19">
      <c r="A301" s="214" t="s">
        <v>105</v>
      </c>
      <c r="B301" s="214" t="s">
        <v>106</v>
      </c>
      <c r="C301" s="214" t="s">
        <v>150</v>
      </c>
      <c r="D301" s="214" t="s">
        <v>108</v>
      </c>
      <c r="E301" s="214">
        <v>1.1226766260000001</v>
      </c>
      <c r="G301" s="214" t="s">
        <v>109</v>
      </c>
      <c r="H301" s="214">
        <v>1</v>
      </c>
      <c r="I301" s="215">
        <v>51867</v>
      </c>
      <c r="J301" s="215"/>
      <c r="L301" s="214" t="s">
        <v>110</v>
      </c>
      <c r="N301" s="214" t="s">
        <v>287</v>
      </c>
      <c r="O301" s="214" t="s">
        <v>288</v>
      </c>
      <c r="P301" s="214" t="s">
        <v>179</v>
      </c>
      <c r="S301" s="214">
        <f t="shared" si="6"/>
        <v>2042</v>
      </c>
    </row>
    <row r="302" spans="1:19">
      <c r="A302" s="214" t="s">
        <v>105</v>
      </c>
      <c r="B302" s="214" t="s">
        <v>106</v>
      </c>
      <c r="C302" s="214" t="s">
        <v>150</v>
      </c>
      <c r="D302" s="214" t="s">
        <v>108</v>
      </c>
      <c r="E302" s="214">
        <v>1.1342616400000001</v>
      </c>
      <c r="G302" s="214" t="s">
        <v>109</v>
      </c>
      <c r="H302" s="214">
        <v>1</v>
      </c>
      <c r="I302" s="215">
        <v>52232</v>
      </c>
      <c r="J302" s="215"/>
      <c r="L302" s="214" t="s">
        <v>110</v>
      </c>
      <c r="N302" s="214" t="s">
        <v>287</v>
      </c>
      <c r="O302" s="214" t="s">
        <v>288</v>
      </c>
      <c r="P302" s="214" t="s">
        <v>179</v>
      </c>
      <c r="S302" s="214">
        <f t="shared" si="6"/>
        <v>2043</v>
      </c>
    </row>
    <row r="303" spans="1:19">
      <c r="A303" s="214" t="s">
        <v>105</v>
      </c>
      <c r="B303" s="214" t="s">
        <v>106</v>
      </c>
      <c r="C303" s="214" t="s">
        <v>150</v>
      </c>
      <c r="D303" s="214" t="s">
        <v>108</v>
      </c>
      <c r="E303" s="214">
        <v>1.14581822</v>
      </c>
      <c r="G303" s="214" t="s">
        <v>109</v>
      </c>
      <c r="H303" s="214">
        <v>1</v>
      </c>
      <c r="I303" s="215">
        <v>52597</v>
      </c>
      <c r="J303" s="215"/>
      <c r="L303" s="214" t="s">
        <v>110</v>
      </c>
      <c r="N303" s="214" t="s">
        <v>287</v>
      </c>
      <c r="O303" s="214" t="s">
        <v>288</v>
      </c>
      <c r="P303" s="214" t="s">
        <v>179</v>
      </c>
      <c r="S303" s="214">
        <f t="shared" si="6"/>
        <v>2044</v>
      </c>
    </row>
    <row r="304" spans="1:19">
      <c r="A304" s="214" t="s">
        <v>105</v>
      </c>
      <c r="B304" s="214" t="s">
        <v>106</v>
      </c>
      <c r="C304" s="214" t="s">
        <v>150</v>
      </c>
      <c r="D304" s="214" t="s">
        <v>108</v>
      </c>
      <c r="E304" s="214">
        <v>1.157339619</v>
      </c>
      <c r="G304" s="214" t="s">
        <v>109</v>
      </c>
      <c r="H304" s="214">
        <v>1</v>
      </c>
      <c r="I304" s="215">
        <v>52963</v>
      </c>
      <c r="J304" s="215"/>
      <c r="L304" s="214" t="s">
        <v>110</v>
      </c>
      <c r="N304" s="214" t="s">
        <v>287</v>
      </c>
      <c r="O304" s="214" t="s">
        <v>288</v>
      </c>
      <c r="P304" s="214" t="s">
        <v>179</v>
      </c>
      <c r="S304" s="214">
        <f t="shared" si="6"/>
        <v>2045</v>
      </c>
    </row>
    <row r="306" spans="1:19">
      <c r="A306" s="212" t="s">
        <v>89</v>
      </c>
      <c r="B306" s="212" t="s">
        <v>90</v>
      </c>
      <c r="C306" s="212" t="s">
        <v>91</v>
      </c>
      <c r="D306" s="212" t="s">
        <v>92</v>
      </c>
      <c r="E306" s="212" t="s">
        <v>93</v>
      </c>
      <c r="F306" s="212" t="s">
        <v>94</v>
      </c>
      <c r="G306" s="212" t="s">
        <v>95</v>
      </c>
      <c r="H306" s="212" t="s">
        <v>96</v>
      </c>
      <c r="I306" s="212" t="s">
        <v>97</v>
      </c>
      <c r="J306" s="212" t="s">
        <v>98</v>
      </c>
      <c r="K306" s="212" t="s">
        <v>99</v>
      </c>
      <c r="L306" s="212" t="s">
        <v>100</v>
      </c>
      <c r="M306" s="212" t="s">
        <v>101</v>
      </c>
      <c r="N306" s="212" t="s">
        <v>102</v>
      </c>
      <c r="O306" s="212" t="s">
        <v>103</v>
      </c>
      <c r="P306" s="212" t="s">
        <v>104</v>
      </c>
      <c r="S306" s="212" t="s">
        <v>0</v>
      </c>
    </row>
    <row r="307" spans="1:19">
      <c r="A307" s="214" t="s">
        <v>105</v>
      </c>
      <c r="B307" s="214" t="s">
        <v>106</v>
      </c>
      <c r="C307" s="214" t="s">
        <v>112</v>
      </c>
      <c r="D307" s="214" t="s">
        <v>108</v>
      </c>
      <c r="E307" s="214">
        <v>39.78</v>
      </c>
      <c r="G307" s="214" t="s">
        <v>109</v>
      </c>
      <c r="H307" s="214">
        <v>1</v>
      </c>
      <c r="I307" s="215">
        <v>45658</v>
      </c>
      <c r="J307" s="215"/>
      <c r="L307" s="214" t="s">
        <v>110</v>
      </c>
      <c r="P307" s="214" t="s">
        <v>130</v>
      </c>
      <c r="S307" s="214">
        <f>YEAR(I307)</f>
        <v>2025</v>
      </c>
    </row>
    <row r="308" spans="1:19">
      <c r="A308" s="214" t="s">
        <v>105</v>
      </c>
      <c r="B308" s="214" t="s">
        <v>106</v>
      </c>
      <c r="C308" s="214" t="s">
        <v>112</v>
      </c>
      <c r="D308" s="214" t="s">
        <v>108</v>
      </c>
      <c r="E308" s="214">
        <v>39.78</v>
      </c>
      <c r="G308" s="214" t="s">
        <v>109</v>
      </c>
      <c r="H308" s="214">
        <v>1</v>
      </c>
      <c r="I308" s="215">
        <v>46023</v>
      </c>
      <c r="J308" s="215"/>
      <c r="L308" s="214" t="s">
        <v>110</v>
      </c>
      <c r="P308" s="214" t="s">
        <v>130</v>
      </c>
      <c r="S308" s="214">
        <f t="shared" ref="S308:S336" si="7">YEAR(I308)</f>
        <v>2026</v>
      </c>
    </row>
    <row r="309" spans="1:19">
      <c r="A309" s="214" t="s">
        <v>105</v>
      </c>
      <c r="B309" s="214" t="s">
        <v>106</v>
      </c>
      <c r="C309" s="214" t="s">
        <v>112</v>
      </c>
      <c r="D309" s="214" t="s">
        <v>108</v>
      </c>
      <c r="E309" s="214">
        <v>41.11</v>
      </c>
      <c r="G309" s="214" t="s">
        <v>109</v>
      </c>
      <c r="H309" s="214">
        <v>1</v>
      </c>
      <c r="I309" s="215">
        <v>46388</v>
      </c>
      <c r="J309" s="215"/>
      <c r="L309" s="214" t="s">
        <v>110</v>
      </c>
      <c r="P309" s="214" t="s">
        <v>130</v>
      </c>
      <c r="S309" s="214">
        <f t="shared" si="7"/>
        <v>2027</v>
      </c>
    </row>
    <row r="310" spans="1:19">
      <c r="A310" s="214" t="s">
        <v>105</v>
      </c>
      <c r="B310" s="214" t="s">
        <v>106</v>
      </c>
      <c r="C310" s="214" t="s">
        <v>112</v>
      </c>
      <c r="D310" s="214" t="s">
        <v>108</v>
      </c>
      <c r="E310" s="214">
        <v>42.43</v>
      </c>
      <c r="G310" s="214" t="s">
        <v>109</v>
      </c>
      <c r="H310" s="214">
        <v>1</v>
      </c>
      <c r="I310" s="215">
        <v>46753</v>
      </c>
      <c r="J310" s="215"/>
      <c r="L310" s="214" t="s">
        <v>110</v>
      </c>
      <c r="P310" s="214" t="s">
        <v>130</v>
      </c>
      <c r="S310" s="214">
        <f t="shared" si="7"/>
        <v>2028</v>
      </c>
    </row>
    <row r="311" spans="1:19">
      <c r="A311" s="214" t="s">
        <v>105</v>
      </c>
      <c r="B311" s="214" t="s">
        <v>106</v>
      </c>
      <c r="C311" s="214" t="s">
        <v>112</v>
      </c>
      <c r="D311" s="214" t="s">
        <v>108</v>
      </c>
      <c r="E311" s="214">
        <v>42.43</v>
      </c>
      <c r="G311" s="214" t="s">
        <v>109</v>
      </c>
      <c r="H311" s="214">
        <v>1</v>
      </c>
      <c r="I311" s="215">
        <v>47119</v>
      </c>
      <c r="J311" s="215"/>
      <c r="L311" s="214" t="s">
        <v>110</v>
      </c>
      <c r="P311" s="214" t="s">
        <v>130</v>
      </c>
      <c r="S311" s="214">
        <f t="shared" si="7"/>
        <v>2029</v>
      </c>
    </row>
    <row r="312" spans="1:19">
      <c r="A312" s="214" t="s">
        <v>105</v>
      </c>
      <c r="B312" s="214" t="s">
        <v>106</v>
      </c>
      <c r="C312" s="214" t="s">
        <v>112</v>
      </c>
      <c r="D312" s="214" t="s">
        <v>108</v>
      </c>
      <c r="E312" s="214">
        <v>43.76</v>
      </c>
      <c r="G312" s="214" t="s">
        <v>109</v>
      </c>
      <c r="H312" s="214">
        <v>1</v>
      </c>
      <c r="I312" s="215">
        <v>47484</v>
      </c>
      <c r="J312" s="215"/>
      <c r="L312" s="214" t="s">
        <v>110</v>
      </c>
      <c r="P312" s="214" t="s">
        <v>130</v>
      </c>
      <c r="S312" s="214">
        <f t="shared" si="7"/>
        <v>2030</v>
      </c>
    </row>
    <row r="313" spans="1:19">
      <c r="A313" s="214" t="s">
        <v>105</v>
      </c>
      <c r="B313" s="214" t="s">
        <v>106</v>
      </c>
      <c r="C313" s="214" t="s">
        <v>112</v>
      </c>
      <c r="D313" s="214" t="s">
        <v>108</v>
      </c>
      <c r="E313" s="214">
        <v>45.08</v>
      </c>
      <c r="G313" s="214" t="s">
        <v>109</v>
      </c>
      <c r="H313" s="214">
        <v>1</v>
      </c>
      <c r="I313" s="215">
        <v>47849</v>
      </c>
      <c r="J313" s="215"/>
      <c r="L313" s="214" t="s">
        <v>110</v>
      </c>
      <c r="P313" s="214" t="s">
        <v>130</v>
      </c>
      <c r="S313" s="214">
        <f t="shared" si="7"/>
        <v>2031</v>
      </c>
    </row>
    <row r="314" spans="1:19">
      <c r="A314" s="214" t="s">
        <v>105</v>
      </c>
      <c r="B314" s="214" t="s">
        <v>106</v>
      </c>
      <c r="C314" s="214" t="s">
        <v>112</v>
      </c>
      <c r="D314" s="214" t="s">
        <v>108</v>
      </c>
      <c r="E314" s="214">
        <v>45.08</v>
      </c>
      <c r="G314" s="214" t="s">
        <v>109</v>
      </c>
      <c r="H314" s="214">
        <v>1</v>
      </c>
      <c r="I314" s="215">
        <v>48214</v>
      </c>
      <c r="J314" s="215"/>
      <c r="L314" s="214" t="s">
        <v>110</v>
      </c>
      <c r="P314" s="214" t="s">
        <v>130</v>
      </c>
      <c r="S314" s="214">
        <f t="shared" si="7"/>
        <v>2032</v>
      </c>
    </row>
    <row r="315" spans="1:19">
      <c r="A315" s="214" t="s">
        <v>105</v>
      </c>
      <c r="B315" s="214" t="s">
        <v>106</v>
      </c>
      <c r="C315" s="214" t="s">
        <v>112</v>
      </c>
      <c r="D315" s="214" t="s">
        <v>108</v>
      </c>
      <c r="E315" s="214">
        <v>46.41</v>
      </c>
      <c r="G315" s="214" t="s">
        <v>109</v>
      </c>
      <c r="H315" s="214">
        <v>1</v>
      </c>
      <c r="I315" s="215">
        <v>48580</v>
      </c>
      <c r="J315" s="215"/>
      <c r="L315" s="214" t="s">
        <v>110</v>
      </c>
      <c r="P315" s="214" t="s">
        <v>130</v>
      </c>
      <c r="S315" s="214">
        <f t="shared" si="7"/>
        <v>2033</v>
      </c>
    </row>
    <row r="316" spans="1:19">
      <c r="A316" s="214" t="s">
        <v>105</v>
      </c>
      <c r="B316" s="214" t="s">
        <v>106</v>
      </c>
      <c r="C316" s="214" t="s">
        <v>112</v>
      </c>
      <c r="D316" s="214" t="s">
        <v>108</v>
      </c>
      <c r="E316" s="214">
        <v>47.74</v>
      </c>
      <c r="G316" s="214" t="s">
        <v>109</v>
      </c>
      <c r="H316" s="214">
        <v>1</v>
      </c>
      <c r="I316" s="215">
        <v>48945</v>
      </c>
      <c r="J316" s="215"/>
      <c r="L316" s="214" t="s">
        <v>110</v>
      </c>
      <c r="P316" s="214" t="s">
        <v>130</v>
      </c>
      <c r="S316" s="214">
        <f t="shared" si="7"/>
        <v>2034</v>
      </c>
    </row>
    <row r="317" spans="1:19">
      <c r="A317" s="214" t="s">
        <v>105</v>
      </c>
      <c r="B317" s="214" t="s">
        <v>106</v>
      </c>
      <c r="C317" s="214" t="s">
        <v>112</v>
      </c>
      <c r="D317" s="214" t="s">
        <v>108</v>
      </c>
      <c r="E317" s="214">
        <v>47.74</v>
      </c>
      <c r="G317" s="214" t="s">
        <v>109</v>
      </c>
      <c r="H317" s="214">
        <v>1</v>
      </c>
      <c r="I317" s="215">
        <v>49310</v>
      </c>
      <c r="J317" s="215"/>
      <c r="L317" s="214" t="s">
        <v>110</v>
      </c>
      <c r="P317" s="214" t="s">
        <v>130</v>
      </c>
      <c r="S317" s="214">
        <f t="shared" si="7"/>
        <v>2035</v>
      </c>
    </row>
    <row r="318" spans="1:19">
      <c r="A318" s="214" t="s">
        <v>105</v>
      </c>
      <c r="B318" s="214" t="s">
        <v>106</v>
      </c>
      <c r="C318" s="214" t="s">
        <v>112</v>
      </c>
      <c r="D318" s="214" t="s">
        <v>108</v>
      </c>
      <c r="E318" s="214">
        <v>49.06</v>
      </c>
      <c r="G318" s="214" t="s">
        <v>109</v>
      </c>
      <c r="H318" s="214">
        <v>1</v>
      </c>
      <c r="I318" s="215">
        <v>49675</v>
      </c>
      <c r="J318" s="215"/>
      <c r="L318" s="214" t="s">
        <v>110</v>
      </c>
      <c r="P318" s="214" t="s">
        <v>130</v>
      </c>
      <c r="S318" s="214">
        <f t="shared" si="7"/>
        <v>2036</v>
      </c>
    </row>
    <row r="319" spans="1:19">
      <c r="A319" s="214" t="s">
        <v>105</v>
      </c>
      <c r="B319" s="214" t="s">
        <v>106</v>
      </c>
      <c r="C319" s="214" t="s">
        <v>112</v>
      </c>
      <c r="D319" s="214" t="s">
        <v>108</v>
      </c>
      <c r="E319" s="214">
        <v>50.39</v>
      </c>
      <c r="G319" s="214" t="s">
        <v>109</v>
      </c>
      <c r="H319" s="214">
        <v>1</v>
      </c>
      <c r="I319" s="215">
        <v>50041</v>
      </c>
      <c r="J319" s="215"/>
      <c r="L319" s="214" t="s">
        <v>110</v>
      </c>
      <c r="P319" s="214" t="s">
        <v>130</v>
      </c>
      <c r="S319" s="214">
        <f t="shared" si="7"/>
        <v>2037</v>
      </c>
    </row>
    <row r="320" spans="1:19">
      <c r="A320" s="214" t="s">
        <v>105</v>
      </c>
      <c r="B320" s="214" t="s">
        <v>106</v>
      </c>
      <c r="C320" s="214" t="s">
        <v>112</v>
      </c>
      <c r="D320" s="214" t="s">
        <v>108</v>
      </c>
      <c r="E320" s="214">
        <v>51.71</v>
      </c>
      <c r="G320" s="214" t="s">
        <v>109</v>
      </c>
      <c r="H320" s="214">
        <v>1</v>
      </c>
      <c r="I320" s="215">
        <v>50406</v>
      </c>
      <c r="J320" s="215"/>
      <c r="L320" s="214" t="s">
        <v>110</v>
      </c>
      <c r="P320" s="214" t="s">
        <v>130</v>
      </c>
      <c r="S320" s="214">
        <f t="shared" si="7"/>
        <v>2038</v>
      </c>
    </row>
    <row r="321" spans="1:19">
      <c r="A321" s="214" t="s">
        <v>105</v>
      </c>
      <c r="B321" s="214" t="s">
        <v>106</v>
      </c>
      <c r="C321" s="214" t="s">
        <v>112</v>
      </c>
      <c r="D321" s="214" t="s">
        <v>108</v>
      </c>
      <c r="E321" s="214">
        <v>51.71</v>
      </c>
      <c r="G321" s="214" t="s">
        <v>109</v>
      </c>
      <c r="H321" s="214">
        <v>1</v>
      </c>
      <c r="I321" s="215">
        <v>50771</v>
      </c>
      <c r="J321" s="215"/>
      <c r="L321" s="214" t="s">
        <v>110</v>
      </c>
      <c r="P321" s="214" t="s">
        <v>130</v>
      </c>
      <c r="S321" s="214">
        <f t="shared" si="7"/>
        <v>2039</v>
      </c>
    </row>
    <row r="322" spans="1:19">
      <c r="A322" s="214" t="s">
        <v>105</v>
      </c>
      <c r="B322" s="214" t="s">
        <v>106</v>
      </c>
      <c r="C322" s="214" t="s">
        <v>112</v>
      </c>
      <c r="D322" s="214" t="s">
        <v>108</v>
      </c>
      <c r="E322" s="214">
        <v>53.04</v>
      </c>
      <c r="G322" s="214" t="s">
        <v>109</v>
      </c>
      <c r="H322" s="214">
        <v>1</v>
      </c>
      <c r="I322" s="215">
        <v>51136</v>
      </c>
      <c r="J322" s="215"/>
      <c r="L322" s="214" t="s">
        <v>110</v>
      </c>
      <c r="P322" s="214" t="s">
        <v>130</v>
      </c>
      <c r="S322" s="214">
        <f t="shared" si="7"/>
        <v>2040</v>
      </c>
    </row>
    <row r="323" spans="1:19">
      <c r="A323" s="214" t="s">
        <v>105</v>
      </c>
      <c r="B323" s="214" t="s">
        <v>106</v>
      </c>
      <c r="C323" s="214" t="s">
        <v>112</v>
      </c>
      <c r="D323" s="214" t="s">
        <v>108</v>
      </c>
      <c r="E323" s="214">
        <v>54.37</v>
      </c>
      <c r="G323" s="214" t="s">
        <v>109</v>
      </c>
      <c r="H323" s="214">
        <v>1</v>
      </c>
      <c r="I323" s="215">
        <v>51502</v>
      </c>
      <c r="J323" s="215"/>
      <c r="L323" s="214" t="s">
        <v>110</v>
      </c>
      <c r="P323" s="214" t="s">
        <v>130</v>
      </c>
      <c r="S323" s="214">
        <f t="shared" si="7"/>
        <v>2041</v>
      </c>
    </row>
    <row r="324" spans="1:19">
      <c r="A324" s="214" t="s">
        <v>105</v>
      </c>
      <c r="B324" s="214" t="s">
        <v>106</v>
      </c>
      <c r="C324" s="214" t="s">
        <v>112</v>
      </c>
      <c r="D324" s="214" t="s">
        <v>108</v>
      </c>
      <c r="E324" s="214">
        <v>55.69</v>
      </c>
      <c r="G324" s="214" t="s">
        <v>109</v>
      </c>
      <c r="H324" s="214">
        <v>1</v>
      </c>
      <c r="I324" s="215">
        <v>51867</v>
      </c>
      <c r="J324" s="215"/>
      <c r="L324" s="214" t="s">
        <v>110</v>
      </c>
      <c r="P324" s="214" t="s">
        <v>130</v>
      </c>
      <c r="S324" s="214">
        <f t="shared" si="7"/>
        <v>2042</v>
      </c>
    </row>
    <row r="325" spans="1:19">
      <c r="A325" s="214" t="s">
        <v>105</v>
      </c>
      <c r="B325" s="214" t="s">
        <v>106</v>
      </c>
      <c r="C325" s="214" t="s">
        <v>112</v>
      </c>
      <c r="D325" s="214" t="s">
        <v>108</v>
      </c>
      <c r="E325" s="214">
        <v>57.02</v>
      </c>
      <c r="G325" s="214" t="s">
        <v>109</v>
      </c>
      <c r="H325" s="214">
        <v>1</v>
      </c>
      <c r="I325" s="215">
        <v>52232</v>
      </c>
      <c r="J325" s="215"/>
      <c r="L325" s="214" t="s">
        <v>110</v>
      </c>
      <c r="P325" s="214" t="s">
        <v>130</v>
      </c>
      <c r="S325" s="214">
        <f t="shared" si="7"/>
        <v>2043</v>
      </c>
    </row>
    <row r="326" spans="1:19">
      <c r="A326" s="214" t="s">
        <v>105</v>
      </c>
      <c r="B326" s="214" t="s">
        <v>106</v>
      </c>
      <c r="C326" s="214" t="s">
        <v>112</v>
      </c>
      <c r="D326" s="214" t="s">
        <v>108</v>
      </c>
      <c r="E326" s="214">
        <v>57.02</v>
      </c>
      <c r="G326" s="214" t="s">
        <v>109</v>
      </c>
      <c r="H326" s="214">
        <v>1</v>
      </c>
      <c r="I326" s="215">
        <v>52597</v>
      </c>
      <c r="J326" s="215"/>
      <c r="L326" s="214" t="s">
        <v>110</v>
      </c>
      <c r="P326" s="214" t="s">
        <v>130</v>
      </c>
      <c r="S326" s="214">
        <f t="shared" si="7"/>
        <v>2044</v>
      </c>
    </row>
    <row r="327" spans="1:19">
      <c r="A327" s="214" t="s">
        <v>105</v>
      </c>
      <c r="B327" s="214" t="s">
        <v>106</v>
      </c>
      <c r="C327" s="214" t="s">
        <v>112</v>
      </c>
      <c r="D327" s="214" t="s">
        <v>108</v>
      </c>
      <c r="E327" s="214">
        <v>58.35</v>
      </c>
      <c r="G327" s="214" t="s">
        <v>109</v>
      </c>
      <c r="H327" s="214">
        <v>1</v>
      </c>
      <c r="I327" s="215">
        <v>52963</v>
      </c>
      <c r="J327" s="215"/>
      <c r="L327" s="214" t="s">
        <v>110</v>
      </c>
      <c r="P327" s="214" t="s">
        <v>130</v>
      </c>
      <c r="S327" s="214">
        <f t="shared" si="7"/>
        <v>2045</v>
      </c>
    </row>
    <row r="328" spans="1:19">
      <c r="A328" s="214" t="s">
        <v>105</v>
      </c>
      <c r="B328" s="214" t="s">
        <v>106</v>
      </c>
      <c r="C328" s="214" t="s">
        <v>112</v>
      </c>
      <c r="D328" s="214" t="s">
        <v>108</v>
      </c>
      <c r="E328" s="214">
        <v>59.67</v>
      </c>
      <c r="G328" s="214" t="s">
        <v>109</v>
      </c>
      <c r="H328" s="214">
        <v>1</v>
      </c>
      <c r="I328" s="215">
        <v>53328</v>
      </c>
      <c r="J328" s="215"/>
      <c r="L328" s="214" t="s">
        <v>110</v>
      </c>
      <c r="P328" s="214" t="s">
        <v>130</v>
      </c>
      <c r="S328" s="214">
        <f t="shared" si="7"/>
        <v>2046</v>
      </c>
    </row>
    <row r="329" spans="1:19">
      <c r="A329" s="214" t="s">
        <v>105</v>
      </c>
      <c r="B329" s="214" t="s">
        <v>106</v>
      </c>
      <c r="C329" s="214" t="s">
        <v>112</v>
      </c>
      <c r="D329" s="214" t="s">
        <v>108</v>
      </c>
      <c r="E329" s="214">
        <v>61</v>
      </c>
      <c r="G329" s="214" t="s">
        <v>109</v>
      </c>
      <c r="H329" s="214">
        <v>1</v>
      </c>
      <c r="I329" s="215">
        <v>53693</v>
      </c>
      <c r="J329" s="215"/>
      <c r="L329" s="214" t="s">
        <v>110</v>
      </c>
      <c r="P329" s="214" t="s">
        <v>130</v>
      </c>
      <c r="S329" s="214">
        <f t="shared" si="7"/>
        <v>2047</v>
      </c>
    </row>
    <row r="330" spans="1:19">
      <c r="A330" s="214" t="s">
        <v>105</v>
      </c>
      <c r="B330" s="214" t="s">
        <v>106</v>
      </c>
      <c r="C330" s="214" t="s">
        <v>112</v>
      </c>
      <c r="D330" s="214" t="s">
        <v>108</v>
      </c>
      <c r="E330" s="214">
        <v>61</v>
      </c>
      <c r="G330" s="214" t="s">
        <v>109</v>
      </c>
      <c r="H330" s="214">
        <v>1</v>
      </c>
      <c r="I330" s="215">
        <v>54058</v>
      </c>
      <c r="J330" s="215"/>
      <c r="L330" s="214" t="s">
        <v>110</v>
      </c>
      <c r="P330" s="214" t="s">
        <v>130</v>
      </c>
      <c r="S330" s="214">
        <f t="shared" si="7"/>
        <v>2048</v>
      </c>
    </row>
    <row r="331" spans="1:19">
      <c r="A331" s="214" t="s">
        <v>105</v>
      </c>
      <c r="B331" s="214" t="s">
        <v>106</v>
      </c>
      <c r="C331" s="214" t="s">
        <v>112</v>
      </c>
      <c r="D331" s="214" t="s">
        <v>108</v>
      </c>
      <c r="E331" s="214">
        <v>62.32</v>
      </c>
      <c r="G331" s="214" t="s">
        <v>109</v>
      </c>
      <c r="H331" s="214">
        <v>1</v>
      </c>
      <c r="I331" s="215">
        <v>54424</v>
      </c>
      <c r="J331" s="215"/>
      <c r="L331" s="214" t="s">
        <v>110</v>
      </c>
      <c r="P331" s="214" t="s">
        <v>130</v>
      </c>
      <c r="S331" s="214">
        <f t="shared" si="7"/>
        <v>2049</v>
      </c>
    </row>
    <row r="332" spans="1:19">
      <c r="A332" s="214" t="s">
        <v>105</v>
      </c>
      <c r="B332" s="214" t="s">
        <v>106</v>
      </c>
      <c r="C332" s="214" t="s">
        <v>112</v>
      </c>
      <c r="D332" s="214" t="s">
        <v>108</v>
      </c>
      <c r="E332" s="214">
        <v>63.65</v>
      </c>
      <c r="G332" s="214" t="s">
        <v>109</v>
      </c>
      <c r="H332" s="214">
        <v>1</v>
      </c>
      <c r="I332" s="215">
        <v>54789</v>
      </c>
      <c r="J332" s="215"/>
      <c r="L332" s="214" t="s">
        <v>110</v>
      </c>
      <c r="P332" s="214" t="s">
        <v>130</v>
      </c>
      <c r="S332" s="214">
        <f t="shared" si="7"/>
        <v>2050</v>
      </c>
    </row>
    <row r="333" spans="1:19">
      <c r="A333" s="214" t="s">
        <v>105</v>
      </c>
      <c r="B333" s="214" t="s">
        <v>106</v>
      </c>
      <c r="C333" s="214" t="s">
        <v>112</v>
      </c>
      <c r="D333" s="214" t="s">
        <v>108</v>
      </c>
      <c r="E333" s="214">
        <v>63.65</v>
      </c>
      <c r="G333" s="214" t="s">
        <v>109</v>
      </c>
      <c r="H333" s="214">
        <v>1</v>
      </c>
      <c r="I333" s="215">
        <v>55154</v>
      </c>
      <c r="J333" s="215"/>
      <c r="L333" s="214" t="s">
        <v>110</v>
      </c>
      <c r="P333" s="214" t="s">
        <v>130</v>
      </c>
      <c r="S333" s="214">
        <f t="shared" si="7"/>
        <v>2051</v>
      </c>
    </row>
    <row r="334" spans="1:19">
      <c r="A334" s="214" t="s">
        <v>105</v>
      </c>
      <c r="B334" s="214" t="s">
        <v>106</v>
      </c>
      <c r="C334" s="214" t="s">
        <v>112</v>
      </c>
      <c r="D334" s="214" t="s">
        <v>108</v>
      </c>
      <c r="E334" s="214">
        <v>64.98</v>
      </c>
      <c r="G334" s="214" t="s">
        <v>109</v>
      </c>
      <c r="H334" s="214">
        <v>1</v>
      </c>
      <c r="I334" s="215">
        <v>55519</v>
      </c>
      <c r="J334" s="215"/>
      <c r="L334" s="214" t="s">
        <v>110</v>
      </c>
      <c r="P334" s="214" t="s">
        <v>130</v>
      </c>
      <c r="S334" s="214">
        <f t="shared" si="7"/>
        <v>2052</v>
      </c>
    </row>
    <row r="335" spans="1:19">
      <c r="A335" s="214" t="s">
        <v>105</v>
      </c>
      <c r="B335" s="214" t="s">
        <v>106</v>
      </c>
      <c r="C335" s="214" t="s">
        <v>112</v>
      </c>
      <c r="D335" s="214" t="s">
        <v>108</v>
      </c>
      <c r="E335" s="214">
        <v>66.3</v>
      </c>
      <c r="G335" s="214" t="s">
        <v>109</v>
      </c>
      <c r="H335" s="214">
        <v>1</v>
      </c>
      <c r="I335" s="215">
        <v>55885</v>
      </c>
      <c r="J335" s="215"/>
      <c r="L335" s="214" t="s">
        <v>110</v>
      </c>
      <c r="P335" s="214" t="s">
        <v>130</v>
      </c>
      <c r="S335" s="214">
        <f t="shared" si="7"/>
        <v>2053</v>
      </c>
    </row>
    <row r="336" spans="1:19">
      <c r="A336" s="214" t="s">
        <v>105</v>
      </c>
      <c r="B336" s="214" t="s">
        <v>106</v>
      </c>
      <c r="C336" s="214" t="s">
        <v>112</v>
      </c>
      <c r="D336" s="214" t="s">
        <v>108</v>
      </c>
      <c r="E336" s="214">
        <v>67.63</v>
      </c>
      <c r="G336" s="214" t="s">
        <v>109</v>
      </c>
      <c r="H336" s="214">
        <v>1</v>
      </c>
      <c r="I336" s="215">
        <v>56250</v>
      </c>
      <c r="J336" s="215"/>
      <c r="L336" s="214" t="s">
        <v>110</v>
      </c>
      <c r="P336" s="214" t="s">
        <v>130</v>
      </c>
      <c r="S336" s="214">
        <f t="shared" si="7"/>
        <v>2054</v>
      </c>
    </row>
    <row r="338" spans="1:19">
      <c r="A338" s="212" t="s">
        <v>89</v>
      </c>
      <c r="B338" s="212" t="s">
        <v>90</v>
      </c>
      <c r="C338" s="212" t="s">
        <v>91</v>
      </c>
      <c r="D338" s="212" t="s">
        <v>92</v>
      </c>
      <c r="E338" s="212" t="s">
        <v>93</v>
      </c>
      <c r="F338" s="212" t="s">
        <v>94</v>
      </c>
      <c r="G338" s="212" t="s">
        <v>95</v>
      </c>
      <c r="H338" s="212" t="s">
        <v>96</v>
      </c>
      <c r="I338" s="212" t="s">
        <v>97</v>
      </c>
      <c r="J338" s="212" t="s">
        <v>98</v>
      </c>
      <c r="K338" s="212" t="s">
        <v>99</v>
      </c>
      <c r="L338" s="212" t="s">
        <v>100</v>
      </c>
      <c r="M338" s="212" t="s">
        <v>101</v>
      </c>
      <c r="N338" s="212" t="s">
        <v>102</v>
      </c>
      <c r="O338" s="212" t="s">
        <v>103</v>
      </c>
      <c r="P338" s="212" t="s">
        <v>104</v>
      </c>
      <c r="S338" s="212" t="s">
        <v>0</v>
      </c>
    </row>
    <row r="339" spans="1:19">
      <c r="B339" s="214" t="s">
        <v>106</v>
      </c>
      <c r="C339" s="214" t="s">
        <v>113</v>
      </c>
      <c r="D339" s="214" t="s">
        <v>108</v>
      </c>
      <c r="E339" s="214">
        <v>43.76</v>
      </c>
      <c r="G339" s="214" t="s">
        <v>109</v>
      </c>
      <c r="H339" s="214">
        <v>1</v>
      </c>
      <c r="I339" s="215">
        <v>45658</v>
      </c>
      <c r="J339" s="215"/>
      <c r="L339" s="214" t="s">
        <v>110</v>
      </c>
      <c r="P339" s="214" t="s">
        <v>130</v>
      </c>
      <c r="S339" s="214">
        <f t="shared" ref="S339:S359" si="8">YEAR(I339)</f>
        <v>2025</v>
      </c>
    </row>
    <row r="340" spans="1:19">
      <c r="B340" s="214" t="s">
        <v>106</v>
      </c>
      <c r="C340" s="214" t="s">
        <v>113</v>
      </c>
      <c r="D340" s="214" t="s">
        <v>108</v>
      </c>
      <c r="E340" s="214">
        <v>43.76</v>
      </c>
      <c r="G340" s="214" t="s">
        <v>109</v>
      </c>
      <c r="H340" s="214">
        <v>1</v>
      </c>
      <c r="I340" s="215">
        <v>46023</v>
      </c>
      <c r="J340" s="215"/>
      <c r="L340" s="214" t="s">
        <v>110</v>
      </c>
      <c r="P340" s="214" t="s">
        <v>130</v>
      </c>
      <c r="S340" s="214">
        <f t="shared" si="8"/>
        <v>2026</v>
      </c>
    </row>
    <row r="341" spans="1:19">
      <c r="B341" s="214" t="s">
        <v>106</v>
      </c>
      <c r="C341" s="214" t="s">
        <v>113</v>
      </c>
      <c r="D341" s="214" t="s">
        <v>108</v>
      </c>
      <c r="E341" s="214">
        <v>45.08</v>
      </c>
      <c r="G341" s="214" t="s">
        <v>109</v>
      </c>
      <c r="H341" s="214">
        <v>1</v>
      </c>
      <c r="I341" s="215">
        <v>46388</v>
      </c>
      <c r="J341" s="215"/>
      <c r="L341" s="214" t="s">
        <v>110</v>
      </c>
      <c r="P341" s="214" t="s">
        <v>130</v>
      </c>
      <c r="S341" s="214">
        <f t="shared" si="8"/>
        <v>2027</v>
      </c>
    </row>
    <row r="342" spans="1:19">
      <c r="B342" s="214" t="s">
        <v>106</v>
      </c>
      <c r="C342" s="214" t="s">
        <v>113</v>
      </c>
      <c r="D342" s="214" t="s">
        <v>108</v>
      </c>
      <c r="E342" s="214">
        <v>46.41</v>
      </c>
      <c r="G342" s="214" t="s">
        <v>109</v>
      </c>
      <c r="H342" s="214">
        <v>1</v>
      </c>
      <c r="I342" s="215">
        <v>46753</v>
      </c>
      <c r="J342" s="215"/>
      <c r="L342" s="214" t="s">
        <v>110</v>
      </c>
      <c r="P342" s="214" t="s">
        <v>130</v>
      </c>
      <c r="S342" s="214">
        <f t="shared" si="8"/>
        <v>2028</v>
      </c>
    </row>
    <row r="343" spans="1:19">
      <c r="B343" s="214" t="s">
        <v>106</v>
      </c>
      <c r="C343" s="214" t="s">
        <v>113</v>
      </c>
      <c r="D343" s="214" t="s">
        <v>108</v>
      </c>
      <c r="E343" s="214">
        <v>47.74</v>
      </c>
      <c r="G343" s="214" t="s">
        <v>109</v>
      </c>
      <c r="H343" s="214">
        <v>1</v>
      </c>
      <c r="I343" s="215">
        <v>47119</v>
      </c>
      <c r="J343" s="215"/>
      <c r="L343" s="214" t="s">
        <v>110</v>
      </c>
      <c r="P343" s="214" t="s">
        <v>130</v>
      </c>
      <c r="S343" s="214">
        <f t="shared" si="8"/>
        <v>2029</v>
      </c>
    </row>
    <row r="344" spans="1:19">
      <c r="B344" s="214" t="s">
        <v>106</v>
      </c>
      <c r="C344" s="214" t="s">
        <v>113</v>
      </c>
      <c r="D344" s="214" t="s">
        <v>108</v>
      </c>
      <c r="E344" s="214">
        <v>47.74</v>
      </c>
      <c r="G344" s="214" t="s">
        <v>109</v>
      </c>
      <c r="H344" s="214">
        <v>1</v>
      </c>
      <c r="I344" s="215">
        <v>47484</v>
      </c>
      <c r="J344" s="215"/>
      <c r="L344" s="214" t="s">
        <v>110</v>
      </c>
      <c r="P344" s="214" t="s">
        <v>130</v>
      </c>
      <c r="S344" s="214">
        <f t="shared" si="8"/>
        <v>2030</v>
      </c>
    </row>
    <row r="345" spans="1:19">
      <c r="B345" s="214" t="s">
        <v>106</v>
      </c>
      <c r="C345" s="214" t="s">
        <v>113</v>
      </c>
      <c r="D345" s="214" t="s">
        <v>108</v>
      </c>
      <c r="E345" s="214">
        <v>49.06</v>
      </c>
      <c r="G345" s="214" t="s">
        <v>109</v>
      </c>
      <c r="H345" s="214">
        <v>1</v>
      </c>
      <c r="I345" s="215">
        <v>47849</v>
      </c>
      <c r="J345" s="215"/>
      <c r="L345" s="214" t="s">
        <v>110</v>
      </c>
      <c r="P345" s="214" t="s">
        <v>130</v>
      </c>
      <c r="S345" s="214">
        <f t="shared" si="8"/>
        <v>2031</v>
      </c>
    </row>
    <row r="346" spans="1:19">
      <c r="B346" s="214" t="s">
        <v>106</v>
      </c>
      <c r="C346" s="214" t="s">
        <v>113</v>
      </c>
      <c r="D346" s="214" t="s">
        <v>108</v>
      </c>
      <c r="E346" s="214">
        <v>50.39</v>
      </c>
      <c r="G346" s="214" t="s">
        <v>109</v>
      </c>
      <c r="H346" s="214">
        <v>1</v>
      </c>
      <c r="I346" s="215">
        <v>48214</v>
      </c>
      <c r="J346" s="215"/>
      <c r="L346" s="214" t="s">
        <v>110</v>
      </c>
      <c r="P346" s="214" t="s">
        <v>130</v>
      </c>
      <c r="S346" s="214">
        <f t="shared" si="8"/>
        <v>2032</v>
      </c>
    </row>
    <row r="347" spans="1:19">
      <c r="B347" s="214" t="s">
        <v>106</v>
      </c>
      <c r="C347" s="214" t="s">
        <v>113</v>
      </c>
      <c r="D347" s="214" t="s">
        <v>108</v>
      </c>
      <c r="E347" s="214">
        <v>50.39</v>
      </c>
      <c r="G347" s="214" t="s">
        <v>109</v>
      </c>
      <c r="H347" s="214">
        <v>1</v>
      </c>
      <c r="I347" s="215">
        <v>48580</v>
      </c>
      <c r="J347" s="215"/>
      <c r="L347" s="214" t="s">
        <v>110</v>
      </c>
      <c r="P347" s="214" t="s">
        <v>130</v>
      </c>
      <c r="S347" s="214">
        <f t="shared" si="8"/>
        <v>2033</v>
      </c>
    </row>
    <row r="348" spans="1:19">
      <c r="B348" s="214" t="s">
        <v>106</v>
      </c>
      <c r="C348" s="214" t="s">
        <v>113</v>
      </c>
      <c r="D348" s="214" t="s">
        <v>108</v>
      </c>
      <c r="E348" s="214">
        <v>51.71</v>
      </c>
      <c r="G348" s="214" t="s">
        <v>109</v>
      </c>
      <c r="H348" s="214">
        <v>1</v>
      </c>
      <c r="I348" s="215">
        <v>48945</v>
      </c>
      <c r="J348" s="215"/>
      <c r="L348" s="214" t="s">
        <v>110</v>
      </c>
      <c r="P348" s="214" t="s">
        <v>130</v>
      </c>
      <c r="S348" s="214">
        <f t="shared" si="8"/>
        <v>2034</v>
      </c>
    </row>
    <row r="349" spans="1:19">
      <c r="B349" s="214" t="s">
        <v>106</v>
      </c>
      <c r="C349" s="214" t="s">
        <v>113</v>
      </c>
      <c r="D349" s="214" t="s">
        <v>108</v>
      </c>
      <c r="E349" s="214">
        <v>53.04</v>
      </c>
      <c r="G349" s="214" t="s">
        <v>109</v>
      </c>
      <c r="H349" s="214">
        <v>1</v>
      </c>
      <c r="I349" s="215">
        <v>49310</v>
      </c>
      <c r="J349" s="215"/>
      <c r="L349" s="214" t="s">
        <v>110</v>
      </c>
      <c r="P349" s="214" t="s">
        <v>130</v>
      </c>
      <c r="S349" s="214">
        <f t="shared" si="8"/>
        <v>2035</v>
      </c>
    </row>
    <row r="350" spans="1:19">
      <c r="B350" s="214" t="s">
        <v>106</v>
      </c>
      <c r="C350" s="214" t="s">
        <v>113</v>
      </c>
      <c r="D350" s="214" t="s">
        <v>108</v>
      </c>
      <c r="E350" s="214">
        <v>54.37</v>
      </c>
      <c r="G350" s="214" t="s">
        <v>109</v>
      </c>
      <c r="H350" s="214">
        <v>1</v>
      </c>
      <c r="I350" s="215">
        <v>49675</v>
      </c>
      <c r="J350" s="215"/>
      <c r="L350" s="214" t="s">
        <v>110</v>
      </c>
      <c r="P350" s="214" t="s">
        <v>130</v>
      </c>
      <c r="S350" s="214">
        <f t="shared" si="8"/>
        <v>2036</v>
      </c>
    </row>
    <row r="351" spans="1:19">
      <c r="B351" s="214" t="s">
        <v>106</v>
      </c>
      <c r="C351" s="214" t="s">
        <v>113</v>
      </c>
      <c r="D351" s="214" t="s">
        <v>108</v>
      </c>
      <c r="E351" s="214">
        <v>55.69</v>
      </c>
      <c r="G351" s="214" t="s">
        <v>109</v>
      </c>
      <c r="H351" s="214">
        <v>1</v>
      </c>
      <c r="I351" s="215">
        <v>50041</v>
      </c>
      <c r="J351" s="215"/>
      <c r="L351" s="214" t="s">
        <v>110</v>
      </c>
      <c r="P351" s="214" t="s">
        <v>130</v>
      </c>
      <c r="S351" s="214">
        <f t="shared" si="8"/>
        <v>2037</v>
      </c>
    </row>
    <row r="352" spans="1:19">
      <c r="B352" s="214" t="s">
        <v>106</v>
      </c>
      <c r="C352" s="214" t="s">
        <v>113</v>
      </c>
      <c r="D352" s="214" t="s">
        <v>108</v>
      </c>
      <c r="E352" s="214">
        <v>55.69</v>
      </c>
      <c r="G352" s="214" t="s">
        <v>109</v>
      </c>
      <c r="H352" s="214">
        <v>1</v>
      </c>
      <c r="I352" s="215">
        <v>50406</v>
      </c>
      <c r="J352" s="215"/>
      <c r="L352" s="214" t="s">
        <v>110</v>
      </c>
      <c r="P352" s="214" t="s">
        <v>130</v>
      </c>
      <c r="S352" s="214">
        <f t="shared" si="8"/>
        <v>2038</v>
      </c>
    </row>
    <row r="353" spans="2:19">
      <c r="B353" s="214" t="s">
        <v>106</v>
      </c>
      <c r="C353" s="214" t="s">
        <v>113</v>
      </c>
      <c r="D353" s="214" t="s">
        <v>108</v>
      </c>
      <c r="E353" s="214">
        <v>57.02</v>
      </c>
      <c r="G353" s="214" t="s">
        <v>109</v>
      </c>
      <c r="H353" s="214">
        <v>1</v>
      </c>
      <c r="I353" s="215">
        <v>50771</v>
      </c>
      <c r="J353" s="215"/>
      <c r="L353" s="214" t="s">
        <v>110</v>
      </c>
      <c r="P353" s="214" t="s">
        <v>130</v>
      </c>
      <c r="S353" s="214">
        <f t="shared" si="8"/>
        <v>2039</v>
      </c>
    </row>
    <row r="354" spans="2:19">
      <c r="B354" s="214" t="s">
        <v>106</v>
      </c>
      <c r="C354" s="214" t="s">
        <v>113</v>
      </c>
      <c r="D354" s="214" t="s">
        <v>108</v>
      </c>
      <c r="E354" s="214">
        <v>58.35</v>
      </c>
      <c r="G354" s="214" t="s">
        <v>109</v>
      </c>
      <c r="H354" s="214">
        <v>1</v>
      </c>
      <c r="I354" s="215">
        <v>51136</v>
      </c>
      <c r="J354" s="215"/>
      <c r="L354" s="214" t="s">
        <v>110</v>
      </c>
      <c r="P354" s="214" t="s">
        <v>130</v>
      </c>
      <c r="S354" s="214">
        <f t="shared" si="8"/>
        <v>2040</v>
      </c>
    </row>
    <row r="355" spans="2:19">
      <c r="B355" s="214" t="s">
        <v>106</v>
      </c>
      <c r="C355" s="214" t="s">
        <v>113</v>
      </c>
      <c r="D355" s="214" t="s">
        <v>108</v>
      </c>
      <c r="E355" s="214">
        <v>46.68</v>
      </c>
      <c r="G355" s="214" t="s">
        <v>109</v>
      </c>
      <c r="H355" s="214">
        <v>1</v>
      </c>
      <c r="I355" s="215">
        <v>51502</v>
      </c>
      <c r="J355" s="215"/>
      <c r="L355" s="214" t="s">
        <v>110</v>
      </c>
      <c r="P355" s="214" t="s">
        <v>130</v>
      </c>
      <c r="S355" s="214">
        <f t="shared" si="8"/>
        <v>2041</v>
      </c>
    </row>
    <row r="356" spans="2:19">
      <c r="B356" s="214" t="s">
        <v>106</v>
      </c>
      <c r="C356" s="214" t="s">
        <v>113</v>
      </c>
      <c r="D356" s="214" t="s">
        <v>108</v>
      </c>
      <c r="E356" s="214">
        <v>35.01</v>
      </c>
      <c r="G356" s="214" t="s">
        <v>109</v>
      </c>
      <c r="H356" s="214">
        <v>1</v>
      </c>
      <c r="I356" s="215">
        <v>51867</v>
      </c>
      <c r="J356" s="215"/>
      <c r="L356" s="214" t="s">
        <v>110</v>
      </c>
      <c r="P356" s="214" t="s">
        <v>130</v>
      </c>
      <c r="S356" s="214">
        <f t="shared" si="8"/>
        <v>2042</v>
      </c>
    </row>
    <row r="357" spans="2:19">
      <c r="B357" s="214" t="s">
        <v>106</v>
      </c>
      <c r="C357" s="214" t="s">
        <v>113</v>
      </c>
      <c r="D357" s="214" t="s">
        <v>108</v>
      </c>
      <c r="E357" s="214">
        <v>23.34</v>
      </c>
      <c r="G357" s="214" t="s">
        <v>109</v>
      </c>
      <c r="H357" s="214">
        <v>1</v>
      </c>
      <c r="I357" s="215">
        <v>52232</v>
      </c>
      <c r="J357" s="215"/>
      <c r="L357" s="214" t="s">
        <v>110</v>
      </c>
      <c r="P357" s="214" t="s">
        <v>130</v>
      </c>
      <c r="S357" s="214">
        <f t="shared" si="8"/>
        <v>2043</v>
      </c>
    </row>
    <row r="358" spans="2:19">
      <c r="B358" s="214" t="s">
        <v>106</v>
      </c>
      <c r="C358" s="214" t="s">
        <v>113</v>
      </c>
      <c r="D358" s="214" t="s">
        <v>108</v>
      </c>
      <c r="E358" s="214">
        <v>11.67</v>
      </c>
      <c r="G358" s="214" t="s">
        <v>109</v>
      </c>
      <c r="H358" s="214">
        <v>1</v>
      </c>
      <c r="I358" s="215">
        <v>52597</v>
      </c>
      <c r="J358" s="215"/>
      <c r="L358" s="214" t="s">
        <v>110</v>
      </c>
      <c r="P358" s="214" t="s">
        <v>130</v>
      </c>
      <c r="S358" s="214">
        <f t="shared" si="8"/>
        <v>2044</v>
      </c>
    </row>
    <row r="359" spans="2:19">
      <c r="B359" s="214" t="s">
        <v>106</v>
      </c>
      <c r="C359" s="214" t="s">
        <v>113</v>
      </c>
      <c r="D359" s="214" t="s">
        <v>108</v>
      </c>
      <c r="E359" s="214">
        <v>0</v>
      </c>
      <c r="G359" s="214" t="s">
        <v>109</v>
      </c>
      <c r="H359" s="214">
        <v>1</v>
      </c>
      <c r="I359" s="215">
        <v>52963</v>
      </c>
      <c r="J359" s="215"/>
      <c r="L359" s="214" t="s">
        <v>110</v>
      </c>
      <c r="P359" s="214" t="s">
        <v>130</v>
      </c>
      <c r="S359" s="214">
        <f t="shared" si="8"/>
        <v>2045</v>
      </c>
    </row>
    <row r="360" spans="2:19">
      <c r="I360" s="215"/>
      <c r="J360" s="215"/>
    </row>
    <row r="361" spans="2:19">
      <c r="I361" s="215"/>
      <c r="J361" s="215"/>
    </row>
    <row r="362" spans="2:19">
      <c r="I362" s="215"/>
      <c r="J362" s="215"/>
    </row>
    <row r="363" spans="2:19">
      <c r="I363" s="215"/>
      <c r="J363" s="215"/>
    </row>
    <row r="364" spans="2:19">
      <c r="I364" s="215"/>
      <c r="J364" s="215"/>
    </row>
    <row r="365" spans="2:19">
      <c r="I365" s="215"/>
      <c r="J365" s="215"/>
    </row>
    <row r="366" spans="2:19">
      <c r="I366" s="215"/>
      <c r="J366" s="215"/>
    </row>
    <row r="367" spans="2:19">
      <c r="I367" s="215"/>
      <c r="J367" s="215"/>
    </row>
    <row r="368" spans="2:19">
      <c r="I368" s="215"/>
      <c r="J368" s="215"/>
    </row>
    <row r="369" spans="1:22">
      <c r="I369" s="215"/>
      <c r="J369" s="215"/>
    </row>
    <row r="370" spans="1:22" s="212" customFormat="1">
      <c r="A370" s="212" t="s">
        <v>89</v>
      </c>
      <c r="B370" s="212" t="s">
        <v>90</v>
      </c>
      <c r="C370" s="212" t="s">
        <v>91</v>
      </c>
      <c r="D370" s="212" t="s">
        <v>92</v>
      </c>
      <c r="E370" s="212" t="s">
        <v>93</v>
      </c>
      <c r="F370" s="212" t="s">
        <v>94</v>
      </c>
      <c r="G370" s="212" t="s">
        <v>95</v>
      </c>
      <c r="H370" s="212" t="s">
        <v>96</v>
      </c>
      <c r="I370" s="212" t="s">
        <v>97</v>
      </c>
      <c r="J370" s="212" t="s">
        <v>98</v>
      </c>
      <c r="K370" s="212" t="s">
        <v>99</v>
      </c>
      <c r="L370" s="212" t="s">
        <v>100</v>
      </c>
      <c r="M370" s="212" t="s">
        <v>101</v>
      </c>
      <c r="N370" s="212" t="s">
        <v>102</v>
      </c>
      <c r="O370" s="212" t="s">
        <v>103</v>
      </c>
      <c r="P370" s="212" t="s">
        <v>104</v>
      </c>
      <c r="S370" s="212" t="s">
        <v>0</v>
      </c>
    </row>
    <row r="371" spans="1:22">
      <c r="A371" s="214" t="s">
        <v>105</v>
      </c>
      <c r="B371" s="214" t="s">
        <v>106</v>
      </c>
      <c r="C371" s="214" t="s">
        <v>107</v>
      </c>
      <c r="D371" s="214" t="s">
        <v>108</v>
      </c>
      <c r="E371" s="320">
        <v>1</v>
      </c>
      <c r="G371" s="214" t="s">
        <v>109</v>
      </c>
      <c r="H371" s="214">
        <v>1</v>
      </c>
      <c r="I371" s="215">
        <v>45292</v>
      </c>
      <c r="J371" s="215"/>
      <c r="L371" s="214" t="s">
        <v>110</v>
      </c>
      <c r="O371" s="214" t="s">
        <v>180</v>
      </c>
      <c r="P371" s="214" t="s">
        <v>109</v>
      </c>
      <c r="S371" s="214">
        <f>YEAR(I371)</f>
        <v>2024</v>
      </c>
    </row>
    <row r="372" spans="1:22">
      <c r="A372" s="214" t="s">
        <v>105</v>
      </c>
      <c r="B372" s="214" t="s">
        <v>106</v>
      </c>
      <c r="C372" s="214" t="s">
        <v>107</v>
      </c>
      <c r="D372" s="214" t="s">
        <v>108</v>
      </c>
      <c r="E372" s="214">
        <v>1.0218</v>
      </c>
      <c r="G372" s="214" t="s">
        <v>109</v>
      </c>
      <c r="H372" s="214">
        <v>1</v>
      </c>
      <c r="I372" s="215">
        <v>45658</v>
      </c>
      <c r="J372" s="215"/>
      <c r="L372" s="214" t="s">
        <v>110</v>
      </c>
      <c r="O372" s="214" t="s">
        <v>180</v>
      </c>
      <c r="P372" s="214" t="s">
        <v>109</v>
      </c>
      <c r="S372" s="214">
        <f t="shared" ref="S372:S394" si="9">YEAR(I372)</f>
        <v>2025</v>
      </c>
      <c r="V372" s="214">
        <f>E372/E371-1</f>
        <v>2.1800000000000042E-2</v>
      </c>
    </row>
    <row r="373" spans="1:22">
      <c r="A373" s="214" t="s">
        <v>105</v>
      </c>
      <c r="B373" s="214" t="s">
        <v>106</v>
      </c>
      <c r="C373" s="214" t="s">
        <v>107</v>
      </c>
      <c r="D373" s="214" t="s">
        <v>108</v>
      </c>
      <c r="E373" s="214">
        <v>1.04407524</v>
      </c>
      <c r="G373" s="214" t="s">
        <v>109</v>
      </c>
      <c r="H373" s="214">
        <v>1</v>
      </c>
      <c r="I373" s="215">
        <v>46023</v>
      </c>
      <c r="J373" s="215"/>
      <c r="L373" s="214" t="s">
        <v>110</v>
      </c>
      <c r="O373" s="214" t="s">
        <v>180</v>
      </c>
      <c r="P373" s="214" t="s">
        <v>109</v>
      </c>
      <c r="S373" s="214">
        <f t="shared" si="9"/>
        <v>2026</v>
      </c>
      <c r="V373" s="214">
        <f>E373/E372-1</f>
        <v>2.179999999999982E-2</v>
      </c>
    </row>
    <row r="374" spans="1:22">
      <c r="A374" s="214" t="s">
        <v>105</v>
      </c>
      <c r="B374" s="214" t="s">
        <v>106</v>
      </c>
      <c r="C374" s="214" t="s">
        <v>107</v>
      </c>
      <c r="D374" s="214" t="s">
        <v>108</v>
      </c>
      <c r="E374" s="214">
        <v>1.0668360800000001</v>
      </c>
      <c r="G374" s="214" t="s">
        <v>109</v>
      </c>
      <c r="H374" s="214">
        <v>1</v>
      </c>
      <c r="I374" s="215">
        <v>46388</v>
      </c>
      <c r="J374" s="215"/>
      <c r="L374" s="214" t="s">
        <v>110</v>
      </c>
      <c r="O374" s="214" t="s">
        <v>180</v>
      </c>
      <c r="P374" s="214" t="s">
        <v>109</v>
      </c>
      <c r="S374" s="214">
        <f t="shared" si="9"/>
        <v>2027</v>
      </c>
      <c r="V374" s="214">
        <f t="shared" ref="V374:V394" si="10">E374/E373-1</f>
        <v>2.179999977779401E-2</v>
      </c>
    </row>
    <row r="375" spans="1:22">
      <c r="A375" s="214" t="s">
        <v>105</v>
      </c>
      <c r="B375" s="214" t="s">
        <v>106</v>
      </c>
      <c r="C375" s="214" t="s">
        <v>107</v>
      </c>
      <c r="D375" s="214" t="s">
        <v>108</v>
      </c>
      <c r="E375" s="214">
        <v>1.090093107</v>
      </c>
      <c r="G375" s="214" t="s">
        <v>109</v>
      </c>
      <c r="H375" s="214">
        <v>1</v>
      </c>
      <c r="I375" s="215">
        <v>46753</v>
      </c>
      <c r="J375" s="215"/>
      <c r="L375" s="214" t="s">
        <v>110</v>
      </c>
      <c r="O375" s="214" t="s">
        <v>180</v>
      </c>
      <c r="P375" s="214" t="s">
        <v>109</v>
      </c>
      <c r="S375" s="214">
        <f t="shared" si="9"/>
        <v>2028</v>
      </c>
      <c r="V375" s="214">
        <f t="shared" si="10"/>
        <v>2.1800000427431909E-2</v>
      </c>
    </row>
    <row r="376" spans="1:22">
      <c r="A376" s="214" t="s">
        <v>105</v>
      </c>
      <c r="B376" s="214" t="s">
        <v>106</v>
      </c>
      <c r="C376" s="214" t="s">
        <v>107</v>
      </c>
      <c r="D376" s="214" t="s">
        <v>108</v>
      </c>
      <c r="E376" s="214">
        <v>1.1138571370000001</v>
      </c>
      <c r="G376" s="214" t="s">
        <v>109</v>
      </c>
      <c r="H376" s="214">
        <v>1</v>
      </c>
      <c r="I376" s="215">
        <v>47119</v>
      </c>
      <c r="J376" s="215"/>
      <c r="L376" s="214" t="s">
        <v>110</v>
      </c>
      <c r="O376" s="214" t="s">
        <v>180</v>
      </c>
      <c r="P376" s="214" t="s">
        <v>109</v>
      </c>
      <c r="S376" s="214">
        <f t="shared" si="9"/>
        <v>2029</v>
      </c>
      <c r="V376" s="214">
        <f t="shared" si="10"/>
        <v>2.1800000245300266E-2</v>
      </c>
    </row>
    <row r="377" spans="1:22">
      <c r="A377" s="214" t="s">
        <v>105</v>
      </c>
      <c r="B377" s="214" t="s">
        <v>106</v>
      </c>
      <c r="C377" s="214" t="s">
        <v>107</v>
      </c>
      <c r="D377" s="214" t="s">
        <v>108</v>
      </c>
      <c r="E377" s="214">
        <v>1.138139222</v>
      </c>
      <c r="G377" s="214" t="s">
        <v>109</v>
      </c>
      <c r="H377" s="214">
        <v>1</v>
      </c>
      <c r="I377" s="215">
        <v>47484</v>
      </c>
      <c r="J377" s="215"/>
      <c r="L377" s="214" t="s">
        <v>110</v>
      </c>
      <c r="O377" s="214" t="s">
        <v>180</v>
      </c>
      <c r="P377" s="214" t="s">
        <v>109</v>
      </c>
      <c r="S377" s="214">
        <f t="shared" si="9"/>
        <v>2030</v>
      </c>
      <c r="V377" s="214">
        <f t="shared" si="10"/>
        <v>2.1799999473361309E-2</v>
      </c>
    </row>
    <row r="378" spans="1:22">
      <c r="A378" s="214" t="s">
        <v>105</v>
      </c>
      <c r="B378" s="214" t="s">
        <v>106</v>
      </c>
      <c r="C378" s="214" t="s">
        <v>107</v>
      </c>
      <c r="D378" s="214" t="s">
        <v>108</v>
      </c>
      <c r="E378" s="214">
        <v>1.1629506570000001</v>
      </c>
      <c r="G378" s="214" t="s">
        <v>109</v>
      </c>
      <c r="H378" s="214">
        <v>1</v>
      </c>
      <c r="I378" s="215">
        <v>47849</v>
      </c>
      <c r="J378" s="215"/>
      <c r="L378" s="214" t="s">
        <v>110</v>
      </c>
      <c r="O378" s="214" t="s">
        <v>180</v>
      </c>
      <c r="P378" s="214" t="s">
        <v>109</v>
      </c>
      <c r="S378" s="214">
        <f t="shared" si="9"/>
        <v>2031</v>
      </c>
      <c r="V378" s="214">
        <f t="shared" si="10"/>
        <v>2.179999996520654E-2</v>
      </c>
    </row>
    <row r="379" spans="1:22">
      <c r="A379" s="214" t="s">
        <v>105</v>
      </c>
      <c r="B379" s="214" t="s">
        <v>106</v>
      </c>
      <c r="C379" s="214" t="s">
        <v>107</v>
      </c>
      <c r="D379" s="214" t="s">
        <v>108</v>
      </c>
      <c r="E379" s="214">
        <v>1.1883029810000001</v>
      </c>
      <c r="G379" s="214" t="s">
        <v>109</v>
      </c>
      <c r="H379" s="214">
        <v>1</v>
      </c>
      <c r="I379" s="215">
        <v>48214</v>
      </c>
      <c r="J379" s="215"/>
      <c r="L379" s="214" t="s">
        <v>110</v>
      </c>
      <c r="O379" s="214" t="s">
        <v>180</v>
      </c>
      <c r="P379" s="214" t="s">
        <v>109</v>
      </c>
      <c r="S379" s="214">
        <f t="shared" si="9"/>
        <v>2032</v>
      </c>
      <c r="V379" s="214">
        <f t="shared" si="10"/>
        <v>2.1799999722602159E-2</v>
      </c>
    </row>
    <row r="380" spans="1:22">
      <c r="A380" s="214" t="s">
        <v>105</v>
      </c>
      <c r="B380" s="214" t="s">
        <v>106</v>
      </c>
      <c r="C380" s="214" t="s">
        <v>107</v>
      </c>
      <c r="D380" s="214" t="s">
        <v>108</v>
      </c>
      <c r="E380" s="214">
        <v>1.2142079859999999</v>
      </c>
      <c r="G380" s="214" t="s">
        <v>109</v>
      </c>
      <c r="H380" s="214">
        <v>1</v>
      </c>
      <c r="I380" s="215">
        <v>48580</v>
      </c>
      <c r="J380" s="215"/>
      <c r="L380" s="214" t="s">
        <v>110</v>
      </c>
      <c r="O380" s="214" t="s">
        <v>180</v>
      </c>
      <c r="P380" s="214" t="s">
        <v>109</v>
      </c>
      <c r="S380" s="214">
        <f t="shared" si="9"/>
        <v>2033</v>
      </c>
      <c r="V380" s="214">
        <f t="shared" si="10"/>
        <v>2.1800000011949594E-2</v>
      </c>
    </row>
    <row r="381" spans="1:22">
      <c r="A381" s="214" t="s">
        <v>105</v>
      </c>
      <c r="B381" s="214" t="s">
        <v>106</v>
      </c>
      <c r="C381" s="214" t="s">
        <v>107</v>
      </c>
      <c r="D381" s="214" t="s">
        <v>108</v>
      </c>
      <c r="E381" s="214">
        <v>1.240677721</v>
      </c>
      <c r="G381" s="214" t="s">
        <v>109</v>
      </c>
      <c r="H381" s="214">
        <v>1</v>
      </c>
      <c r="I381" s="215">
        <v>48945</v>
      </c>
      <c r="J381" s="215"/>
      <c r="L381" s="214" t="s">
        <v>110</v>
      </c>
      <c r="O381" s="214" t="s">
        <v>180</v>
      </c>
      <c r="P381" s="214" t="s">
        <v>109</v>
      </c>
      <c r="S381" s="214">
        <f t="shared" si="9"/>
        <v>2034</v>
      </c>
      <c r="V381" s="214">
        <f t="shared" si="10"/>
        <v>2.1800000745506587E-2</v>
      </c>
    </row>
    <row r="382" spans="1:22">
      <c r="A382" s="214" t="s">
        <v>105</v>
      </c>
      <c r="B382" s="214" t="s">
        <v>106</v>
      </c>
      <c r="C382" s="214" t="s">
        <v>107</v>
      </c>
      <c r="D382" s="214" t="s">
        <v>108</v>
      </c>
      <c r="E382" s="214">
        <v>1.267724495</v>
      </c>
      <c r="G382" s="214" t="s">
        <v>109</v>
      </c>
      <c r="H382" s="214">
        <v>1</v>
      </c>
      <c r="I382" s="215">
        <v>49310</v>
      </c>
      <c r="J382" s="215"/>
      <c r="L382" s="214" t="s">
        <v>110</v>
      </c>
      <c r="O382" s="214" t="s">
        <v>180</v>
      </c>
      <c r="P382" s="214" t="s">
        <v>109</v>
      </c>
      <c r="S382" s="214">
        <f t="shared" si="9"/>
        <v>2035</v>
      </c>
      <c r="V382" s="214">
        <f t="shared" si="10"/>
        <v>2.1799999743849607E-2</v>
      </c>
    </row>
    <row r="383" spans="1:22">
      <c r="A383" s="214" t="s">
        <v>105</v>
      </c>
      <c r="B383" s="214" t="s">
        <v>106</v>
      </c>
      <c r="C383" s="214" t="s">
        <v>107</v>
      </c>
      <c r="D383" s="214" t="s">
        <v>108</v>
      </c>
      <c r="E383" s="214">
        <v>1.2953608889999999</v>
      </c>
      <c r="G383" s="214" t="s">
        <v>109</v>
      </c>
      <c r="H383" s="214">
        <v>1</v>
      </c>
      <c r="I383" s="215">
        <v>49675</v>
      </c>
      <c r="J383" s="215"/>
      <c r="L383" s="214" t="s">
        <v>110</v>
      </c>
      <c r="O383" s="214" t="s">
        <v>180</v>
      </c>
      <c r="P383" s="214" t="s">
        <v>109</v>
      </c>
      <c r="S383" s="214">
        <f t="shared" si="9"/>
        <v>2036</v>
      </c>
      <c r="V383" s="214">
        <f t="shared" si="10"/>
        <v>2.1800000007099252E-2</v>
      </c>
    </row>
    <row r="384" spans="1:22">
      <c r="A384" s="214" t="s">
        <v>105</v>
      </c>
      <c r="B384" s="214" t="s">
        <v>106</v>
      </c>
      <c r="C384" s="214" t="s">
        <v>107</v>
      </c>
      <c r="D384" s="214" t="s">
        <v>108</v>
      </c>
      <c r="E384" s="214">
        <v>1.3235997559999999</v>
      </c>
      <c r="G384" s="214" t="s">
        <v>109</v>
      </c>
      <c r="H384" s="214">
        <v>1</v>
      </c>
      <c r="I384" s="215">
        <v>50041</v>
      </c>
      <c r="J384" s="215"/>
      <c r="L384" s="214" t="s">
        <v>110</v>
      </c>
      <c r="O384" s="214" t="s">
        <v>180</v>
      </c>
      <c r="P384" s="214" t="s">
        <v>109</v>
      </c>
      <c r="S384" s="214">
        <f t="shared" si="9"/>
        <v>2037</v>
      </c>
      <c r="V384" s="214">
        <f t="shared" si="10"/>
        <v>2.1799999706491047E-2</v>
      </c>
    </row>
    <row r="385" spans="1:22">
      <c r="A385" s="214" t="s">
        <v>105</v>
      </c>
      <c r="B385" s="214" t="s">
        <v>106</v>
      </c>
      <c r="C385" s="214" t="s">
        <v>107</v>
      </c>
      <c r="D385" s="214" t="s">
        <v>108</v>
      </c>
      <c r="E385" s="214">
        <v>1.3524542310000001</v>
      </c>
      <c r="G385" s="214" t="s">
        <v>109</v>
      </c>
      <c r="H385" s="214">
        <v>1</v>
      </c>
      <c r="I385" s="215">
        <v>50406</v>
      </c>
      <c r="J385" s="215"/>
      <c r="L385" s="214" t="s">
        <v>110</v>
      </c>
      <c r="O385" s="214" t="s">
        <v>180</v>
      </c>
      <c r="P385" s="214" t="s">
        <v>109</v>
      </c>
      <c r="S385" s="214">
        <f t="shared" si="9"/>
        <v>2038</v>
      </c>
      <c r="V385" s="214">
        <f t="shared" si="10"/>
        <v>2.1800000241160689E-2</v>
      </c>
    </row>
    <row r="386" spans="1:22">
      <c r="A386" s="214" t="s">
        <v>105</v>
      </c>
      <c r="B386" s="214" t="s">
        <v>106</v>
      </c>
      <c r="C386" s="214" t="s">
        <v>107</v>
      </c>
      <c r="D386" s="214" t="s">
        <v>108</v>
      </c>
      <c r="E386" s="214">
        <v>1.381937733</v>
      </c>
      <c r="G386" s="214" t="s">
        <v>109</v>
      </c>
      <c r="H386" s="214">
        <v>1</v>
      </c>
      <c r="I386" s="215">
        <v>50771</v>
      </c>
      <c r="J386" s="215"/>
      <c r="L386" s="214" t="s">
        <v>110</v>
      </c>
      <c r="O386" s="214" t="s">
        <v>180</v>
      </c>
      <c r="P386" s="214" t="s">
        <v>109</v>
      </c>
      <c r="S386" s="214">
        <f t="shared" si="9"/>
        <v>2039</v>
      </c>
      <c r="V386" s="214">
        <f t="shared" si="10"/>
        <v>2.1799999825650174E-2</v>
      </c>
    </row>
    <row r="387" spans="1:22">
      <c r="A387" s="214" t="s">
        <v>105</v>
      </c>
      <c r="B387" s="214" t="s">
        <v>106</v>
      </c>
      <c r="C387" s="214" t="s">
        <v>107</v>
      </c>
      <c r="D387" s="214" t="s">
        <v>108</v>
      </c>
      <c r="E387" s="214">
        <v>1.412063976</v>
      </c>
      <c r="G387" s="214" t="s">
        <v>109</v>
      </c>
      <c r="H387" s="214">
        <v>1</v>
      </c>
      <c r="I387" s="215">
        <v>51136</v>
      </c>
      <c r="J387" s="215"/>
      <c r="L387" s="214" t="s">
        <v>110</v>
      </c>
      <c r="O387" s="214" t="s">
        <v>180</v>
      </c>
      <c r="P387" s="214" t="s">
        <v>109</v>
      </c>
      <c r="S387" s="214">
        <f t="shared" si="9"/>
        <v>2040</v>
      </c>
      <c r="V387" s="214">
        <f t="shared" si="10"/>
        <v>2.1800000304355249E-2</v>
      </c>
    </row>
    <row r="388" spans="1:22">
      <c r="A388" s="214" t="s">
        <v>105</v>
      </c>
      <c r="B388" s="214" t="s">
        <v>106</v>
      </c>
      <c r="C388" s="214" t="s">
        <v>107</v>
      </c>
      <c r="D388" s="214" t="s">
        <v>108</v>
      </c>
      <c r="E388" s="214">
        <v>1.44284697</v>
      </c>
      <c r="G388" s="214" t="s">
        <v>109</v>
      </c>
      <c r="H388" s="214">
        <v>1</v>
      </c>
      <c r="I388" s="215">
        <v>51502</v>
      </c>
      <c r="J388" s="215"/>
      <c r="L388" s="214" t="s">
        <v>110</v>
      </c>
      <c r="O388" s="214" t="s">
        <v>180</v>
      </c>
      <c r="P388" s="214" t="s">
        <v>109</v>
      </c>
      <c r="S388" s="214">
        <f t="shared" si="9"/>
        <v>2041</v>
      </c>
      <c r="V388" s="214">
        <f t="shared" si="10"/>
        <v>2.1799999520701663E-2</v>
      </c>
    </row>
    <row r="389" spans="1:22">
      <c r="A389" s="214" t="s">
        <v>105</v>
      </c>
      <c r="B389" s="214" t="s">
        <v>106</v>
      </c>
      <c r="C389" s="214" t="s">
        <v>107</v>
      </c>
      <c r="D389" s="214" t="s">
        <v>108</v>
      </c>
      <c r="E389" s="214">
        <v>1.474301034</v>
      </c>
      <c r="G389" s="214" t="s">
        <v>109</v>
      </c>
      <c r="H389" s="214">
        <v>1</v>
      </c>
      <c r="I389" s="215">
        <v>51867</v>
      </c>
      <c r="J389" s="215"/>
      <c r="L389" s="214" t="s">
        <v>110</v>
      </c>
      <c r="O389" s="214" t="s">
        <v>180</v>
      </c>
      <c r="P389" s="214" t="s">
        <v>109</v>
      </c>
      <c r="S389" s="214">
        <f t="shared" si="9"/>
        <v>2042</v>
      </c>
      <c r="V389" s="214">
        <f t="shared" si="10"/>
        <v>2.1800000037426104E-2</v>
      </c>
    </row>
    <row r="390" spans="1:22">
      <c r="A390" s="214" t="s">
        <v>105</v>
      </c>
      <c r="B390" s="214" t="s">
        <v>106</v>
      </c>
      <c r="C390" s="214" t="s">
        <v>107</v>
      </c>
      <c r="D390" s="214" t="s">
        <v>108</v>
      </c>
      <c r="E390" s="214">
        <v>1.506440797</v>
      </c>
      <c r="G390" s="214" t="s">
        <v>109</v>
      </c>
      <c r="H390" s="214">
        <v>1</v>
      </c>
      <c r="I390" s="215">
        <v>52232</v>
      </c>
      <c r="J390" s="215"/>
      <c r="L390" s="214" t="s">
        <v>110</v>
      </c>
      <c r="O390" s="214" t="s">
        <v>180</v>
      </c>
      <c r="P390" s="214" t="s">
        <v>109</v>
      </c>
      <c r="S390" s="214">
        <f t="shared" si="9"/>
        <v>2043</v>
      </c>
      <c r="V390" s="214">
        <f t="shared" si="10"/>
        <v>2.180000031119822E-2</v>
      </c>
    </row>
    <row r="391" spans="1:22">
      <c r="A391" s="214" t="s">
        <v>105</v>
      </c>
      <c r="B391" s="214" t="s">
        <v>106</v>
      </c>
      <c r="C391" s="214" t="s">
        <v>107</v>
      </c>
      <c r="D391" s="214" t="s">
        <v>108</v>
      </c>
      <c r="E391" s="214">
        <v>1.5392812060000001</v>
      </c>
      <c r="G391" s="214" t="s">
        <v>109</v>
      </c>
      <c r="H391" s="214">
        <v>1</v>
      </c>
      <c r="I391" s="215">
        <v>52597</v>
      </c>
      <c r="J391" s="215"/>
      <c r="L391" s="214" t="s">
        <v>110</v>
      </c>
      <c r="O391" s="214" t="s">
        <v>180</v>
      </c>
      <c r="P391" s="214" t="s">
        <v>109</v>
      </c>
      <c r="S391" s="214">
        <f t="shared" si="9"/>
        <v>2044</v>
      </c>
      <c r="V391" s="214">
        <f t="shared" si="10"/>
        <v>2.1799999751334509E-2</v>
      </c>
    </row>
    <row r="392" spans="1:22">
      <c r="A392" s="214" t="s">
        <v>105</v>
      </c>
      <c r="B392" s="214" t="s">
        <v>106</v>
      </c>
      <c r="C392" s="214" t="s">
        <v>107</v>
      </c>
      <c r="D392" s="214" t="s">
        <v>108</v>
      </c>
      <c r="E392" s="214">
        <v>1.5728375370000001</v>
      </c>
      <c r="G392" s="214" t="s">
        <v>109</v>
      </c>
      <c r="H392" s="214">
        <v>1</v>
      </c>
      <c r="I392" s="215">
        <v>52963</v>
      </c>
      <c r="J392" s="215"/>
      <c r="L392" s="214" t="s">
        <v>110</v>
      </c>
      <c r="O392" s="214" t="s">
        <v>180</v>
      </c>
      <c r="P392" s="214" t="s">
        <v>109</v>
      </c>
      <c r="S392" s="214">
        <f t="shared" si="9"/>
        <v>2045</v>
      </c>
      <c r="V392" s="214">
        <f t="shared" si="10"/>
        <v>2.1800000460734603E-2</v>
      </c>
    </row>
    <row r="393" spans="1:22">
      <c r="A393" s="214" t="s">
        <v>105</v>
      </c>
      <c r="B393" s="214" t="s">
        <v>106</v>
      </c>
      <c r="C393" s="214" t="s">
        <v>107</v>
      </c>
      <c r="D393" s="214" t="s">
        <v>108</v>
      </c>
      <c r="E393" s="214">
        <v>1.607125395</v>
      </c>
      <c r="G393" s="214" t="s">
        <v>109</v>
      </c>
      <c r="H393" s="214">
        <v>1</v>
      </c>
      <c r="I393" s="215">
        <v>53328</v>
      </c>
      <c r="J393" s="215"/>
      <c r="L393" s="214" t="s">
        <v>110</v>
      </c>
      <c r="O393" s="214" t="s">
        <v>180</v>
      </c>
      <c r="P393" s="214" t="s">
        <v>109</v>
      </c>
      <c r="S393" s="214">
        <f t="shared" si="9"/>
        <v>2046</v>
      </c>
      <c r="V393" s="214">
        <f t="shared" si="10"/>
        <v>2.1799999805065529E-2</v>
      </c>
    </row>
    <row r="394" spans="1:22">
      <c r="A394" s="214" t="s">
        <v>105</v>
      </c>
      <c r="B394" s="214" t="s">
        <v>106</v>
      </c>
      <c r="C394" s="214" t="s">
        <v>107</v>
      </c>
      <c r="D394" s="214" t="s">
        <v>108</v>
      </c>
      <c r="E394" s="214">
        <v>1.6421607279999999</v>
      </c>
      <c r="G394" s="214" t="s">
        <v>109</v>
      </c>
      <c r="H394" s="214">
        <v>1</v>
      </c>
      <c r="I394" s="215">
        <v>53693</v>
      </c>
      <c r="J394" s="215"/>
      <c r="L394" s="214" t="s">
        <v>110</v>
      </c>
      <c r="O394" s="214" t="s">
        <v>180</v>
      </c>
      <c r="P394" s="214" t="s">
        <v>109</v>
      </c>
      <c r="S394" s="214">
        <f t="shared" si="9"/>
        <v>2047</v>
      </c>
      <c r="V394" s="214">
        <f t="shared" si="10"/>
        <v>2.1799999619818156E-2</v>
      </c>
    </row>
    <row r="397" spans="1:22">
      <c r="A397" t="s">
        <v>182</v>
      </c>
      <c r="B397"/>
      <c r="C397" s="235">
        <v>6.3799999999999996E-2</v>
      </c>
    </row>
    <row r="399" spans="1:22" s="212" customFormat="1">
      <c r="A399" s="212" t="s">
        <v>89</v>
      </c>
      <c r="B399" s="212" t="s">
        <v>90</v>
      </c>
      <c r="C399" s="212" t="s">
        <v>91</v>
      </c>
      <c r="D399" s="212" t="s">
        <v>92</v>
      </c>
      <c r="E399" s="212" t="s">
        <v>93</v>
      </c>
      <c r="F399" s="212" t="s">
        <v>94</v>
      </c>
      <c r="G399" s="212" t="s">
        <v>95</v>
      </c>
      <c r="H399" s="212" t="s">
        <v>96</v>
      </c>
      <c r="I399" s="212" t="s">
        <v>97</v>
      </c>
      <c r="J399" s="212" t="s">
        <v>98</v>
      </c>
      <c r="K399" s="212" t="s">
        <v>99</v>
      </c>
      <c r="L399" s="212" t="s">
        <v>100</v>
      </c>
      <c r="M399" s="212" t="s">
        <v>101</v>
      </c>
      <c r="N399" s="212" t="s">
        <v>102</v>
      </c>
      <c r="O399" s="212" t="s">
        <v>103</v>
      </c>
      <c r="P399" s="212" t="s">
        <v>104</v>
      </c>
    </row>
    <row r="400" spans="1:22">
      <c r="A400" s="214" t="s">
        <v>133</v>
      </c>
      <c r="B400" s="214" t="s">
        <v>106</v>
      </c>
      <c r="C400" s="214" t="s">
        <v>242</v>
      </c>
      <c r="D400" s="214" t="s">
        <v>185</v>
      </c>
      <c r="E400" s="214">
        <v>0</v>
      </c>
      <c r="G400" s="214" t="s">
        <v>31</v>
      </c>
      <c r="H400" s="214">
        <v>1</v>
      </c>
      <c r="L400" s="214" t="s">
        <v>109</v>
      </c>
      <c r="M400" s="214" t="s">
        <v>113</v>
      </c>
      <c r="P400" s="214" t="s">
        <v>138</v>
      </c>
    </row>
    <row r="401" spans="1:16">
      <c r="A401" s="214" t="s">
        <v>133</v>
      </c>
      <c r="B401" s="214" t="s">
        <v>106</v>
      </c>
      <c r="C401" s="214" t="s">
        <v>243</v>
      </c>
      <c r="D401" s="214" t="s">
        <v>185</v>
      </c>
      <c r="E401" s="214">
        <v>0</v>
      </c>
      <c r="G401" s="214" t="s">
        <v>31</v>
      </c>
      <c r="H401" s="214">
        <v>1</v>
      </c>
      <c r="L401" s="214" t="s">
        <v>109</v>
      </c>
      <c r="M401" s="214" t="s">
        <v>112</v>
      </c>
      <c r="P401" s="214" t="s">
        <v>138</v>
      </c>
    </row>
    <row r="402" spans="1:16">
      <c r="A402" s="214" t="s">
        <v>133</v>
      </c>
      <c r="B402" s="214" t="s">
        <v>106</v>
      </c>
      <c r="C402" s="214" t="s">
        <v>244</v>
      </c>
      <c r="D402" s="214" t="s">
        <v>185</v>
      </c>
      <c r="E402" s="214">
        <v>0</v>
      </c>
      <c r="G402" s="214" t="s">
        <v>31</v>
      </c>
      <c r="H402" s="214">
        <v>1</v>
      </c>
      <c r="L402" s="214" t="s">
        <v>109</v>
      </c>
      <c r="M402" s="214" t="s">
        <v>113</v>
      </c>
      <c r="P402" s="214" t="s">
        <v>138</v>
      </c>
    </row>
    <row r="403" spans="1:16">
      <c r="A403" s="214" t="s">
        <v>133</v>
      </c>
      <c r="B403" s="214" t="s">
        <v>106</v>
      </c>
      <c r="C403" s="214" t="s">
        <v>245</v>
      </c>
      <c r="D403" s="214" t="s">
        <v>185</v>
      </c>
      <c r="E403" s="214">
        <v>0</v>
      </c>
      <c r="G403" s="214" t="s">
        <v>31</v>
      </c>
      <c r="H403" s="214">
        <v>1</v>
      </c>
      <c r="L403" s="214" t="s">
        <v>109</v>
      </c>
      <c r="M403" s="214" t="s">
        <v>112</v>
      </c>
      <c r="P403" s="214" t="s">
        <v>138</v>
      </c>
    </row>
    <row r="404" spans="1:16">
      <c r="A404" s="214" t="s">
        <v>133</v>
      </c>
      <c r="B404" s="214" t="s">
        <v>106</v>
      </c>
      <c r="C404" s="214" t="s">
        <v>134</v>
      </c>
      <c r="D404" s="214" t="s">
        <v>185</v>
      </c>
      <c r="E404" s="214">
        <v>0</v>
      </c>
      <c r="G404" s="214" t="s">
        <v>31</v>
      </c>
      <c r="H404" s="214">
        <v>1</v>
      </c>
      <c r="L404" s="214" t="s">
        <v>109</v>
      </c>
      <c r="M404" s="214" t="s">
        <v>112</v>
      </c>
      <c r="P404" s="214" t="s">
        <v>138</v>
      </c>
    </row>
    <row r="405" spans="1:16">
      <c r="A405" s="214" t="s">
        <v>133</v>
      </c>
      <c r="B405" s="214" t="s">
        <v>106</v>
      </c>
      <c r="C405" s="214" t="s">
        <v>246</v>
      </c>
      <c r="D405" s="214" t="s">
        <v>185</v>
      </c>
      <c r="E405" s="214">
        <v>0</v>
      </c>
      <c r="G405" s="214" t="s">
        <v>31</v>
      </c>
      <c r="H405" s="214">
        <v>1</v>
      </c>
      <c r="L405" s="214" t="s">
        <v>109</v>
      </c>
      <c r="M405" s="214" t="s">
        <v>113</v>
      </c>
      <c r="P405" s="214" t="s">
        <v>138</v>
      </c>
    </row>
    <row r="406" spans="1:16">
      <c r="A406" s="214" t="s">
        <v>133</v>
      </c>
      <c r="B406" s="214" t="s">
        <v>106</v>
      </c>
      <c r="C406" s="214" t="s">
        <v>247</v>
      </c>
      <c r="D406" s="214" t="s">
        <v>185</v>
      </c>
      <c r="E406" s="214">
        <v>0</v>
      </c>
      <c r="G406" s="214" t="s">
        <v>31</v>
      </c>
      <c r="H406" s="214">
        <v>1</v>
      </c>
      <c r="L406" s="214" t="s">
        <v>109</v>
      </c>
      <c r="M406" s="214" t="s">
        <v>112</v>
      </c>
      <c r="P406" s="214" t="s">
        <v>138</v>
      </c>
    </row>
    <row r="407" spans="1:16">
      <c r="A407" s="214" t="s">
        <v>133</v>
      </c>
      <c r="B407" s="214" t="s">
        <v>106</v>
      </c>
      <c r="C407" s="214" t="s">
        <v>248</v>
      </c>
      <c r="D407" s="214" t="s">
        <v>185</v>
      </c>
      <c r="E407" s="214">
        <v>0</v>
      </c>
      <c r="G407" s="214" t="s">
        <v>31</v>
      </c>
      <c r="H407" s="214">
        <v>1</v>
      </c>
      <c r="L407" s="214" t="s">
        <v>109</v>
      </c>
      <c r="M407" s="214" t="s">
        <v>112</v>
      </c>
      <c r="P407" s="214" t="s">
        <v>138</v>
      </c>
    </row>
    <row r="408" spans="1:16">
      <c r="A408" s="214" t="s">
        <v>133</v>
      </c>
      <c r="B408" s="214" t="s">
        <v>106</v>
      </c>
      <c r="C408" s="214" t="s">
        <v>249</v>
      </c>
      <c r="D408" s="214" t="s">
        <v>185</v>
      </c>
      <c r="E408" s="214">
        <v>0</v>
      </c>
      <c r="G408" s="214" t="s">
        <v>31</v>
      </c>
      <c r="H408" s="214">
        <v>1</v>
      </c>
      <c r="L408" s="214" t="s">
        <v>109</v>
      </c>
      <c r="M408" s="214" t="s">
        <v>113</v>
      </c>
      <c r="P408" s="214" t="s">
        <v>138</v>
      </c>
    </row>
    <row r="409" spans="1:16">
      <c r="A409" s="214" t="s">
        <v>133</v>
      </c>
      <c r="B409" s="214" t="s">
        <v>106</v>
      </c>
      <c r="C409" s="214" t="s">
        <v>250</v>
      </c>
      <c r="D409" s="214" t="s">
        <v>185</v>
      </c>
      <c r="E409" s="214">
        <v>0</v>
      </c>
      <c r="G409" s="214" t="s">
        <v>31</v>
      </c>
      <c r="H409" s="214">
        <v>1</v>
      </c>
      <c r="L409" s="214" t="s">
        <v>109</v>
      </c>
      <c r="M409" s="214" t="s">
        <v>113</v>
      </c>
      <c r="P409" s="214" t="s">
        <v>138</v>
      </c>
    </row>
    <row r="410" spans="1:16">
      <c r="A410" s="214" t="s">
        <v>133</v>
      </c>
      <c r="B410" s="214" t="s">
        <v>106</v>
      </c>
      <c r="C410" s="214" t="s">
        <v>251</v>
      </c>
      <c r="D410" s="214" t="s">
        <v>185</v>
      </c>
      <c r="E410" s="214">
        <v>0</v>
      </c>
      <c r="G410" s="214" t="s">
        <v>31</v>
      </c>
      <c r="H410" s="214">
        <v>1</v>
      </c>
      <c r="L410" s="214" t="s">
        <v>109</v>
      </c>
      <c r="M410" s="214" t="s">
        <v>112</v>
      </c>
      <c r="P410" s="214" t="s">
        <v>138</v>
      </c>
    </row>
    <row r="411" spans="1:16">
      <c r="A411" s="214" t="s">
        <v>133</v>
      </c>
      <c r="B411" s="214" t="s">
        <v>106</v>
      </c>
      <c r="C411" s="214" t="s">
        <v>252</v>
      </c>
      <c r="D411" s="214" t="s">
        <v>185</v>
      </c>
      <c r="E411" s="214">
        <v>0</v>
      </c>
      <c r="G411" s="214" t="s">
        <v>31</v>
      </c>
      <c r="H411" s="214">
        <v>1</v>
      </c>
      <c r="L411" s="214" t="s">
        <v>109</v>
      </c>
      <c r="M411" s="214" t="s">
        <v>112</v>
      </c>
      <c r="P411" s="214" t="s">
        <v>138</v>
      </c>
    </row>
    <row r="412" spans="1:16">
      <c r="A412" s="214" t="s">
        <v>133</v>
      </c>
      <c r="B412" s="214" t="s">
        <v>106</v>
      </c>
      <c r="C412" s="214" t="s">
        <v>253</v>
      </c>
      <c r="D412" s="214" t="s">
        <v>185</v>
      </c>
      <c r="E412" s="214">
        <v>0</v>
      </c>
      <c r="G412" s="214" t="s">
        <v>31</v>
      </c>
      <c r="H412" s="214">
        <v>1</v>
      </c>
      <c r="L412" s="214" t="s">
        <v>109</v>
      </c>
      <c r="M412" s="214" t="s">
        <v>112</v>
      </c>
      <c r="P412" s="214" t="s">
        <v>138</v>
      </c>
    </row>
    <row r="413" spans="1:16">
      <c r="A413" s="214" t="s">
        <v>133</v>
      </c>
      <c r="B413" s="214" t="s">
        <v>106</v>
      </c>
      <c r="C413" s="214" t="s">
        <v>139</v>
      </c>
      <c r="D413" s="214" t="s">
        <v>185</v>
      </c>
      <c r="E413" s="214">
        <v>0</v>
      </c>
      <c r="G413" s="214" t="s">
        <v>31</v>
      </c>
      <c r="H413" s="214">
        <v>1</v>
      </c>
      <c r="L413" s="214" t="s">
        <v>109</v>
      </c>
      <c r="M413" s="214" t="s">
        <v>112</v>
      </c>
      <c r="P413" s="214" t="s">
        <v>138</v>
      </c>
    </row>
    <row r="414" spans="1:16">
      <c r="A414" s="214" t="s">
        <v>133</v>
      </c>
      <c r="B414" s="214" t="s">
        <v>106</v>
      </c>
      <c r="C414" s="214" t="s">
        <v>140</v>
      </c>
      <c r="D414" s="214" t="s">
        <v>185</v>
      </c>
      <c r="E414" s="214">
        <v>0</v>
      </c>
      <c r="G414" s="214" t="s">
        <v>31</v>
      </c>
      <c r="H414" s="214">
        <v>1</v>
      </c>
      <c r="L414" s="214" t="s">
        <v>109</v>
      </c>
      <c r="M414" s="214" t="s">
        <v>112</v>
      </c>
      <c r="P414" s="214" t="s">
        <v>138</v>
      </c>
    </row>
    <row r="415" spans="1:16">
      <c r="A415" s="214" t="s">
        <v>133</v>
      </c>
      <c r="B415" s="214" t="s">
        <v>106</v>
      </c>
      <c r="C415" s="214" t="s">
        <v>254</v>
      </c>
      <c r="D415" s="214" t="s">
        <v>185</v>
      </c>
      <c r="E415" s="214">
        <v>0</v>
      </c>
      <c r="G415" s="214" t="s">
        <v>31</v>
      </c>
      <c r="H415" s="214">
        <v>1</v>
      </c>
      <c r="L415" s="214" t="s">
        <v>109</v>
      </c>
      <c r="M415" s="214" t="s">
        <v>113</v>
      </c>
      <c r="P415" s="214" t="s">
        <v>138</v>
      </c>
    </row>
    <row r="416" spans="1:16">
      <c r="A416" s="214" t="s">
        <v>133</v>
      </c>
      <c r="B416" s="214" t="s">
        <v>106</v>
      </c>
      <c r="C416" s="214" t="s">
        <v>141</v>
      </c>
      <c r="D416" s="214" t="s">
        <v>185</v>
      </c>
      <c r="E416" s="214">
        <v>0</v>
      </c>
      <c r="G416" s="214" t="s">
        <v>31</v>
      </c>
      <c r="H416" s="214">
        <v>1</v>
      </c>
      <c r="L416" s="214" t="s">
        <v>109</v>
      </c>
      <c r="M416" s="214" t="s">
        <v>113</v>
      </c>
      <c r="P416" s="214" t="s">
        <v>138</v>
      </c>
    </row>
    <row r="417" spans="1:16">
      <c r="A417" s="214" t="s">
        <v>133</v>
      </c>
      <c r="B417" s="214" t="s">
        <v>106</v>
      </c>
      <c r="C417" s="214" t="s">
        <v>255</v>
      </c>
      <c r="D417" s="214" t="s">
        <v>185</v>
      </c>
      <c r="E417" s="214">
        <v>0</v>
      </c>
      <c r="G417" s="214" t="s">
        <v>31</v>
      </c>
      <c r="H417" s="214">
        <v>1</v>
      </c>
      <c r="L417" s="214" t="s">
        <v>109</v>
      </c>
      <c r="M417" s="214" t="s">
        <v>112</v>
      </c>
      <c r="P417" s="214" t="s">
        <v>138</v>
      </c>
    </row>
    <row r="418" spans="1:16">
      <c r="A418" s="214" t="s">
        <v>133</v>
      </c>
      <c r="B418" s="214" t="s">
        <v>106</v>
      </c>
      <c r="C418" s="214" t="s">
        <v>142</v>
      </c>
      <c r="D418" s="214" t="s">
        <v>185</v>
      </c>
      <c r="E418" s="214">
        <v>0</v>
      </c>
      <c r="G418" s="214" t="s">
        <v>31</v>
      </c>
      <c r="H418" s="214">
        <v>1</v>
      </c>
      <c r="L418" s="214" t="s">
        <v>109</v>
      </c>
      <c r="M418" s="214" t="s">
        <v>112</v>
      </c>
      <c r="P418" s="214" t="s">
        <v>138</v>
      </c>
    </row>
    <row r="419" spans="1:16">
      <c r="A419" s="214" t="s">
        <v>133</v>
      </c>
      <c r="B419" s="214" t="s">
        <v>106</v>
      </c>
      <c r="C419" s="214" t="s">
        <v>256</v>
      </c>
      <c r="D419" s="214" t="s">
        <v>185</v>
      </c>
      <c r="E419" s="214">
        <v>0</v>
      </c>
      <c r="G419" s="214" t="s">
        <v>31</v>
      </c>
      <c r="H419" s="214">
        <v>1</v>
      </c>
      <c r="L419" s="214" t="s">
        <v>109</v>
      </c>
      <c r="M419" s="214" t="s">
        <v>113</v>
      </c>
      <c r="P419" s="214" t="s">
        <v>138</v>
      </c>
    </row>
    <row r="420" spans="1:16">
      <c r="A420" s="214" t="s">
        <v>133</v>
      </c>
      <c r="B420" s="214" t="s">
        <v>106</v>
      </c>
      <c r="C420" s="214" t="s">
        <v>257</v>
      </c>
      <c r="D420" s="214" t="s">
        <v>185</v>
      </c>
      <c r="E420" s="214">
        <v>0</v>
      </c>
      <c r="G420" s="214" t="s">
        <v>31</v>
      </c>
      <c r="H420" s="214">
        <v>1</v>
      </c>
      <c r="L420" s="214" t="s">
        <v>109</v>
      </c>
      <c r="M420" s="214" t="s">
        <v>112</v>
      </c>
      <c r="P420" s="214" t="s">
        <v>138</v>
      </c>
    </row>
    <row r="421" spans="1:16">
      <c r="A421" s="214" t="s">
        <v>133</v>
      </c>
      <c r="B421" s="214" t="s">
        <v>106</v>
      </c>
      <c r="C421" s="214" t="s">
        <v>186</v>
      </c>
      <c r="D421" s="214" t="s">
        <v>185</v>
      </c>
      <c r="E421" s="214">
        <v>0</v>
      </c>
      <c r="G421" s="214" t="s">
        <v>31</v>
      </c>
      <c r="H421" s="214">
        <v>1</v>
      </c>
      <c r="L421" s="214" t="s">
        <v>109</v>
      </c>
      <c r="M421" s="214" t="s">
        <v>112</v>
      </c>
      <c r="P421" s="214" t="s">
        <v>138</v>
      </c>
    </row>
    <row r="422" spans="1:16">
      <c r="A422" s="214" t="s">
        <v>133</v>
      </c>
      <c r="B422" s="214" t="s">
        <v>106</v>
      </c>
      <c r="C422" s="214" t="s">
        <v>258</v>
      </c>
      <c r="D422" s="214" t="s">
        <v>185</v>
      </c>
      <c r="E422" s="214">
        <v>0</v>
      </c>
      <c r="G422" s="214" t="s">
        <v>31</v>
      </c>
      <c r="H422" s="214">
        <v>1</v>
      </c>
      <c r="L422" s="214" t="s">
        <v>109</v>
      </c>
      <c r="M422" s="214" t="s">
        <v>113</v>
      </c>
      <c r="P422" s="214" t="s">
        <v>138</v>
      </c>
    </row>
    <row r="423" spans="1:16">
      <c r="A423" s="214" t="s">
        <v>133</v>
      </c>
      <c r="B423" s="214" t="s">
        <v>106</v>
      </c>
      <c r="C423" s="214" t="s">
        <v>259</v>
      </c>
      <c r="D423" s="214" t="s">
        <v>185</v>
      </c>
      <c r="E423" s="214">
        <v>0</v>
      </c>
      <c r="G423" s="214" t="s">
        <v>31</v>
      </c>
      <c r="H423" s="214">
        <v>1</v>
      </c>
      <c r="L423" s="214" t="s">
        <v>109</v>
      </c>
      <c r="M423" s="214" t="s">
        <v>113</v>
      </c>
      <c r="P423" s="214" t="s">
        <v>138</v>
      </c>
    </row>
    <row r="424" spans="1:16">
      <c r="A424" s="214" t="s">
        <v>133</v>
      </c>
      <c r="B424" s="214" t="s">
        <v>106</v>
      </c>
      <c r="C424" s="214" t="s">
        <v>260</v>
      </c>
      <c r="D424" s="214" t="s">
        <v>185</v>
      </c>
      <c r="E424" s="214">
        <v>0</v>
      </c>
      <c r="G424" s="214" t="s">
        <v>31</v>
      </c>
      <c r="H424" s="214">
        <v>1</v>
      </c>
      <c r="L424" s="214" t="s">
        <v>109</v>
      </c>
      <c r="M424" s="214" t="s">
        <v>113</v>
      </c>
      <c r="P424" s="214" t="s">
        <v>138</v>
      </c>
    </row>
    <row r="425" spans="1:16">
      <c r="A425" s="214" t="s">
        <v>133</v>
      </c>
      <c r="B425" s="214" t="s">
        <v>106</v>
      </c>
      <c r="C425" s="214" t="s">
        <v>261</v>
      </c>
      <c r="D425" s="214" t="s">
        <v>185</v>
      </c>
      <c r="E425" s="214">
        <v>0</v>
      </c>
      <c r="G425" s="214" t="s">
        <v>31</v>
      </c>
      <c r="H425" s="214">
        <v>1</v>
      </c>
      <c r="L425" s="214" t="s">
        <v>109</v>
      </c>
      <c r="M425" s="214" t="s">
        <v>113</v>
      </c>
      <c r="P425" s="214" t="s">
        <v>138</v>
      </c>
    </row>
    <row r="426" spans="1:16">
      <c r="A426" s="214" t="s">
        <v>133</v>
      </c>
      <c r="B426" s="214" t="s">
        <v>106</v>
      </c>
      <c r="C426" s="214" t="s">
        <v>262</v>
      </c>
      <c r="D426" s="214" t="s">
        <v>185</v>
      </c>
      <c r="E426" s="214">
        <v>0</v>
      </c>
      <c r="G426" s="214" t="s">
        <v>31</v>
      </c>
      <c r="H426" s="214">
        <v>1</v>
      </c>
      <c r="L426" s="214" t="s">
        <v>109</v>
      </c>
      <c r="M426" s="214" t="s">
        <v>112</v>
      </c>
      <c r="P426" s="214" t="s">
        <v>138</v>
      </c>
    </row>
    <row r="427" spans="1:16">
      <c r="A427" s="214" t="s">
        <v>133</v>
      </c>
      <c r="B427" s="214" t="s">
        <v>106</v>
      </c>
      <c r="C427" s="214" t="s">
        <v>143</v>
      </c>
      <c r="D427" s="214" t="s">
        <v>185</v>
      </c>
      <c r="E427" s="214">
        <v>0</v>
      </c>
      <c r="G427" s="214" t="s">
        <v>31</v>
      </c>
      <c r="H427" s="214">
        <v>1</v>
      </c>
      <c r="L427" s="214" t="s">
        <v>109</v>
      </c>
      <c r="M427" s="214" t="s">
        <v>112</v>
      </c>
      <c r="P427" s="214" t="s">
        <v>138</v>
      </c>
    </row>
    <row r="428" spans="1:16">
      <c r="A428" s="214" t="s">
        <v>133</v>
      </c>
      <c r="B428" s="214" t="s">
        <v>106</v>
      </c>
      <c r="C428" s="214" t="s">
        <v>144</v>
      </c>
      <c r="D428" s="214" t="s">
        <v>185</v>
      </c>
      <c r="E428" s="214">
        <v>1</v>
      </c>
      <c r="G428" s="214" t="s">
        <v>31</v>
      </c>
      <c r="H428" s="214">
        <v>1</v>
      </c>
      <c r="L428" s="214" t="s">
        <v>109</v>
      </c>
      <c r="M428" s="214" t="s">
        <v>113</v>
      </c>
      <c r="P428" s="214" t="s">
        <v>146</v>
      </c>
    </row>
    <row r="429" spans="1:16">
      <c r="A429" s="214" t="s">
        <v>133</v>
      </c>
      <c r="B429" s="214" t="s">
        <v>106</v>
      </c>
      <c r="C429" s="214" t="s">
        <v>263</v>
      </c>
      <c r="D429" s="214" t="s">
        <v>185</v>
      </c>
      <c r="E429" s="214">
        <v>0</v>
      </c>
      <c r="G429" s="214" t="s">
        <v>31</v>
      </c>
      <c r="H429" s="214">
        <v>1</v>
      </c>
      <c r="L429" s="214" t="s">
        <v>109</v>
      </c>
      <c r="M429" s="214" t="s">
        <v>112</v>
      </c>
      <c r="P429" s="214" t="s">
        <v>146</v>
      </c>
    </row>
    <row r="430" spans="1:16">
      <c r="A430" s="214" t="s">
        <v>133</v>
      </c>
      <c r="B430" s="214" t="s">
        <v>106</v>
      </c>
      <c r="C430" s="214" t="s">
        <v>264</v>
      </c>
      <c r="D430" s="214" t="s">
        <v>185</v>
      </c>
      <c r="E430" s="214">
        <v>0</v>
      </c>
      <c r="G430" s="214" t="s">
        <v>31</v>
      </c>
      <c r="H430" s="214">
        <v>1</v>
      </c>
      <c r="L430" s="214" t="s">
        <v>109</v>
      </c>
      <c r="M430" s="214" t="s">
        <v>113</v>
      </c>
      <c r="P430" s="214" t="s">
        <v>146</v>
      </c>
    </row>
    <row r="431" spans="1:16">
      <c r="A431" s="214" t="s">
        <v>133</v>
      </c>
      <c r="B431" s="214" t="s">
        <v>106</v>
      </c>
      <c r="C431" s="214" t="s">
        <v>265</v>
      </c>
      <c r="D431" s="214" t="s">
        <v>185</v>
      </c>
      <c r="E431" s="214">
        <v>0</v>
      </c>
      <c r="G431" s="214" t="s">
        <v>31</v>
      </c>
      <c r="H431" s="214">
        <v>1</v>
      </c>
      <c r="L431" s="214" t="s">
        <v>109</v>
      </c>
      <c r="M431" s="214" t="s">
        <v>112</v>
      </c>
      <c r="P431" s="214" t="s">
        <v>146</v>
      </c>
    </row>
    <row r="432" spans="1:16">
      <c r="A432" s="214" t="s">
        <v>133</v>
      </c>
      <c r="B432" s="214" t="s">
        <v>106</v>
      </c>
      <c r="C432" s="214" t="s">
        <v>266</v>
      </c>
      <c r="D432" s="214" t="s">
        <v>185</v>
      </c>
      <c r="E432" s="214">
        <v>0</v>
      </c>
      <c r="G432" s="214" t="s">
        <v>31</v>
      </c>
      <c r="H432" s="214">
        <v>1</v>
      </c>
      <c r="L432" s="214" t="s">
        <v>109</v>
      </c>
      <c r="M432" s="214" t="s">
        <v>112</v>
      </c>
      <c r="P432" s="214" t="s">
        <v>146</v>
      </c>
    </row>
    <row r="433" spans="1:16">
      <c r="A433" s="214" t="s">
        <v>133</v>
      </c>
      <c r="B433" s="214" t="s">
        <v>106</v>
      </c>
      <c r="C433" s="214" t="s">
        <v>147</v>
      </c>
      <c r="D433" s="214" t="s">
        <v>185</v>
      </c>
      <c r="E433" s="214">
        <v>0</v>
      </c>
      <c r="G433" s="214" t="s">
        <v>31</v>
      </c>
      <c r="H433" s="214">
        <v>1</v>
      </c>
      <c r="L433" s="214" t="s">
        <v>109</v>
      </c>
      <c r="M433" s="214" t="s">
        <v>113</v>
      </c>
      <c r="P433" s="214" t="s">
        <v>146</v>
      </c>
    </row>
    <row r="434" spans="1:16">
      <c r="A434" s="214" t="s">
        <v>133</v>
      </c>
      <c r="B434" s="214" t="s">
        <v>106</v>
      </c>
      <c r="C434" s="214" t="s">
        <v>267</v>
      </c>
      <c r="D434" s="214" t="s">
        <v>185</v>
      </c>
      <c r="E434" s="214">
        <v>0</v>
      </c>
      <c r="G434" s="214" t="s">
        <v>31</v>
      </c>
      <c r="H434" s="214">
        <v>1</v>
      </c>
      <c r="L434" s="214" t="s">
        <v>109</v>
      </c>
      <c r="M434" s="214" t="s">
        <v>112</v>
      </c>
      <c r="P434" s="214" t="s">
        <v>146</v>
      </c>
    </row>
    <row r="435" spans="1:16">
      <c r="A435" s="214" t="s">
        <v>133</v>
      </c>
      <c r="B435" s="214" t="s">
        <v>106</v>
      </c>
      <c r="C435" s="214" t="s">
        <v>268</v>
      </c>
      <c r="D435" s="214" t="s">
        <v>185</v>
      </c>
      <c r="E435" s="214">
        <v>0</v>
      </c>
      <c r="G435" s="214" t="s">
        <v>31</v>
      </c>
      <c r="H435" s="214">
        <v>1</v>
      </c>
      <c r="L435" s="214" t="s">
        <v>109</v>
      </c>
      <c r="M435" s="214" t="s">
        <v>112</v>
      </c>
      <c r="P435" s="214" t="s">
        <v>146</v>
      </c>
    </row>
    <row r="436" spans="1:16">
      <c r="A436" s="214" t="s">
        <v>133</v>
      </c>
      <c r="B436" s="214" t="s">
        <v>106</v>
      </c>
      <c r="C436" s="214" t="s">
        <v>269</v>
      </c>
      <c r="D436" s="214" t="s">
        <v>185</v>
      </c>
      <c r="E436" s="214">
        <v>0</v>
      </c>
      <c r="G436" s="214" t="s">
        <v>31</v>
      </c>
      <c r="H436" s="214">
        <v>1</v>
      </c>
      <c r="L436" s="214" t="s">
        <v>109</v>
      </c>
      <c r="M436" s="214" t="s">
        <v>113</v>
      </c>
      <c r="P436" s="214" t="s">
        <v>146</v>
      </c>
    </row>
    <row r="437" spans="1:16">
      <c r="A437" s="214" t="s">
        <v>133</v>
      </c>
      <c r="B437" s="214" t="s">
        <v>106</v>
      </c>
      <c r="C437" s="214" t="s">
        <v>270</v>
      </c>
      <c r="D437" s="214" t="s">
        <v>185</v>
      </c>
      <c r="E437" s="214">
        <v>0</v>
      </c>
      <c r="G437" s="214" t="s">
        <v>31</v>
      </c>
      <c r="H437" s="214">
        <v>1</v>
      </c>
      <c r="L437" s="214" t="s">
        <v>109</v>
      </c>
      <c r="M437" s="214" t="s">
        <v>113</v>
      </c>
      <c r="P437" s="214" t="s">
        <v>146</v>
      </c>
    </row>
    <row r="438" spans="1:16">
      <c r="A438" s="214" t="s">
        <v>133</v>
      </c>
      <c r="B438" s="214" t="s">
        <v>106</v>
      </c>
      <c r="C438" s="214" t="s">
        <v>271</v>
      </c>
      <c r="D438" s="214" t="s">
        <v>185</v>
      </c>
      <c r="E438" s="214">
        <v>0</v>
      </c>
      <c r="G438" s="214" t="s">
        <v>31</v>
      </c>
      <c r="H438" s="214">
        <v>1</v>
      </c>
      <c r="L438" s="214" t="s">
        <v>109</v>
      </c>
      <c r="M438" s="214" t="s">
        <v>112</v>
      </c>
      <c r="P438" s="214" t="s">
        <v>146</v>
      </c>
    </row>
    <row r="439" spans="1:16">
      <c r="A439" s="214" t="s">
        <v>133</v>
      </c>
      <c r="B439" s="214" t="s">
        <v>106</v>
      </c>
      <c r="C439" s="214" t="s">
        <v>272</v>
      </c>
      <c r="D439" s="214" t="s">
        <v>185</v>
      </c>
      <c r="E439" s="214">
        <v>0</v>
      </c>
      <c r="G439" s="214" t="s">
        <v>31</v>
      </c>
      <c r="H439" s="214">
        <v>1</v>
      </c>
      <c r="L439" s="214" t="s">
        <v>109</v>
      </c>
      <c r="M439" s="214" t="s">
        <v>112</v>
      </c>
      <c r="P439" s="214" t="s">
        <v>146</v>
      </c>
    </row>
    <row r="440" spans="1:16">
      <c r="A440" s="214" t="s">
        <v>133</v>
      </c>
      <c r="B440" s="214" t="s">
        <v>106</v>
      </c>
      <c r="C440" s="214" t="s">
        <v>273</v>
      </c>
      <c r="D440" s="214" t="s">
        <v>185</v>
      </c>
      <c r="E440" s="214">
        <v>0</v>
      </c>
      <c r="G440" s="214" t="s">
        <v>31</v>
      </c>
      <c r="H440" s="214">
        <v>1</v>
      </c>
      <c r="L440" s="214" t="s">
        <v>110</v>
      </c>
      <c r="P440" s="214" t="s">
        <v>146</v>
      </c>
    </row>
    <row r="441" spans="1:16">
      <c r="A441" s="214" t="s">
        <v>133</v>
      </c>
      <c r="B441" s="214" t="s">
        <v>106</v>
      </c>
      <c r="C441" s="214" t="s">
        <v>275</v>
      </c>
      <c r="D441" s="214" t="s">
        <v>185</v>
      </c>
      <c r="E441" s="214">
        <v>0</v>
      </c>
      <c r="G441" s="214" t="s">
        <v>31</v>
      </c>
      <c r="H441" s="214">
        <v>1</v>
      </c>
      <c r="L441" s="214" t="s">
        <v>109</v>
      </c>
      <c r="M441" s="214" t="s">
        <v>112</v>
      </c>
      <c r="P441" s="214" t="s">
        <v>146</v>
      </c>
    </row>
    <row r="442" spans="1:16">
      <c r="A442" s="214" t="s">
        <v>133</v>
      </c>
      <c r="B442" s="214" t="s">
        <v>106</v>
      </c>
      <c r="C442" s="214" t="s">
        <v>276</v>
      </c>
      <c r="D442" s="214" t="s">
        <v>185</v>
      </c>
      <c r="E442" s="214">
        <v>0</v>
      </c>
      <c r="G442" s="214" t="s">
        <v>31</v>
      </c>
      <c r="H442" s="214">
        <v>1</v>
      </c>
      <c r="L442" s="214" t="s">
        <v>109</v>
      </c>
      <c r="M442" s="214" t="s">
        <v>112</v>
      </c>
      <c r="P442" s="214" t="s">
        <v>146</v>
      </c>
    </row>
    <row r="443" spans="1:16">
      <c r="A443" s="214" t="s">
        <v>133</v>
      </c>
      <c r="B443" s="214" t="s">
        <v>106</v>
      </c>
      <c r="C443" s="214" t="s">
        <v>277</v>
      </c>
      <c r="D443" s="214" t="s">
        <v>185</v>
      </c>
      <c r="E443" s="214">
        <v>0</v>
      </c>
      <c r="G443" s="214" t="s">
        <v>31</v>
      </c>
      <c r="H443" s="214">
        <v>1</v>
      </c>
      <c r="L443" s="214" t="s">
        <v>109</v>
      </c>
      <c r="M443" s="214" t="s">
        <v>112</v>
      </c>
      <c r="P443" s="214" t="s">
        <v>146</v>
      </c>
    </row>
    <row r="444" spans="1:16">
      <c r="A444" s="214" t="s">
        <v>133</v>
      </c>
      <c r="B444" s="214" t="s">
        <v>106</v>
      </c>
      <c r="C444" s="214" t="s">
        <v>278</v>
      </c>
      <c r="D444" s="214" t="s">
        <v>185</v>
      </c>
      <c r="E444" s="214">
        <v>0</v>
      </c>
      <c r="G444" s="214" t="s">
        <v>31</v>
      </c>
      <c r="H444" s="214">
        <v>1</v>
      </c>
      <c r="L444" s="214" t="s">
        <v>109</v>
      </c>
      <c r="M444" s="214" t="s">
        <v>113</v>
      </c>
      <c r="P444" s="214" t="s">
        <v>146</v>
      </c>
    </row>
    <row r="445" spans="1:16">
      <c r="A445" s="214" t="s">
        <v>133</v>
      </c>
      <c r="B445" s="214" t="s">
        <v>106</v>
      </c>
      <c r="C445" s="214" t="s">
        <v>279</v>
      </c>
      <c r="D445" s="214" t="s">
        <v>185</v>
      </c>
      <c r="E445" s="214">
        <v>0</v>
      </c>
      <c r="G445" s="214" t="s">
        <v>31</v>
      </c>
      <c r="H445" s="214">
        <v>1</v>
      </c>
      <c r="L445" s="214" t="s">
        <v>109</v>
      </c>
      <c r="M445" s="214" t="s">
        <v>113</v>
      </c>
      <c r="P445" s="214" t="s">
        <v>146</v>
      </c>
    </row>
    <row r="446" spans="1:16">
      <c r="A446" s="214" t="s">
        <v>133</v>
      </c>
      <c r="B446" s="214" t="s">
        <v>106</v>
      </c>
      <c r="C446" s="214" t="s">
        <v>280</v>
      </c>
      <c r="D446" s="214" t="s">
        <v>185</v>
      </c>
      <c r="E446" s="214">
        <v>0</v>
      </c>
      <c r="G446" s="214" t="s">
        <v>31</v>
      </c>
      <c r="H446" s="214">
        <v>1</v>
      </c>
      <c r="L446" s="214" t="s">
        <v>109</v>
      </c>
      <c r="M446" s="214" t="s">
        <v>112</v>
      </c>
      <c r="P446" s="214" t="s">
        <v>146</v>
      </c>
    </row>
    <row r="447" spans="1:16">
      <c r="A447" s="214" t="s">
        <v>133</v>
      </c>
      <c r="B447" s="214" t="s">
        <v>106</v>
      </c>
      <c r="C447" s="214" t="s">
        <v>148</v>
      </c>
      <c r="D447" s="214" t="s">
        <v>185</v>
      </c>
      <c r="E447" s="214">
        <v>0</v>
      </c>
      <c r="G447" s="214" t="s">
        <v>31</v>
      </c>
      <c r="H447" s="214">
        <v>1</v>
      </c>
      <c r="L447" s="214" t="s">
        <v>109</v>
      </c>
      <c r="M447" s="214" t="s">
        <v>112</v>
      </c>
      <c r="P447" s="214" t="s">
        <v>146</v>
      </c>
    </row>
    <row r="448" spans="1:16">
      <c r="A448" s="214" t="s">
        <v>133</v>
      </c>
      <c r="B448" s="214" t="s">
        <v>106</v>
      </c>
      <c r="C448" s="214" t="s">
        <v>281</v>
      </c>
      <c r="D448" s="214" t="s">
        <v>185</v>
      </c>
      <c r="E448" s="214">
        <v>0</v>
      </c>
      <c r="G448" s="214" t="s">
        <v>31</v>
      </c>
      <c r="H448" s="214">
        <v>1</v>
      </c>
      <c r="L448" s="214" t="s">
        <v>109</v>
      </c>
      <c r="M448" s="214" t="s">
        <v>113</v>
      </c>
      <c r="P448" s="214" t="s">
        <v>146</v>
      </c>
    </row>
    <row r="449" spans="1:16">
      <c r="A449" s="214" t="s">
        <v>133</v>
      </c>
      <c r="B449" s="214" t="s">
        <v>106</v>
      </c>
      <c r="C449" s="214" t="s">
        <v>282</v>
      </c>
      <c r="D449" s="214" t="s">
        <v>185</v>
      </c>
      <c r="E449" s="214">
        <v>0</v>
      </c>
      <c r="G449" s="214" t="s">
        <v>31</v>
      </c>
      <c r="H449" s="214">
        <v>1</v>
      </c>
      <c r="L449" s="214" t="s">
        <v>109</v>
      </c>
      <c r="M449" s="214" t="s">
        <v>112</v>
      </c>
      <c r="P449" s="214" t="s">
        <v>146</v>
      </c>
    </row>
    <row r="450" spans="1:16">
      <c r="A450" s="214" t="s">
        <v>133</v>
      </c>
      <c r="B450" s="214" t="s">
        <v>106</v>
      </c>
      <c r="C450" s="214" t="s">
        <v>283</v>
      </c>
      <c r="D450" s="214" t="s">
        <v>185</v>
      </c>
      <c r="E450" s="214">
        <v>0</v>
      </c>
      <c r="G450" s="214" t="s">
        <v>31</v>
      </c>
      <c r="H450" s="214">
        <v>1</v>
      </c>
      <c r="L450" s="214" t="s">
        <v>109</v>
      </c>
      <c r="M450" s="214" t="s">
        <v>112</v>
      </c>
      <c r="P450" s="214" t="s">
        <v>146</v>
      </c>
    </row>
    <row r="451" spans="1:16">
      <c r="A451" s="214" t="s">
        <v>133</v>
      </c>
      <c r="B451" s="214" t="s">
        <v>106</v>
      </c>
      <c r="C451" s="214" t="s">
        <v>149</v>
      </c>
      <c r="D451" s="214" t="s">
        <v>185</v>
      </c>
      <c r="E451" s="214">
        <v>1</v>
      </c>
      <c r="G451" s="214" t="s">
        <v>31</v>
      </c>
      <c r="H451" s="214">
        <v>1</v>
      </c>
      <c r="L451" s="214" t="s">
        <v>109</v>
      </c>
      <c r="M451" s="214" t="s">
        <v>112</v>
      </c>
      <c r="P451" s="214" t="s">
        <v>146</v>
      </c>
    </row>
    <row r="452" spans="1:16">
      <c r="A452" s="214" t="s">
        <v>133</v>
      </c>
      <c r="B452" s="214" t="s">
        <v>106</v>
      </c>
      <c r="C452" s="214" t="s">
        <v>151</v>
      </c>
      <c r="D452" s="214" t="s">
        <v>185</v>
      </c>
      <c r="E452" s="214">
        <v>1</v>
      </c>
      <c r="G452" s="214" t="s">
        <v>31</v>
      </c>
      <c r="H452" s="214">
        <v>1</v>
      </c>
      <c r="L452" s="214" t="s">
        <v>109</v>
      </c>
      <c r="M452" s="214" t="s">
        <v>113</v>
      </c>
      <c r="P452" s="214" t="s">
        <v>146</v>
      </c>
    </row>
    <row r="453" spans="1:16">
      <c r="A453" s="214" t="s">
        <v>133</v>
      </c>
      <c r="B453" s="214" t="s">
        <v>106</v>
      </c>
      <c r="C453" s="214" t="s">
        <v>152</v>
      </c>
      <c r="D453" s="214" t="s">
        <v>185</v>
      </c>
      <c r="E453" s="214">
        <v>1</v>
      </c>
      <c r="G453" s="214" t="s">
        <v>31</v>
      </c>
      <c r="H453" s="214">
        <v>1</v>
      </c>
      <c r="L453" s="214" t="s">
        <v>109</v>
      </c>
      <c r="M453" s="214" t="s">
        <v>113</v>
      </c>
      <c r="P453" s="214" t="s">
        <v>146</v>
      </c>
    </row>
    <row r="454" spans="1:16">
      <c r="A454" s="214" t="s">
        <v>133</v>
      </c>
      <c r="B454" s="214" t="s">
        <v>106</v>
      </c>
      <c r="C454" s="214" t="s">
        <v>284</v>
      </c>
      <c r="D454" s="214" t="s">
        <v>185</v>
      </c>
      <c r="E454" s="214">
        <v>1</v>
      </c>
      <c r="G454" s="214" t="s">
        <v>31</v>
      </c>
      <c r="H454" s="214">
        <v>1</v>
      </c>
      <c r="L454" s="214" t="s">
        <v>109</v>
      </c>
      <c r="M454" s="214" t="s">
        <v>113</v>
      </c>
      <c r="P454" s="214" t="s">
        <v>146</v>
      </c>
    </row>
    <row r="455" spans="1:16">
      <c r="A455" s="214" t="s">
        <v>133</v>
      </c>
      <c r="B455" s="214" t="s">
        <v>106</v>
      </c>
      <c r="C455" s="214" t="s">
        <v>285</v>
      </c>
      <c r="D455" s="214" t="s">
        <v>185</v>
      </c>
      <c r="E455" s="214">
        <v>0</v>
      </c>
      <c r="G455" s="214" t="s">
        <v>31</v>
      </c>
      <c r="H455" s="214">
        <v>1</v>
      </c>
      <c r="L455" s="214" t="s">
        <v>109</v>
      </c>
      <c r="M455" s="214" t="s">
        <v>112</v>
      </c>
      <c r="P455" s="214" t="s">
        <v>146</v>
      </c>
    </row>
    <row r="456" spans="1:16">
      <c r="A456" s="214" t="s">
        <v>133</v>
      </c>
      <c r="B456" s="214" t="s">
        <v>106</v>
      </c>
      <c r="C456" s="214" t="s">
        <v>286</v>
      </c>
      <c r="D456" s="214" t="s">
        <v>185</v>
      </c>
      <c r="E456" s="214">
        <v>0</v>
      </c>
      <c r="G456" s="214" t="s">
        <v>31</v>
      </c>
      <c r="H456" s="214">
        <v>1</v>
      </c>
      <c r="L456" s="214" t="s">
        <v>109</v>
      </c>
      <c r="M456" s="214" t="s">
        <v>112</v>
      </c>
      <c r="P456" s="214" t="s">
        <v>146</v>
      </c>
    </row>
    <row r="459" spans="1:16">
      <c r="A459"/>
      <c r="B459"/>
      <c r="C459" s="241"/>
      <c r="D459" s="241"/>
      <c r="E459" s="241"/>
      <c r="F459" s="242"/>
      <c r="G459" s="243"/>
      <c r="H459" s="173"/>
      <c r="I459" s="173"/>
    </row>
    <row r="460" spans="1:16">
      <c r="J460" s="324" t="s">
        <v>308</v>
      </c>
      <c r="K460" s="214">
        <v>5.2789999999999997E-2</v>
      </c>
    </row>
    <row r="461" spans="1:16">
      <c r="J461" s="324" t="s">
        <v>309</v>
      </c>
      <c r="K461" s="214">
        <v>0.21</v>
      </c>
    </row>
    <row r="462" spans="1:16">
      <c r="A462"/>
      <c r="B462"/>
      <c r="C462"/>
      <c r="D462"/>
      <c r="E462"/>
      <c r="F462"/>
      <c r="G462"/>
      <c r="H462" s="239"/>
      <c r="I462" s="239"/>
    </row>
    <row r="463" spans="1:16" ht="39">
      <c r="A463"/>
      <c r="B463" t="s">
        <v>338</v>
      </c>
      <c r="C463" t="s">
        <v>339</v>
      </c>
      <c r="D463" t="s">
        <v>340</v>
      </c>
      <c r="E463" s="91" t="s">
        <v>341</v>
      </c>
      <c r="F463" t="s">
        <v>342</v>
      </c>
      <c r="G463" s="240" t="s">
        <v>343</v>
      </c>
      <c r="H463" s="240" t="s">
        <v>344</v>
      </c>
      <c r="I463" s="178" t="s">
        <v>310</v>
      </c>
      <c r="J463" s="178"/>
    </row>
    <row r="464" spans="1:16">
      <c r="A464">
        <v>2026</v>
      </c>
      <c r="B464" t="s">
        <v>345</v>
      </c>
      <c r="C464">
        <v>250</v>
      </c>
      <c r="D464">
        <v>250</v>
      </c>
      <c r="E464">
        <v>29.5</v>
      </c>
      <c r="F464">
        <v>1</v>
      </c>
      <c r="G464" t="s">
        <v>346</v>
      </c>
      <c r="H464" t="s">
        <v>347</v>
      </c>
      <c r="I464" s="325">
        <f>IF(D464&lt;&gt;0,E464*1000*$K$460*(1-$K$461)/D464,0)</f>
        <v>4.921083799999999</v>
      </c>
      <c r="J464" s="325"/>
    </row>
    <row r="465" spans="1:10">
      <c r="A465">
        <v>2028</v>
      </c>
      <c r="B465" t="s">
        <v>348</v>
      </c>
      <c r="C465">
        <v>0</v>
      </c>
      <c r="D465">
        <v>199</v>
      </c>
      <c r="E465">
        <v>13.62</v>
      </c>
      <c r="F465">
        <v>1</v>
      </c>
      <c r="G465" t="s">
        <v>349</v>
      </c>
      <c r="H465" t="s">
        <v>349</v>
      </c>
      <c r="I465" s="325">
        <f t="shared" ref="I465:I478" si="11">IF(D465&lt;&gt;0,E465*1000*$K$460*(1-$K$461)/D465,0)</f>
        <v>2.8543208140703515</v>
      </c>
      <c r="J465" s="325"/>
    </row>
    <row r="466" spans="1:10">
      <c r="A466">
        <v>2028</v>
      </c>
      <c r="B466" t="s">
        <v>350</v>
      </c>
      <c r="C466">
        <v>400</v>
      </c>
      <c r="D466">
        <v>400</v>
      </c>
      <c r="E466">
        <v>110.63</v>
      </c>
      <c r="F466">
        <v>1</v>
      </c>
      <c r="G466" t="s">
        <v>351</v>
      </c>
      <c r="H466" t="s">
        <v>352</v>
      </c>
      <c r="I466" s="325">
        <f t="shared" si="11"/>
        <v>11.534311457500001</v>
      </c>
      <c r="J466" s="325"/>
    </row>
    <row r="467" spans="1:10">
      <c r="A467">
        <v>2028</v>
      </c>
      <c r="B467" t="s">
        <v>353</v>
      </c>
      <c r="C467">
        <v>0</v>
      </c>
      <c r="D467">
        <v>393</v>
      </c>
      <c r="E467">
        <v>327.88</v>
      </c>
      <c r="F467">
        <v>1</v>
      </c>
      <c r="G467" t="s">
        <v>349</v>
      </c>
      <c r="H467" t="s">
        <v>349</v>
      </c>
      <c r="I467" s="325">
        <f t="shared" si="11"/>
        <v>34.793741241730281</v>
      </c>
      <c r="J467" s="325"/>
    </row>
    <row r="468" spans="1:10">
      <c r="A468">
        <v>2028</v>
      </c>
      <c r="B468" t="s">
        <v>354</v>
      </c>
      <c r="C468">
        <v>0</v>
      </c>
      <c r="D468">
        <v>152</v>
      </c>
      <c r="E468">
        <v>3.56</v>
      </c>
      <c r="F468">
        <v>1</v>
      </c>
      <c r="G468" t="s">
        <v>349</v>
      </c>
      <c r="H468" t="s">
        <v>349</v>
      </c>
      <c r="I468" s="325">
        <f t="shared" si="11"/>
        <v>0.97675392105263159</v>
      </c>
      <c r="J468" s="325"/>
    </row>
    <row r="469" spans="1:10">
      <c r="A469">
        <v>2028</v>
      </c>
      <c r="B469" t="s">
        <v>355</v>
      </c>
      <c r="C469">
        <v>0</v>
      </c>
      <c r="D469">
        <v>628</v>
      </c>
      <c r="E469">
        <v>63.84</v>
      </c>
      <c r="F469">
        <v>1</v>
      </c>
      <c r="G469" t="s">
        <v>349</v>
      </c>
      <c r="H469" t="s">
        <v>349</v>
      </c>
      <c r="I469" s="325">
        <f t="shared" si="11"/>
        <v>4.2394741146496813</v>
      </c>
      <c r="J469" s="325"/>
    </row>
    <row r="470" spans="1:10">
      <c r="A470">
        <v>2028</v>
      </c>
      <c r="B470" t="s">
        <v>356</v>
      </c>
      <c r="C470">
        <v>200</v>
      </c>
      <c r="D470">
        <v>200</v>
      </c>
      <c r="E470">
        <v>12.08</v>
      </c>
      <c r="F470">
        <v>1</v>
      </c>
      <c r="G470" t="s">
        <v>346</v>
      </c>
      <c r="H470" t="s">
        <v>347</v>
      </c>
      <c r="I470" s="325">
        <f t="shared" si="11"/>
        <v>2.5189276399999998</v>
      </c>
      <c r="J470" s="325"/>
    </row>
    <row r="471" spans="1:10">
      <c r="A471">
        <v>2029</v>
      </c>
      <c r="B471" t="s">
        <v>357</v>
      </c>
      <c r="C471">
        <v>0</v>
      </c>
      <c r="D471">
        <v>393</v>
      </c>
      <c r="E471">
        <v>2.21</v>
      </c>
      <c r="F471">
        <v>1</v>
      </c>
      <c r="G471" t="s">
        <v>349</v>
      </c>
      <c r="H471" t="s">
        <v>349</v>
      </c>
      <c r="I471" s="325">
        <f t="shared" si="11"/>
        <v>0.23451923918575063</v>
      </c>
      <c r="J471" s="325"/>
    </row>
    <row r="472" spans="1:10">
      <c r="A472">
        <v>2030</v>
      </c>
      <c r="B472" t="s">
        <v>358</v>
      </c>
      <c r="C472">
        <v>1500</v>
      </c>
      <c r="D472">
        <v>670</v>
      </c>
      <c r="E472">
        <v>1283.43</v>
      </c>
      <c r="F472">
        <v>1</v>
      </c>
      <c r="G472" t="s">
        <v>351</v>
      </c>
      <c r="H472" t="s">
        <v>359</v>
      </c>
      <c r="I472" s="325">
        <f t="shared" si="11"/>
        <v>79.887004571641782</v>
      </c>
      <c r="J472" s="325"/>
    </row>
    <row r="473" spans="1:10">
      <c r="A473">
        <v>2030</v>
      </c>
      <c r="B473" t="s">
        <v>360</v>
      </c>
      <c r="C473">
        <v>400</v>
      </c>
      <c r="D473">
        <v>400</v>
      </c>
      <c r="E473">
        <v>141.83000000000001</v>
      </c>
      <c r="F473">
        <v>1</v>
      </c>
      <c r="G473" t="s">
        <v>361</v>
      </c>
      <c r="H473" t="s">
        <v>362</v>
      </c>
      <c r="I473" s="325">
        <f t="shared" si="11"/>
        <v>14.7872312575</v>
      </c>
      <c r="J473" s="325"/>
    </row>
    <row r="474" spans="1:10">
      <c r="A474">
        <v>2031</v>
      </c>
      <c r="B474" t="s">
        <v>363</v>
      </c>
      <c r="C474">
        <v>0</v>
      </c>
      <c r="D474">
        <v>231</v>
      </c>
      <c r="E474">
        <v>42.11</v>
      </c>
      <c r="F474">
        <v>1</v>
      </c>
      <c r="G474" t="s">
        <v>349</v>
      </c>
      <c r="H474" t="s">
        <v>349</v>
      </c>
      <c r="I474" s="325">
        <f t="shared" si="11"/>
        <v>7.602422731601731</v>
      </c>
      <c r="J474" s="325"/>
    </row>
    <row r="475" spans="1:10">
      <c r="A475">
        <v>2032</v>
      </c>
      <c r="B475" t="s">
        <v>364</v>
      </c>
      <c r="C475">
        <v>0</v>
      </c>
      <c r="D475">
        <v>300</v>
      </c>
      <c r="E475">
        <v>303.12</v>
      </c>
      <c r="F475">
        <v>1</v>
      </c>
      <c r="G475" t="s">
        <v>349</v>
      </c>
      <c r="H475" t="s">
        <v>349</v>
      </c>
      <c r="I475" s="325">
        <f t="shared" si="11"/>
        <v>42.137822640000003</v>
      </c>
      <c r="J475" s="325"/>
    </row>
    <row r="476" spans="1:10">
      <c r="A476">
        <v>2033</v>
      </c>
      <c r="B476" t="s">
        <v>365</v>
      </c>
      <c r="C476">
        <v>0</v>
      </c>
      <c r="D476">
        <v>518</v>
      </c>
      <c r="E476">
        <v>372.32</v>
      </c>
      <c r="F476">
        <v>1</v>
      </c>
      <c r="G476" t="s">
        <v>349</v>
      </c>
      <c r="H476" t="s">
        <v>349</v>
      </c>
      <c r="I476" s="325">
        <f t="shared" si="11"/>
        <v>29.975425698841697</v>
      </c>
      <c r="J476" s="325"/>
    </row>
    <row r="477" spans="1:10">
      <c r="A477">
        <v>2039</v>
      </c>
      <c r="B477" t="s">
        <v>366</v>
      </c>
      <c r="C477">
        <v>1500</v>
      </c>
      <c r="D477">
        <v>670</v>
      </c>
      <c r="E477">
        <v>1463.04</v>
      </c>
      <c r="F477">
        <v>1</v>
      </c>
      <c r="G477" t="s">
        <v>361</v>
      </c>
      <c r="H477" t="s">
        <v>359</v>
      </c>
      <c r="I477" s="325">
        <f t="shared" si="11"/>
        <v>91.06681561791045</v>
      </c>
      <c r="J477" s="325"/>
    </row>
    <row r="478" spans="1:10">
      <c r="A478" t="s">
        <v>367</v>
      </c>
      <c r="C478">
        <v>4250</v>
      </c>
      <c r="D478">
        <v>5404</v>
      </c>
      <c r="E478">
        <v>4169.17</v>
      </c>
      <c r="F478">
        <v>14</v>
      </c>
      <c r="G478" t="s">
        <v>368</v>
      </c>
      <c r="H478" t="s">
        <v>368</v>
      </c>
      <c r="I478" s="325">
        <f t="shared" si="11"/>
        <v>32.174589673760174</v>
      </c>
      <c r="J478" s="325"/>
    </row>
  </sheetData>
  <conditionalFormatting sqref="G464:H478">
    <cfRule type="notContainsBlanks" dxfId="1" priority="1">
      <formula>LEN(TRIM(G464))&gt;0</formula>
    </cfRule>
  </conditionalFormatting>
  <conditionalFormatting sqref="H459:I459">
    <cfRule type="notContainsBlanks" dxfId="0" priority="3">
      <formula>LEN(TRIM(H459))&gt;0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05448-3FE4-476F-9D17-A6A31D5A3ADD}">
  <sheetPr>
    <tabColor rgb="FFCCFFCC"/>
    <pageSetUpPr fitToPage="1"/>
  </sheetPr>
  <dimension ref="B1:AC89"/>
  <sheetViews>
    <sheetView workbookViewId="0">
      <selection activeCell="F5" sqref="F5:F8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4.33203125" style="61" customWidth="1"/>
    <col min="7" max="7" width="18.33203125" style="61" customWidth="1"/>
    <col min="8" max="8" width="9.5" style="61" bestFit="1" customWidth="1"/>
    <col min="9" max="9" width="15.164062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Assumptions'!$E$371:$E$394,'WD_.PX.BDG._.PTC.2029'!$B10-2023,1)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Assumptions'!$E$371:$E$394,'WD_.PX.BDG._.PTC.2029'!$B11-2023,1)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Assumptions'!$E$371:$E$394,'WD_.PX.BDG._.PTC.2029'!$B12-2023,1)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Assumptions'!$E$371:$E$394,'WD_.PX.BDG._.PTC.2029'!$B13-2023,1)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205">
        <f>C14*$C$60</f>
        <v>88.055569992524042</v>
      </c>
      <c r="E14" s="69" cm="1">
        <f t="array" ref="E14">$E$9*INDEX('2025 IRP Assumptions'!$E$371:$E$394,'WD_.PX.BDG._.PTC.2029'!$B14-2023,1)</f>
        <v>35.253578386050002</v>
      </c>
      <c r="F14" s="237"/>
      <c r="G14" s="70">
        <f t="shared" ref="G14:G46" si="1">(D14+E14+F14)/(8.76*$C$61)</f>
        <v>35.357864879567821</v>
      </c>
      <c r="H14" s="69"/>
      <c r="I14" s="69">
        <f t="shared" ref="I14:I23" si="2">-I64</f>
        <v>-47.74</v>
      </c>
      <c r="J14" s="70">
        <f t="shared" ref="J14:J30" si="3">(G14+H14+I14)</f>
        <v>-12.382135120432181</v>
      </c>
      <c r="K14" s="70">
        <f t="shared" ref="K14:K46" si="4">ROUND(J14*$C$61*8.76,2)</f>
        <v>-43.18</v>
      </c>
      <c r="L14" s="69">
        <f t="shared" ref="L14:L30" si="5">(D14+E14+F14)</f>
        <v>123.30914837857404</v>
      </c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/>
      <c r="D15" s="69" cm="1">
        <f t="array" ref="D15">D14*INDEX('2025 IRP Assumptions'!$E$371:$E$394,'WD_.PX.BDG._.PTC.2029'!$B15-2023,1)/INDEX('2025 IRP Assumptions'!$E$371:$E$394,'WD_.PX.BDG._.PTC.2029'!$B15-2023-1,1)</f>
        <v>89.975181371987603</v>
      </c>
      <c r="E15" s="69" cm="1">
        <f t="array" ref="E15">$E$9*INDEX('2025 IRP Assumptions'!$E$371:$E$394,'WD_.PX.BDG._.PTC.2029'!$B15-2023,1)</f>
        <v>36.022106376299995</v>
      </c>
      <c r="F15" s="237"/>
      <c r="G15" s="70">
        <f t="shared" si="1"/>
        <v>36.128666315321581</v>
      </c>
      <c r="H15" s="69"/>
      <c r="I15" s="69">
        <f t="shared" si="2"/>
        <v>-47.74</v>
      </c>
      <c r="J15" s="70">
        <f t="shared" si="3"/>
        <v>-11.611333684678421</v>
      </c>
      <c r="K15" s="70">
        <f t="shared" si="4"/>
        <v>-40.49</v>
      </c>
      <c r="L15" s="69">
        <f>(D15+E15+F15)</f>
        <v>125.99728774828759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Assumptions'!$E$371:$E$394,'WD_.PX.BDG._.PTC.2029'!$B16-2023,1)/INDEX('2025 IRP Assumptions'!$E$371:$E$394,'WD_.PX.BDG._.PTC.2029'!$B16-2023-1,1)</f>
        <v>91.93664032276638</v>
      </c>
      <c r="E16" s="69" cm="1">
        <f t="array" ref="E16">$E$9*INDEX('2025 IRP Assumptions'!$E$371:$E$394,'WD_.PX.BDG._.PTC.2029'!$B16-2023,1)</f>
        <v>36.80738829405</v>
      </c>
      <c r="F16" s="237"/>
      <c r="G16" s="70">
        <f t="shared" si="1"/>
        <v>36.916271239738549</v>
      </c>
      <c r="H16" s="69"/>
      <c r="I16" s="69">
        <f t="shared" si="2"/>
        <v>-49.06</v>
      </c>
      <c r="J16" s="70">
        <f t="shared" si="3"/>
        <v>-12.143728760261453</v>
      </c>
      <c r="K16" s="70">
        <f t="shared" si="4"/>
        <v>-42.35</v>
      </c>
      <c r="L16" s="69">
        <f t="shared" si="5"/>
        <v>128.74402861681637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Assumptions'!$E$371:$E$394,'WD_.PX.BDG._.PTC.2029'!$B17-2023,1)/INDEX('2025 IRP Assumptions'!$E$371:$E$394,'WD_.PX.BDG._.PTC.2029'!$B17-2023-1,1)</f>
        <v>93.940859056299658</v>
      </c>
      <c r="E17" s="69" cm="1">
        <f t="array" ref="E17">$E$9*INDEX('2025 IRP Assumptions'!$E$371:$E$394,'WD_.PX.BDG._.PTC.2029'!$B17-2023,1)</f>
        <v>37.609789348650004</v>
      </c>
      <c r="F17" s="237"/>
      <c r="G17" s="70">
        <f t="shared" si="1"/>
        <v>37.721045942524363</v>
      </c>
      <c r="H17" s="69"/>
      <c r="I17" s="69">
        <f t="shared" si="2"/>
        <v>-50.39</v>
      </c>
      <c r="J17" s="70">
        <f t="shared" si="3"/>
        <v>-12.668954057475638</v>
      </c>
      <c r="K17" s="70">
        <f t="shared" si="4"/>
        <v>-44.18</v>
      </c>
      <c r="L17" s="69">
        <f t="shared" si="5"/>
        <v>131.55064840494967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Assumptions'!$E$371:$E$394,'WD_.PX.BDG._.PTC.2029'!$B18-2023,1)/INDEX('2025 IRP Assumptions'!$E$371:$E$394,'WD_.PX.BDG._.PTC.2029'!$B18-2023-1,1)</f>
        <v>95.988769784849552</v>
      </c>
      <c r="E18" s="69" cm="1">
        <f t="array" ref="E18">$E$9*INDEX('2025 IRP Assumptions'!$E$371:$E$394,'WD_.PX.BDG._.PTC.2029'!$B18-2023,1)</f>
        <v>38.429682756899993</v>
      </c>
      <c r="F18" s="237"/>
      <c r="G18" s="70">
        <f t="shared" si="1"/>
        <v>38.543364744522144</v>
      </c>
      <c r="H18" s="69"/>
      <c r="I18" s="69">
        <f t="shared" si="2"/>
        <v>-50.39</v>
      </c>
      <c r="J18" s="70">
        <f t="shared" si="3"/>
        <v>-11.846635255477857</v>
      </c>
      <c r="K18" s="70">
        <f t="shared" si="4"/>
        <v>-41.31</v>
      </c>
      <c r="L18" s="69">
        <f t="shared" si="5"/>
        <v>134.41845254174956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Assumptions'!$E$371:$E$394,'WD_.PX.BDG._.PTC.2029'!$B19-2023,1)/INDEX('2025 IRP Assumptions'!$E$371:$E$394,'WD_.PX.BDG._.PTC.2029'!$B19-2023-1,1)</f>
        <v>98.081325037719537</v>
      </c>
      <c r="E19" s="69" cm="1">
        <f t="array" ref="E19">$E$9*INDEX('2025 IRP Assumptions'!$E$371:$E$394,'WD_.PX.BDG._.PTC.2029'!$B19-2023,1)</f>
        <v>39.267449869649994</v>
      </c>
      <c r="F19" s="237"/>
      <c r="G19" s="70">
        <f t="shared" si="1"/>
        <v>39.38361012468706</v>
      </c>
      <c r="H19" s="69"/>
      <c r="I19" s="69">
        <f t="shared" si="2"/>
        <v>-51.71</v>
      </c>
      <c r="J19" s="70">
        <f t="shared" si="3"/>
        <v>-12.326389875312941</v>
      </c>
      <c r="K19" s="70">
        <f t="shared" si="4"/>
        <v>-42.99</v>
      </c>
      <c r="L19" s="69">
        <f t="shared" si="5"/>
        <v>137.34877490736955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Assumptions'!$E$371:$E$394,'WD_.PX.BDG._.PTC.2029'!$B20-2023,1)/INDEX('2025 IRP Assumptions'!$E$371:$E$394,'WD_.PX.BDG._.PTC.2029'!$B20-2023-1,1)</f>
        <v>100.21949789841825</v>
      </c>
      <c r="E20" s="69" cm="1">
        <f t="array" ref="E20">$E$9*INDEX('2025 IRP Assumptions'!$E$371:$E$394,'WD_.PX.BDG._.PTC.2029'!$B20-2023,1)</f>
        <v>40.123480266749993</v>
      </c>
      <c r="F20" s="237"/>
      <c r="G20" s="70">
        <f t="shared" si="1"/>
        <v>40.242172815317105</v>
      </c>
      <c r="H20" s="69"/>
      <c r="I20" s="69">
        <f t="shared" si="2"/>
        <v>-53.04</v>
      </c>
      <c r="J20" s="70">
        <f>(G20+H20+I20)</f>
        <v>-12.797827184682895</v>
      </c>
      <c r="K20" s="70">
        <f t="shared" si="4"/>
        <v>-44.63</v>
      </c>
      <c r="L20" s="69">
        <f t="shared" si="5"/>
        <v>140.34297816516823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Assumptions'!$E$371:$E$394,'WD_.PX.BDG._.PTC.2029'!$B21-2023,1)/INDEX('2025 IRP Assumptions'!$E$371:$E$394,'WD_.PX.BDG._.PTC.2029'!$B21-2023-1,1)</f>
        <v>102.40428295331526</v>
      </c>
      <c r="E21" s="69" cm="1">
        <f t="array" ref="E21">$E$9*INDEX('2025 IRP Assumptions'!$E$371:$E$394,'WD_.PX.BDG._.PTC.2029'!$B21-2023,1)</f>
        <v>40.998172136849995</v>
      </c>
      <c r="F21" s="237"/>
      <c r="G21" s="70">
        <f t="shared" si="1"/>
        <v>41.119452182976715</v>
      </c>
      <c r="H21" s="69"/>
      <c r="I21" s="69">
        <f t="shared" si="2"/>
        <v>-54.37</v>
      </c>
      <c r="J21" s="70">
        <f t="shared" si="3"/>
        <v>-13.250547817023282</v>
      </c>
      <c r="K21" s="70">
        <f t="shared" si="4"/>
        <v>-46.21</v>
      </c>
      <c r="L21" s="69">
        <f t="shared" si="5"/>
        <v>143.40245509016526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Assumptions'!$E$371:$E$394,'WD_.PX.BDG._.PTC.2029'!$B22-2023,1)/INDEX('2025 IRP Assumptions'!$E$371:$E$394,'WD_.PX.BDG._.PTC.2029'!$B22-2023-1,1)</f>
        <v>104.63669629164096</v>
      </c>
      <c r="E22" s="69" cm="1">
        <f t="array" ref="E22">$E$9*INDEX('2025 IRP Assumptions'!$E$371:$E$394,'WD_.PX.BDG._.PTC.2029'!$B22-2023,1)</f>
        <v>41.891932277399995</v>
      </c>
      <c r="F22" s="237"/>
      <c r="G22" s="70">
        <f t="shared" si="1"/>
        <v>42.015856228496681</v>
      </c>
      <c r="H22" s="69"/>
      <c r="I22" s="69">
        <f t="shared" si="2"/>
        <v>-55.69</v>
      </c>
      <c r="J22" s="70">
        <f t="shared" si="3"/>
        <v>-13.674143771503317</v>
      </c>
      <c r="K22" s="70">
        <f t="shared" si="4"/>
        <v>-47.69</v>
      </c>
      <c r="L22" s="69">
        <f t="shared" si="5"/>
        <v>146.52862856904096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Assumptions'!$E$371:$E$394,'WD_.PX.BDG._.PTC.2029'!$B23-2023,1)/INDEX('2025 IRP Assumptions'!$E$371:$E$394,'WD_.PX.BDG._.PTC.2029'!$B23-2023-1,1)</f>
        <v>106.91777629603298</v>
      </c>
      <c r="E23" s="69" cm="1">
        <f t="array" ref="E23">$E$9*INDEX('2025 IRP Assumptions'!$E$371:$E$394,'WD_.PX.BDG._.PTC.2029'!$B23-2023,1)</f>
        <v>42.805176411150001</v>
      </c>
      <c r="F23" s="237"/>
      <c r="G23" s="70">
        <f t="shared" si="1"/>
        <v>42.93180190441047</v>
      </c>
      <c r="H23" s="69"/>
      <c r="I23" s="69">
        <f t="shared" si="2"/>
        <v>-55.69</v>
      </c>
      <c r="J23" s="70">
        <f t="shared" si="3"/>
        <v>-12.758198095589528</v>
      </c>
      <c r="K23" s="70">
        <f t="shared" si="4"/>
        <v>-44.49</v>
      </c>
      <c r="L23" s="69">
        <f t="shared" si="5"/>
        <v>149.72295270718297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Assumptions'!$E$371:$E$394,'WD_.PX.BDG._.PTC.2029'!$B24-2023,1)/INDEX('2025 IRP Assumptions'!$E$371:$E$394,'WD_.PX.BDG._.PTC.2029'!$B24-2023-1,1)</f>
        <v>109.24858380064542</v>
      </c>
      <c r="E24" s="69" cm="1">
        <f t="array" ref="E24">$E$9*INDEX('2025 IRP Assumptions'!$E$371:$E$394,'WD_.PX.BDG._.PTC.2029'!$B24-2023,1)</f>
        <v>43.738329249449997</v>
      </c>
      <c r="F24" s="237"/>
      <c r="G24" s="70">
        <f t="shared" si="1"/>
        <v>43.867715178441479</v>
      </c>
      <c r="H24" s="69"/>
      <c r="I24" s="69"/>
      <c r="J24" s="70">
        <f t="shared" si="3"/>
        <v>43.867715178441479</v>
      </c>
      <c r="K24" s="70">
        <f t="shared" si="4"/>
        <v>152.99</v>
      </c>
      <c r="L24" s="69">
        <f t="shared" si="5"/>
        <v>152.98691305009541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Assumptions'!$E$371:$E$394,'WD_.PX.BDG._.PTC.2029'!$B25-2023,1)/INDEX('2025 IRP Assumptions'!$E$371:$E$394,'WD_.PX.BDG._.PTC.2029'!$B25-2023-1,1)</f>
        <v>111.63020296074988</v>
      </c>
      <c r="E25" s="69" cm="1">
        <f t="array" ref="E25">$E$9*INDEX('2025 IRP Assumptions'!$E$371:$E$394,'WD_.PX.BDG._.PTC.2029'!$B25-2023,1)</f>
        <v>44.691824840399995</v>
      </c>
      <c r="F25" s="237"/>
      <c r="G25" s="70">
        <f t="shared" si="1"/>
        <v>44.824031382682875</v>
      </c>
      <c r="H25" s="69"/>
      <c r="I25" s="69"/>
      <c r="J25" s="70">
        <f t="shared" si="3"/>
        <v>44.824031382682875</v>
      </c>
      <c r="K25" s="70">
        <f t="shared" si="4"/>
        <v>156.32</v>
      </c>
      <c r="L25" s="69">
        <f t="shared" si="5"/>
        <v>156.32202780114989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Assumptions'!$E$371:$E$394,'WD_.PX.BDG._.PTC.2029'!$B26-2023,1)/INDEX('2025 IRP Assumptions'!$E$371:$E$394,'WD_.PX.BDG._.PTC.2029'!$B26-2023-1,1)</f>
        <v>114.06374133179006</v>
      </c>
      <c r="E26" s="69" cm="1">
        <f t="array" ref="E26">$E$9*INDEX('2025 IRP Assumptions'!$E$371:$E$394,'WD_.PX.BDG._.PTC.2029'!$B26-2023,1)</f>
        <v>45.666106600499994</v>
      </c>
      <c r="F26" s="237"/>
      <c r="G26" s="70">
        <f t="shared" si="1"/>
        <v>45.801195245341276</v>
      </c>
      <c r="H26" s="69"/>
      <c r="I26" s="69"/>
      <c r="J26" s="70">
        <f t="shared" si="3"/>
        <v>45.801195245341276</v>
      </c>
      <c r="K26" s="70">
        <f t="shared" si="4"/>
        <v>159.72999999999999</v>
      </c>
      <c r="L26" s="69">
        <f t="shared" si="5"/>
        <v>159.72984793229006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Assumptions'!$E$371:$E$394,'WD_.PX.BDG._.PTC.2029'!$B27-2023,1)/INDEX('2025 IRP Assumptions'!$E$371:$E$394,'WD_.PX.BDG._.PTC.2029'!$B27-2023-1,1)</f>
        <v>116.55033089709202</v>
      </c>
      <c r="E27" s="69" cm="1">
        <f t="array" ref="E27">$E$9*INDEX('2025 IRP Assumptions'!$E$371:$E$394,'WD_.PX.BDG._.PTC.2029'!$B27-2023,1)</f>
        <v>46.661627726100001</v>
      </c>
      <c r="F27" s="237"/>
      <c r="G27" s="70">
        <f t="shared" si="1"/>
        <v>46.799661303403873</v>
      </c>
      <c r="H27" s="69"/>
      <c r="I27" s="69"/>
      <c r="J27" s="70">
        <f t="shared" si="3"/>
        <v>46.799661303403873</v>
      </c>
      <c r="K27" s="70">
        <f t="shared" si="4"/>
        <v>163.21</v>
      </c>
      <c r="L27" s="69">
        <f t="shared" si="5"/>
        <v>163.21195862319203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Assumptions'!$E$371:$E$394,'WD_.PX.BDG._.PTC.2029'!$B28-2023,1)/INDEX('2025 IRP Assumptions'!$E$371:$E$394,'WD_.PX.BDG._.PTC.2029'!$B28-2023-1,1)</f>
        <v>119.0911281469189</v>
      </c>
      <c r="E28" s="69" cm="1">
        <f t="array" ref="E28">$E$9*INDEX('2025 IRP Assumptions'!$E$371:$E$394,'WD_.PX.BDG._.PTC.2029'!$B28-2023,1)</f>
        <v>47.678851225049996</v>
      </c>
      <c r="F28" s="237"/>
      <c r="G28" s="70">
        <f t="shared" si="1"/>
        <v>47.819893934382051</v>
      </c>
      <c r="H28" s="69"/>
      <c r="I28" s="69"/>
      <c r="J28" s="70">
        <f t="shared" si="3"/>
        <v>47.819893934382051</v>
      </c>
      <c r="K28" s="70">
        <f t="shared" si="4"/>
        <v>166.77</v>
      </c>
      <c r="L28" s="69">
        <f t="shared" si="5"/>
        <v>166.7699793719689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Assumptions'!$E$371:$E$394,'WD_.PX.BDG._.PTC.2029'!$B29-2023,1)/INDEX('2025 IRP Assumptions'!$E$371:$E$394,'WD_.PX.BDG._.PTC.2029'!$B29-2023-1,1)</f>
        <v>121.68731471090787</v>
      </c>
      <c r="E29" s="69" cm="1">
        <f t="array" ref="E29">$E$9*INDEX('2025 IRP Assumptions'!$E$371:$E$394,'WD_.PX.BDG._.PTC.2029'!$B29-2023,1)</f>
        <v>48.718250169900003</v>
      </c>
      <c r="F29" s="237"/>
      <c r="G29" s="70">
        <f t="shared" si="1"/>
        <v>48.862367610260421</v>
      </c>
      <c r="H29" s="69"/>
      <c r="I29" s="69"/>
      <c r="J29" s="70">
        <f t="shared" si="3"/>
        <v>48.862367610260421</v>
      </c>
      <c r="K29" s="70">
        <f t="shared" si="4"/>
        <v>170.41</v>
      </c>
      <c r="L29" s="69">
        <f t="shared" si="5"/>
        <v>170.40556488080787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Assumptions'!$E$371:$E$394,'WD_.PX.BDG._.PTC.2029'!$B30-2023,1)/INDEX('2025 IRP Assumptions'!$E$371:$E$394,'WD_.PX.BDG._.PTC.2029'!$B30-2023-1,1)</f>
        <v>124.34009822767121</v>
      </c>
      <c r="E30" s="69" cm="1">
        <f t="array" ref="E30">$E$9*INDEX('2025 IRP Assumptions'!$E$371:$E$394,'WD_.PX.BDG._.PTC.2029'!$B30-2023,1)</f>
        <v>49.780308046050003</v>
      </c>
      <c r="F30" s="237"/>
      <c r="G30" s="70">
        <f t="shared" si="1"/>
        <v>49.927567246676681</v>
      </c>
      <c r="H30" s="69"/>
      <c r="I30" s="69"/>
      <c r="J30" s="70">
        <f t="shared" si="3"/>
        <v>49.927567246676681</v>
      </c>
      <c r="K30" s="70">
        <f t="shared" si="4"/>
        <v>174.12</v>
      </c>
      <c r="L30" s="69">
        <f t="shared" si="5"/>
        <v>174.12040627372122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Assumptions'!$E$371:$E$394,'WD_.PX.BDG._.PTC.2029'!$B31-2023,1)/INDEX('2025 IRP Assumptions'!$E$371:$E$394,'WD_.PX.BDG._.PTC.2029'!$B31-2023-1,1)</f>
        <v>127.05071234479628</v>
      </c>
      <c r="E31" s="69" cm="1">
        <f t="array" ref="E31">$E$9*INDEX('2025 IRP Assumptions'!$E$371:$E$394,'WD_.PX.BDG._.PTC.2029'!$B31-2023,1)</f>
        <v>50.865518751749995</v>
      </c>
      <c r="F31" s="237"/>
      <c r="G31" s="70">
        <f t="shared" si="1"/>
        <v>51.015988202921633</v>
      </c>
      <c r="H31" s="69"/>
      <c r="I31" s="69"/>
      <c r="J31" s="70">
        <f>(G31+H31+I31)</f>
        <v>51.015988202921633</v>
      </c>
      <c r="K31" s="70">
        <f t="shared" si="4"/>
        <v>177.92</v>
      </c>
      <c r="L31" s="69">
        <f>(D31+E31+F31)</f>
        <v>177.91623109654628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Assumptions'!$E$371:$E$394,'WD_.PX.BDG._.PTC.2029'!$B32-2023,1)/INDEX('2025 IRP Assumptions'!$E$371:$E$394,'WD_.PX.BDG._.PTC.2029'!$B32-2023-1,1)</f>
        <v>129.82041782561046</v>
      </c>
      <c r="E32" s="69" cm="1">
        <f t="array" ref="E32">$E$9*INDEX('2025 IRP Assumptions'!$E$371:$E$394,'WD_.PX.BDG._.PTC.2029'!$B32-2023,1)</f>
        <v>51.974387041199996</v>
      </c>
      <c r="F32" s="237"/>
      <c r="G32" s="70">
        <f t="shared" si="1"/>
        <v>52.128136726349965</v>
      </c>
      <c r="H32" s="69"/>
      <c r="I32" s="69"/>
      <c r="J32" s="70">
        <f>(G32+H32+I32)</f>
        <v>52.128136726349965</v>
      </c>
      <c r="K32" s="70">
        <f t="shared" si="4"/>
        <v>181.79</v>
      </c>
      <c r="L32" s="69">
        <f>(D32+E32+F32)</f>
        <v>181.79480486681047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4" si="6">D32*D32/D31</f>
        <v>132.65050288485341</v>
      </c>
      <c r="E33" s="232">
        <f t="shared" si="6"/>
        <v>53.107428658938439</v>
      </c>
      <c r="F33" s="237"/>
      <c r="G33" s="70">
        <f t="shared" si="1"/>
        <v>53.264530087166222</v>
      </c>
      <c r="H33" s="69"/>
      <c r="I33" s="69"/>
      <c r="J33" s="70">
        <f>(G33+H33+I33)</f>
        <v>53.264530087166222</v>
      </c>
      <c r="K33" s="70">
        <f t="shared" si="4"/>
        <v>185.76</v>
      </c>
      <c r="L33" s="69">
        <f>(D33+E33+F33)</f>
        <v>185.75793154379184</v>
      </c>
      <c r="P33" s="79"/>
      <c r="Q33" s="70"/>
    </row>
    <row r="34" spans="2:17" ht="15">
      <c r="B34" s="68">
        <f t="shared" si="0"/>
        <v>2049</v>
      </c>
      <c r="C34" s="71"/>
      <c r="D34" s="232">
        <f t="shared" ref="D34" si="7">D33*D33/D32</f>
        <v>135.54228379731191</v>
      </c>
      <c r="E34" s="232">
        <f t="shared" si="6"/>
        <v>54.26517058351282</v>
      </c>
      <c r="F34" s="237"/>
      <c r="G34" s="70">
        <f t="shared" si="1"/>
        <v>54.425696822816249</v>
      </c>
      <c r="H34" s="69"/>
      <c r="I34" s="69"/>
      <c r="J34" s="70">
        <f>(G34+H34+I34)</f>
        <v>54.425696822816249</v>
      </c>
      <c r="K34" s="70">
        <f t="shared" si="4"/>
        <v>189.81</v>
      </c>
      <c r="L34" s="69">
        <f>(D34+E34+F34)</f>
        <v>189.80745438082474</v>
      </c>
      <c r="P34" s="79"/>
      <c r="Q34" s="70"/>
    </row>
    <row r="35" spans="2:17" ht="15">
      <c r="B35" s="68">
        <f t="shared" si="0"/>
        <v>2050</v>
      </c>
      <c r="C35" s="71"/>
      <c r="D35" s="232">
        <f t="shared" ref="D35" si="8">D34*D34/D33</f>
        <v>138.49710553256259</v>
      </c>
      <c r="E35" s="232">
        <f t="shared" ref="E35" si="9">E24*E24/E23</f>
        <v>44.691824819462241</v>
      </c>
      <c r="F35" s="237"/>
      <c r="G35" s="70">
        <f t="shared" si="1"/>
        <v>52.527890525476337</v>
      </c>
      <c r="H35" s="69"/>
      <c r="I35" s="69"/>
      <c r="J35" s="70">
        <f t="shared" ref="J35:J44" si="10">(G35+H35+I35)</f>
        <v>52.527890525476337</v>
      </c>
      <c r="K35" s="70">
        <f t="shared" si="4"/>
        <v>183.19</v>
      </c>
      <c r="L35" s="69">
        <f t="shared" ref="L35:L44" si="11">(D35+E35+F35)</f>
        <v>183.18893035202484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" si="12">D35*D35/D34</f>
        <v>141.51634238051835</v>
      </c>
      <c r="E36" s="232">
        <f t="shared" ref="E36" si="13">E25*E25/E24</f>
        <v>45.666106635522901</v>
      </c>
      <c r="F36" s="237"/>
      <c r="G36" s="70">
        <f t="shared" si="1"/>
        <v>53.672998533868515</v>
      </c>
      <c r="H36" s="69"/>
      <c r="I36" s="69"/>
      <c r="J36" s="70">
        <f t="shared" si="10"/>
        <v>53.672998533868515</v>
      </c>
      <c r="K36" s="70">
        <f t="shared" si="4"/>
        <v>187.18</v>
      </c>
      <c r="L36" s="69">
        <f t="shared" si="11"/>
        <v>187.18244901604126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" si="14">D36*D36/D35</f>
        <v>144.60139859061169</v>
      </c>
      <c r="E37" s="232">
        <f t="shared" ref="E37" si="15">E26*E26/E25</f>
        <v>46.661627702503196</v>
      </c>
      <c r="F37" s="237"/>
      <c r="G37" s="70">
        <f t="shared" si="1"/>
        <v>54.843069869942013</v>
      </c>
      <c r="H37" s="69"/>
      <c r="I37" s="69"/>
      <c r="J37" s="70">
        <f t="shared" si="10"/>
        <v>54.843069869942013</v>
      </c>
      <c r="K37" s="70">
        <f t="shared" si="4"/>
        <v>191.26</v>
      </c>
      <c r="L37" s="69">
        <f t="shared" si="11"/>
        <v>191.26302629311488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" si="16">D37*D37/D36</f>
        <v>147.75370902491221</v>
      </c>
      <c r="E38" s="232">
        <f t="shared" ref="E38" si="17">E27*E27/E26</f>
        <v>47.67885121227534</v>
      </c>
      <c r="F38" s="237"/>
      <c r="G38" s="70">
        <f t="shared" si="1"/>
        <v>56.038648784757626</v>
      </c>
      <c r="H38" s="69"/>
      <c r="I38" s="69"/>
      <c r="J38" s="70">
        <f t="shared" si="10"/>
        <v>56.038648784757626</v>
      </c>
      <c r="K38" s="70">
        <f t="shared" si="4"/>
        <v>195.43</v>
      </c>
      <c r="L38" s="69">
        <f t="shared" si="11"/>
        <v>195.43256023718754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" si="18">D38*D38/D37</f>
        <v>150.97473982548203</v>
      </c>
      <c r="E39" s="232">
        <f t="shared" ref="E39" si="19">E28*E28/E27</f>
        <v>48.718250196593665</v>
      </c>
      <c r="F39" s="237"/>
      <c r="G39" s="70">
        <f t="shared" si="1"/>
        <v>57.260291320155559</v>
      </c>
      <c r="H39" s="69"/>
      <c r="I39" s="69"/>
      <c r="J39" s="70">
        <f t="shared" si="10"/>
        <v>57.260291320155559</v>
      </c>
      <c r="K39" s="70">
        <f t="shared" si="4"/>
        <v>199.69</v>
      </c>
      <c r="L39" s="69">
        <f t="shared" si="11"/>
        <v>199.69299002207569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" si="20">D39*D39/D38</f>
        <v>154.2659890962797</v>
      </c>
      <c r="E40" s="232">
        <f t="shared" ref="E40" si="21">E29*E29/E28</f>
        <v>49.780308011489282</v>
      </c>
      <c r="F40" s="237"/>
      <c r="G40" s="70">
        <f t="shared" si="1"/>
        <v>58.508565643181811</v>
      </c>
      <c r="H40" s="69"/>
      <c r="I40" s="69"/>
      <c r="J40" s="70">
        <f t="shared" si="10"/>
        <v>58.508565643181811</v>
      </c>
      <c r="K40" s="70">
        <f t="shared" si="4"/>
        <v>204.05</v>
      </c>
      <c r="L40" s="69">
        <f t="shared" si="11"/>
        <v>204.04629710776896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" si="22">D40*D40/D39</f>
        <v>157.62898759992947</v>
      </c>
      <c r="E41" s="232">
        <f t="shared" ref="E41" si="23">E30*E30/E29</f>
        <v>50.865518784389401</v>
      </c>
      <c r="F41" s="237"/>
      <c r="G41" s="70">
        <f t="shared" si="1"/>
        <v>59.784052374088631</v>
      </c>
      <c r="H41" s="69"/>
      <c r="I41" s="69"/>
      <c r="J41" s="70">
        <f t="shared" si="10"/>
        <v>59.784052374088631</v>
      </c>
      <c r="K41" s="70">
        <f t="shared" si="4"/>
        <v>208.49</v>
      </c>
      <c r="L41" s="69">
        <f t="shared" si="11"/>
        <v>208.49450638431887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" si="24">D41*D41/D40</f>
        <v>161.06529946968027</v>
      </c>
      <c r="E42" s="232">
        <f t="shared" ref="E42" si="25">E31*E31/E30</f>
        <v>51.974387050622703</v>
      </c>
      <c r="F42" s="237"/>
      <c r="G42" s="70">
        <f t="shared" si="1"/>
        <v>61.087344686253743</v>
      </c>
      <c r="H42" s="69"/>
      <c r="I42" s="69"/>
      <c r="J42" s="70">
        <f t="shared" si="10"/>
        <v>61.087344686253743</v>
      </c>
      <c r="K42" s="70">
        <f t="shared" si="4"/>
        <v>213.04</v>
      </c>
      <c r="L42" s="69">
        <f t="shared" si="11"/>
        <v>213.03968652030298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" si="26">D42*D42/D41</f>
        <v>164.57652293688523</v>
      </c>
      <c r="E43" s="232">
        <f t="shared" ref="E43" si="27">E32*E32/E31</f>
        <v>53.107428658938439</v>
      </c>
      <c r="F43" s="237"/>
      <c r="G43" s="70">
        <f t="shared" si="1"/>
        <v>62.419048774428994</v>
      </c>
      <c r="H43" s="69"/>
      <c r="I43" s="69"/>
      <c r="J43" s="70">
        <f t="shared" si="10"/>
        <v>62.419048774428994</v>
      </c>
      <c r="K43" s="70">
        <f t="shared" si="4"/>
        <v>217.68</v>
      </c>
      <c r="L43" s="69">
        <f t="shared" si="11"/>
        <v>217.68395159582366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" si="28">D43*D43/D42</f>
        <v>168.16429107434033</v>
      </c>
      <c r="E44" s="232">
        <f t="shared" ref="E44" si="29">E33*E33/E32</f>
        <v>54.26517058351282</v>
      </c>
      <c r="F44" s="237"/>
      <c r="G44" s="70">
        <f t="shared" si="1"/>
        <v>63.779784013980965</v>
      </c>
      <c r="H44" s="69"/>
      <c r="I44" s="69"/>
      <c r="J44" s="70">
        <f t="shared" si="10"/>
        <v>63.779784013980965</v>
      </c>
      <c r="K44" s="70">
        <f t="shared" si="4"/>
        <v>222.43</v>
      </c>
      <c r="L44" s="69">
        <f t="shared" si="11"/>
        <v>222.42946165785315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" si="30">D44*D44/D43</f>
        <v>171.83027255582795</v>
      </c>
      <c r="E45" s="232">
        <f>E34*E34/E33</f>
        <v>55.448151281602769</v>
      </c>
      <c r="F45" s="237"/>
      <c r="G45" s="70">
        <f t="shared" si="1"/>
        <v>65.17018328123784</v>
      </c>
      <c r="H45" s="69"/>
      <c r="I45" s="69"/>
      <c r="J45" s="70">
        <f>(G45+H45+I45)</f>
        <v>65.17018328123784</v>
      </c>
      <c r="K45" s="70">
        <f t="shared" si="4"/>
        <v>227.28</v>
      </c>
      <c r="L45" s="69">
        <f>(D45+E45+F45)</f>
        <v>227.27842383743072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" si="31">D45*D45/D44</f>
        <v>175.57617243221827</v>
      </c>
      <c r="E46" s="232">
        <f>E35*E35/E34</f>
        <v>36.807388315855604</v>
      </c>
      <c r="F46" s="237"/>
      <c r="G46" s="70">
        <f t="shared" si="1"/>
        <v>60.899206119865667</v>
      </c>
      <c r="H46" s="69"/>
      <c r="I46" s="69"/>
      <c r="J46" s="70">
        <f>(G46+H46+I46)</f>
        <v>60.899206119865667</v>
      </c>
      <c r="K46" s="70">
        <f t="shared" si="4"/>
        <v>212.38</v>
      </c>
      <c r="L46" s="69">
        <f>(D46+E46+F46)</f>
        <v>212.38356074807388</v>
      </c>
      <c r="P46" s="79"/>
      <c r="Q46" s="70"/>
    </row>
    <row r="47" spans="2:17" ht="15">
      <c r="B47" s="68"/>
      <c r="C47" s="71"/>
      <c r="D47" s="232"/>
      <c r="E47" s="232"/>
      <c r="F47" s="237"/>
      <c r="G47" s="70"/>
      <c r="H47" s="69"/>
      <c r="I47" s="69"/>
      <c r="J47" s="70"/>
      <c r="K47" s="70"/>
      <c r="L47" s="69"/>
      <c r="P47" s="79"/>
      <c r="Q47" s="70"/>
    </row>
    <row r="48" spans="2:17">
      <c r="B48" s="68" t="s">
        <v>304</v>
      </c>
      <c r="F48" s="69"/>
      <c r="J48" s="70">
        <f>-PMT(Discount_Rate,COUNT(J$14:J$43),NPV(Discount_Rate,J$14:J$43))</f>
        <v>16.262279836701236</v>
      </c>
      <c r="K48" s="70">
        <f>-PMT(Discount_Rate,COUNT(K$14:K$43),NPV(Discount_Rate,K$14:K$43))</f>
        <v>56.714985529809908</v>
      </c>
      <c r="L48" s="70">
        <f>-PMT(Discount_Rate,COUNT(L$14:L$43),NPV(Discount_Rate,L$14:L$43))</f>
        <v>154.11560797061091</v>
      </c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2029</v>
      </c>
      <c r="T57" s="156" t="s">
        <v>144</v>
      </c>
    </row>
    <row r="58" spans="2:20">
      <c r="B58"/>
      <c r="C58" s="79">
        <v>0</v>
      </c>
      <c r="D58" s="61" t="s">
        <v>86</v>
      </c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47119</v>
      </c>
      <c r="H64" s="68">
        <f>YEAR(G64)</f>
        <v>2029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166.49135245140059</v>
      </c>
    </row>
    <row r="65" spans="3:10" ht="15">
      <c r="C65" s="233"/>
      <c r="D65" s="105"/>
      <c r="E65" s="214"/>
      <c r="F65" s="238"/>
      <c r="G65" s="233">
        <v>47484</v>
      </c>
      <c r="H65" s="68">
        <f>YEAR(G65)</f>
        <v>2030</v>
      </c>
      <c r="I65" s="69">
        <f>IF($H$62=110%,INDEX('2025 IRP Assumptions'!$E$339:$E$359,MATCH(H65,'2025 IRP Assumptions'!$S$339:$S$359,0),1),INDEX('2025 IRP Assumptions'!$E$307:$E$336,MATCH(H65,'2025 IRP Assumptions'!$S$339:$S$359,0)))</f>
        <v>47.74</v>
      </c>
      <c r="J65" s="79">
        <f t="shared" ref="J65:J73" si="32">I65*(8.76*$C$61)</f>
        <v>166.49135245140059</v>
      </c>
    </row>
    <row r="66" spans="3:10" ht="15">
      <c r="C66" s="233"/>
      <c r="D66" s="105"/>
      <c r="E66" s="214"/>
      <c r="F66" s="238"/>
      <c r="G66" s="233">
        <v>47849</v>
      </c>
      <c r="H66" s="68">
        <f t="shared" ref="H66:H73" si="33">YEAR(G66)</f>
        <v>2031</v>
      </c>
      <c r="I66" s="69">
        <f>IF($H$62=110%,INDEX('2025 IRP Assumptions'!$E$339:$E$359,MATCH(H66,'2025 IRP Assumptions'!$S$339:$S$359,0),1),INDEX('2025 IRP Assumptions'!$E$307:$E$336,MATCH(H66,'2025 IRP Assumptions'!$S$339:$S$359,0)))</f>
        <v>49.06</v>
      </c>
      <c r="J66" s="79">
        <f t="shared" si="32"/>
        <v>171.09479998461904</v>
      </c>
    </row>
    <row r="67" spans="3:10" ht="15">
      <c r="C67" s="233"/>
      <c r="D67" s="105"/>
      <c r="E67" s="214"/>
      <c r="F67" s="238"/>
      <c r="G67" s="233">
        <v>48214</v>
      </c>
      <c r="H67" s="68">
        <f t="shared" si="33"/>
        <v>2032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32"/>
        <v>175.73312212036186</v>
      </c>
    </row>
    <row r="68" spans="3:10" ht="15">
      <c r="C68" s="233"/>
      <c r="D68" s="105"/>
      <c r="E68" s="214"/>
      <c r="F68" s="238"/>
      <c r="G68" s="233">
        <v>48580</v>
      </c>
      <c r="H68" s="68">
        <f t="shared" si="33"/>
        <v>2033</v>
      </c>
      <c r="I68" s="69">
        <f>IF($H$62=110%,INDEX('2025 IRP Assumptions'!$E$339:$E$359,MATCH(H68,'2025 IRP Assumptions'!$S$339:$S$359,0),1),INDEX('2025 IRP Assumptions'!$E$307:$E$336,MATCH(H68,'2025 IRP Assumptions'!$S$339:$S$359,0)))</f>
        <v>50.39</v>
      </c>
      <c r="J68" s="79">
        <f t="shared" si="32"/>
        <v>175.73312212036186</v>
      </c>
    </row>
    <row r="69" spans="3:10" ht="15">
      <c r="C69" s="233"/>
      <c r="D69" s="105"/>
      <c r="E69" s="214"/>
      <c r="F69" s="238"/>
      <c r="G69" s="233">
        <v>48945</v>
      </c>
      <c r="H69" s="68">
        <f t="shared" si="33"/>
        <v>2034</v>
      </c>
      <c r="I69" s="69">
        <f>IF($H$62=110%,INDEX('2025 IRP Assumptions'!$E$339:$E$359,MATCH(H69,'2025 IRP Assumptions'!$S$339:$S$359,0),1),INDEX('2025 IRP Assumptions'!$E$307:$E$336,MATCH(H69,'2025 IRP Assumptions'!$S$339:$S$359,0)))</f>
        <v>51.71</v>
      </c>
      <c r="J69" s="79">
        <f t="shared" si="32"/>
        <v>180.33656965358031</v>
      </c>
    </row>
    <row r="70" spans="3:10" ht="15">
      <c r="C70" s="233"/>
      <c r="D70" s="105"/>
      <c r="E70" s="214"/>
      <c r="F70" s="238"/>
      <c r="G70" s="233">
        <v>49310</v>
      </c>
      <c r="H70" s="68">
        <f t="shared" si="33"/>
        <v>2035</v>
      </c>
      <c r="I70" s="69">
        <f>IF($H$62=110%,INDEX('2025 IRP Assumptions'!$E$339:$E$359,MATCH(H70,'2025 IRP Assumptions'!$S$339:$S$359,0),1),INDEX('2025 IRP Assumptions'!$E$307:$E$336,MATCH(H70,'2025 IRP Assumptions'!$S$339:$S$359,0)))</f>
        <v>53.04</v>
      </c>
      <c r="J70" s="79">
        <f t="shared" si="32"/>
        <v>184.97489178932315</v>
      </c>
    </row>
    <row r="71" spans="3:10" ht="15">
      <c r="C71" s="233"/>
      <c r="D71" s="105"/>
      <c r="E71" s="214"/>
      <c r="F71" s="238"/>
      <c r="G71" s="233">
        <v>49675</v>
      </c>
      <c r="H71" s="68">
        <f t="shared" si="33"/>
        <v>2036</v>
      </c>
      <c r="I71" s="69">
        <f>IF($H$62=110%,INDEX('2025 IRP Assumptions'!$E$339:$E$359,MATCH(H71,'2025 IRP Assumptions'!$S$339:$S$359,0),1),INDEX('2025 IRP Assumptions'!$E$307:$E$336,MATCH(H71,'2025 IRP Assumptions'!$S$339:$S$359,0)))</f>
        <v>54.37</v>
      </c>
      <c r="J71" s="79">
        <f t="shared" si="32"/>
        <v>189.61321392506596</v>
      </c>
    </row>
    <row r="72" spans="3:10" ht="15">
      <c r="C72" s="233"/>
      <c r="D72" s="105"/>
      <c r="E72" s="214"/>
      <c r="F72" s="238"/>
      <c r="G72" s="233">
        <v>50041</v>
      </c>
      <c r="H72" s="68">
        <f t="shared" si="33"/>
        <v>2037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32"/>
        <v>194.21666145828442</v>
      </c>
    </row>
    <row r="73" spans="3:10" ht="15">
      <c r="C73" s="233"/>
      <c r="D73" s="105"/>
      <c r="E73" s="214"/>
      <c r="F73" s="238"/>
      <c r="G73" s="233">
        <v>50406</v>
      </c>
      <c r="H73" s="68">
        <f t="shared" si="33"/>
        <v>2038</v>
      </c>
      <c r="I73" s="69">
        <f>IF($H$62=110%,INDEX('2025 IRP Assumptions'!$E$339:$E$359,MATCH(H73,'2025 IRP Assumptions'!$S$339:$S$359,0),1),INDEX('2025 IRP Assumptions'!$E$307:$E$336,MATCH(H73,'2025 IRP Assumptions'!$S$339:$S$359,0)))</f>
        <v>55.69</v>
      </c>
      <c r="J73" s="79">
        <f t="shared" si="32"/>
        <v>194.21666145828442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300</v>
      </c>
      <c r="I77" s="234"/>
      <c r="J77" s="234">
        <f>-PMT(Real_Discount_Rate,J76,NPV(Discount_Rate,J64:J73))</f>
        <v>75.482004638179404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D2A740F7-215F-48F0-9D26-1C6809B16A07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C8B37-8398-4829-8B69-3A389CA14AAC}">
  <sheetPr>
    <tabColor rgb="FFCCFFCC"/>
    <pageSetUpPr fitToPage="1"/>
  </sheetPr>
  <dimension ref="B1:AC89"/>
  <sheetViews>
    <sheetView workbookViewId="0">
      <selection activeCell="F18" sqref="F18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9.1640625" style="61" customWidth="1"/>
    <col min="7" max="7" width="19.832031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Assumptions'!$E$371:$E$394,'WD_.PX.BDG._.PTC.2030'!$B10-2023,1)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Assumptions'!$E$371:$E$394,'WD_.PX.BDG._.PTC.2030'!$B11-2023,1)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Assumptions'!$E$371:$E$394,'WD_.PX.BDG._.PTC.2030'!$B12-2023,1)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Assumptions'!$E$371:$E$394,'WD_.PX.BDG._.PTC.2030'!$B13-2023,1)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Assumptions'!$E$371:$E$394,'WD_.PX.BDG._.PTC.2030'!$B14-2023,1)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205">
        <f>C15*$C$60</f>
        <v>87.961668799999998</v>
      </c>
      <c r="E15" s="69" cm="1">
        <f t="array" ref="E15">$E$9*INDEX('2025 IRP Assumptions'!$E$371:$E$394,'WD_.PX.BDG._.PTC.2030'!$B15-2023,1)</f>
        <v>36.022106376299995</v>
      </c>
      <c r="F15" s="237"/>
      <c r="G15" s="70">
        <f t="shared" ref="G15:G46" si="1">(D15+E15+F15)/(8.76*$C$61)</f>
        <v>35.551308459965412</v>
      </c>
      <c r="H15" s="69"/>
      <c r="I15" s="69">
        <f>-I64</f>
        <v>-47.74</v>
      </c>
      <c r="J15" s="70">
        <f t="shared" ref="J15:J35" si="2">(G15+H15+I15)</f>
        <v>-12.18869154003459</v>
      </c>
      <c r="K15" s="70">
        <f t="shared" ref="K15:K46" si="3">ROUND(J15*$C$61*8.76,2)</f>
        <v>-42.51</v>
      </c>
      <c r="L15" s="69">
        <f t="shared" ref="L15:L35" si="4">(D15+E15+F15)</f>
        <v>123.98377517629999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Assumptions'!$E$371:$E$394,'WD_.PX.BDG._.PTC.2030'!$B16-2023,1)/INDEX('2025 IRP Assumptions'!$E$371:$E$394,'WD_.PX.BDG._.PTC.2030'!$B16-2023-1,1)</f>
        <v>89.879233176779508</v>
      </c>
      <c r="E16" s="69" cm="1">
        <f t="array" ref="E16">$E$9*INDEX('2025 IRP Assumptions'!$E$371:$E$394,'WD_.PX.BDG._.PTC.2030'!$B16-2023,1)</f>
        <v>36.80738829405</v>
      </c>
      <c r="F16" s="237"/>
      <c r="G16" s="70">
        <f t="shared" si="1"/>
        <v>36.32632698315571</v>
      </c>
      <c r="H16" s="69"/>
      <c r="I16" s="69">
        <f t="shared" ref="I16:I24" si="5">-I65</f>
        <v>-49.06</v>
      </c>
      <c r="J16" s="70">
        <f t="shared" si="2"/>
        <v>-12.733673016844293</v>
      </c>
      <c r="K16" s="70">
        <f t="shared" si="3"/>
        <v>-44.41</v>
      </c>
      <c r="L16" s="69">
        <f t="shared" si="4"/>
        <v>126.68662147082951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Assumptions'!$E$371:$E$394,'WD_.PX.BDG._.PTC.2030'!$B17-2023,1)/INDEX('2025 IRP Assumptions'!$E$371:$E$394,'WD_.PX.BDG._.PTC.2030'!$B17-2023-1,1)</f>
        <v>91.838600435101</v>
      </c>
      <c r="E17" s="69" cm="1">
        <f t="array" ref="E17">$E$9*INDEX('2025 IRP Assumptions'!$E$371:$E$394,'WD_.PX.BDG._.PTC.2030'!$B17-2023,1)</f>
        <v>37.609789348650004</v>
      </c>
      <c r="F17" s="237"/>
      <c r="G17" s="70">
        <f t="shared" si="1"/>
        <v>37.118240901311658</v>
      </c>
      <c r="H17" s="69"/>
      <c r="I17" s="69">
        <f t="shared" si="5"/>
        <v>-50.39</v>
      </c>
      <c r="J17" s="70">
        <f t="shared" si="2"/>
        <v>-13.271759098688342</v>
      </c>
      <c r="K17" s="70">
        <f t="shared" si="3"/>
        <v>-46.28</v>
      </c>
      <c r="L17" s="69">
        <f t="shared" si="4"/>
        <v>129.448389783751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Assumptions'!$E$371:$E$394,'WD_.PX.BDG._.PTC.2030'!$B18-2023,1)/INDEX('2025 IRP Assumptions'!$E$371:$E$394,'WD_.PX.BDG._.PTC.2030'!$B18-2023-1,1)</f>
        <v>93.84068192568364</v>
      </c>
      <c r="E18" s="69" cm="1">
        <f t="array" ref="E18">$E$9*INDEX('2025 IRP Assumptions'!$E$371:$E$394,'WD_.PX.BDG._.PTC.2030'!$B18-2023,1)</f>
        <v>38.429682756899993</v>
      </c>
      <c r="F18" s="237"/>
      <c r="G18" s="70">
        <f t="shared" si="1"/>
        <v>37.927418553403811</v>
      </c>
      <c r="H18" s="69"/>
      <c r="I18" s="69">
        <f t="shared" si="5"/>
        <v>-50.39</v>
      </c>
      <c r="J18" s="70">
        <f t="shared" si="2"/>
        <v>-12.462581446596189</v>
      </c>
      <c r="K18" s="70">
        <f t="shared" si="3"/>
        <v>-43.46</v>
      </c>
      <c r="L18" s="69">
        <f t="shared" si="4"/>
        <v>132.27036468258365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Assumptions'!$E$371:$E$394,'WD_.PX.BDG._.PTC.2030'!$B19-2023,1)/INDEX('2025 IRP Assumptions'!$E$371:$E$394,'WD_.PX.BDG._.PTC.2030'!$B19-2023-1,1)</f>
        <v>95.886408861622385</v>
      </c>
      <c r="E19" s="69" cm="1">
        <f t="array" ref="E19">$E$9*INDEX('2025 IRP Assumptions'!$E$371:$E$394,'WD_.PX.BDG._.PTC.2030'!$B19-2023,1)</f>
        <v>39.267449869649994</v>
      </c>
      <c r="F19" s="237"/>
      <c r="G19" s="70">
        <f t="shared" si="1"/>
        <v>38.754236306143149</v>
      </c>
      <c r="H19" s="69"/>
      <c r="I19" s="69">
        <f t="shared" si="5"/>
        <v>-51.71</v>
      </c>
      <c r="J19" s="70">
        <f t="shared" si="2"/>
        <v>-12.955763693856852</v>
      </c>
      <c r="K19" s="70">
        <f t="shared" si="3"/>
        <v>-45.18</v>
      </c>
      <c r="L19" s="69">
        <f t="shared" si="4"/>
        <v>135.15385873127238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Assumptions'!$E$371:$E$394,'WD_.PX.BDG._.PTC.2030'!$B20-2023,1)/INDEX('2025 IRP Assumptions'!$E$371:$E$394,'WD_.PX.BDG._.PTC.2030'!$B20-2023-1,1)</f>
        <v>97.976732550244421</v>
      </c>
      <c r="E20" s="69" cm="1">
        <f t="array" ref="E20">$E$9*INDEX('2025 IRP Assumptions'!$E$371:$E$394,'WD_.PX.BDG._.PTC.2030'!$B20-2023,1)</f>
        <v>40.123480266749993</v>
      </c>
      <c r="F20" s="237"/>
      <c r="G20" s="70">
        <f t="shared" si="1"/>
        <v>39.599078647690163</v>
      </c>
      <c r="H20" s="69"/>
      <c r="I20" s="69">
        <f t="shared" si="5"/>
        <v>-53.04</v>
      </c>
      <c r="J20" s="70">
        <f t="shared" si="2"/>
        <v>-13.440921352309836</v>
      </c>
      <c r="K20" s="70">
        <f t="shared" si="3"/>
        <v>-46.87</v>
      </c>
      <c r="L20" s="69">
        <f t="shared" si="4"/>
        <v>138.10021281699443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Assumptions'!$E$371:$E$394,'WD_.PX.BDG._.PTC.2030'!$B21-2023,1)/INDEX('2025 IRP Assumptions'!$E$371:$E$394,'WD_.PX.BDG._.PTC.2030'!$B21-2023-1,1)</f>
        <v>100.11262532053532</v>
      </c>
      <c r="E21" s="69" cm="1">
        <f t="array" ref="E21">$E$9*INDEX('2025 IRP Assumptions'!$E$371:$E$394,'WD_.PX.BDG._.PTC.2030'!$B21-2023,1)</f>
        <v>40.998172136849995</v>
      </c>
      <c r="F21" s="237"/>
      <c r="G21" s="70">
        <f t="shared" si="1"/>
        <v>40.462338562490928</v>
      </c>
      <c r="H21" s="69"/>
      <c r="I21" s="69">
        <f t="shared" si="5"/>
        <v>-54.37</v>
      </c>
      <c r="J21" s="70">
        <f t="shared" si="2"/>
        <v>-13.90766143750907</v>
      </c>
      <c r="K21" s="70">
        <f t="shared" si="3"/>
        <v>-48.5</v>
      </c>
      <c r="L21" s="69">
        <f t="shared" si="4"/>
        <v>141.1107974573853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Assumptions'!$E$371:$E$394,'WD_.PX.BDG._.PTC.2030'!$B22-2023,1)/INDEX('2025 IRP Assumptions'!$E$371:$E$394,'WD_.PX.BDG._.PTC.2030'!$B22-2023-1,1)</f>
        <v>102.29508052313903</v>
      </c>
      <c r="E22" s="69" cm="1">
        <f t="array" ref="E22">$E$9*INDEX('2025 IRP Assumptions'!$E$371:$E$394,'WD_.PX.BDG._.PTC.2030'!$B22-2023,1)</f>
        <v>41.891932277399995</v>
      </c>
      <c r="F22" s="237"/>
      <c r="G22" s="70">
        <f t="shared" si="1"/>
        <v>41.344417531277173</v>
      </c>
      <c r="H22" s="69"/>
      <c r="I22" s="69">
        <f t="shared" si="5"/>
        <v>-55.69</v>
      </c>
      <c r="J22" s="70">
        <f t="shared" si="2"/>
        <v>-14.345582468722824</v>
      </c>
      <c r="K22" s="70">
        <f t="shared" si="3"/>
        <v>-50.03</v>
      </c>
      <c r="L22" s="69">
        <f t="shared" si="4"/>
        <v>144.18701280053904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Assumptions'!$E$371:$E$394,'WD_.PX.BDG._.PTC.2030'!$B23-2023,1)/INDEX('2025 IRP Assumptions'!$E$371:$E$394,'WD_.PX.BDG._.PTC.2030'!$B23-2023-1,1)</f>
        <v>104.52511330321302</v>
      </c>
      <c r="E23" s="69" cm="1">
        <f t="array" ref="E23">$E$9*INDEX('2025 IRP Assumptions'!$E$371:$E$394,'WD_.PX.BDG._.PTC.2030'!$B23-2023,1)</f>
        <v>42.805176411150001</v>
      </c>
      <c r="F23" s="237"/>
      <c r="G23" s="70">
        <f t="shared" si="1"/>
        <v>42.245725843429661</v>
      </c>
      <c r="H23" s="69"/>
      <c r="I23" s="69">
        <f t="shared" si="5"/>
        <v>-55.69</v>
      </c>
      <c r="J23" s="70">
        <f t="shared" si="2"/>
        <v>-13.444274156570337</v>
      </c>
      <c r="K23" s="70">
        <f t="shared" si="3"/>
        <v>-46.89</v>
      </c>
      <c r="L23" s="69">
        <f t="shared" si="4"/>
        <v>147.330289714363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Assumptions'!$E$371:$E$394,'WD_.PX.BDG._.PTC.2030'!$B24-2023,1)/INDEX('2025 IRP Assumptions'!$E$371:$E$394,'WD_.PX.BDG._.PTC.2030'!$B24-2023-1,1)</f>
        <v>106.80376075499913</v>
      </c>
      <c r="E24" s="69" cm="1">
        <f t="array" ref="E24">$E$9*INDEX('2025 IRP Assumptions'!$E$371:$E$394,'WD_.PX.BDG._.PTC.2030'!$B24-2023,1)</f>
        <v>43.738329249449997</v>
      </c>
      <c r="F24" s="237"/>
      <c r="G24" s="70">
        <f t="shared" si="1"/>
        <v>43.166682659450899</v>
      </c>
      <c r="H24" s="69"/>
      <c r="I24" s="69">
        <f t="shared" si="5"/>
        <v>-57.02</v>
      </c>
      <c r="J24" s="70">
        <f t="shared" si="2"/>
        <v>-13.853317340549104</v>
      </c>
      <c r="K24" s="70">
        <f t="shared" si="3"/>
        <v>-48.31</v>
      </c>
      <c r="L24" s="69">
        <f t="shared" si="4"/>
        <v>150.54209000444914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Assumptions'!$E$371:$E$394,'WD_.PX.BDG._.PTC.2030'!$B25-2023,1)/INDEX('2025 IRP Assumptions'!$E$371:$E$394,'WD_.PX.BDG._.PTC.2030'!$B25-2023-1,1)</f>
        <v>109.13208277196439</v>
      </c>
      <c r="E25" s="69" cm="1">
        <f t="array" ref="E25">$E$9*INDEX('2025 IRP Assumptions'!$E$371:$E$394,'WD_.PX.BDG._.PTC.2030'!$B25-2023,1)</f>
        <v>44.691824840399995</v>
      </c>
      <c r="F25" s="237"/>
      <c r="G25" s="70">
        <f t="shared" si="1"/>
        <v>44.107716354564936</v>
      </c>
      <c r="H25" s="69"/>
      <c r="I25" s="69"/>
      <c r="J25" s="70">
        <f t="shared" si="2"/>
        <v>44.107716354564936</v>
      </c>
      <c r="K25" s="70">
        <f t="shared" si="3"/>
        <v>153.82</v>
      </c>
      <c r="L25" s="69">
        <f t="shared" si="4"/>
        <v>153.82390761236439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Assumptions'!$E$371:$E$394,'WD_.PX.BDG._.PTC.2030'!$B26-2023,1)/INDEX('2025 IRP Assumptions'!$E$371:$E$394,'WD_.PX.BDG._.PTC.2030'!$B26-2023-1,1)</f>
        <v>111.51116212408637</v>
      </c>
      <c r="E26" s="69" cm="1">
        <f t="array" ref="E26">$E$9*INDEX('2025 IRP Assumptions'!$E$371:$E$394,'WD_.PX.BDG._.PTC.2030'!$B26-2023,1)</f>
        <v>45.666106600499994</v>
      </c>
      <c r="F26" s="237"/>
      <c r="G26" s="70">
        <f t="shared" si="1"/>
        <v>45.069264549953679</v>
      </c>
      <c r="H26" s="69"/>
      <c r="I26" s="69"/>
      <c r="J26" s="70">
        <f t="shared" si="2"/>
        <v>45.069264549953679</v>
      </c>
      <c r="K26" s="70">
        <f t="shared" si="3"/>
        <v>157.18</v>
      </c>
      <c r="L26" s="69">
        <f t="shared" si="4"/>
        <v>157.17726872458636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Assumptions'!$E$371:$E$394,'WD_.PX.BDG._.PTC.2030'!$B27-2023,1)/INDEX('2025 IRP Assumptions'!$E$371:$E$394,'WD_.PX.BDG._.PTC.2030'!$B27-2023-1,1)</f>
        <v>113.94210546256487</v>
      </c>
      <c r="E27" s="69" cm="1">
        <f t="array" ref="E27">$E$9*INDEX('2025 IRP Assumptions'!$E$371:$E$394,'WD_.PX.BDG._.PTC.2030'!$B27-2023,1)</f>
        <v>46.661627726100001</v>
      </c>
      <c r="F27" s="237"/>
      <c r="G27" s="70">
        <f t="shared" si="1"/>
        <v>46.05177451882944</v>
      </c>
      <c r="H27" s="69"/>
      <c r="I27" s="69"/>
      <c r="J27" s="70">
        <f t="shared" si="2"/>
        <v>46.05177451882944</v>
      </c>
      <c r="K27" s="70">
        <f t="shared" si="3"/>
        <v>160.6</v>
      </c>
      <c r="L27" s="69">
        <f t="shared" si="4"/>
        <v>160.60373318866488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Assumptions'!$E$371:$E$394,'WD_.PX.BDG._.PTC.2030'!$B28-2023,1)/INDEX('2025 IRP Assumptions'!$E$371:$E$394,'WD_.PX.BDG._.PTC.2030'!$B28-2023-1,1)</f>
        <v>116.42604339710736</v>
      </c>
      <c r="E28" s="69" cm="1">
        <f t="array" ref="E28">$E$9*INDEX('2025 IRP Assumptions'!$E$371:$E$394,'WD_.PX.BDG._.PTC.2030'!$B28-2023,1)</f>
        <v>47.678851225049996</v>
      </c>
      <c r="F28" s="237"/>
      <c r="G28" s="70">
        <f t="shared" si="1"/>
        <v>47.055703217671152</v>
      </c>
      <c r="H28" s="69"/>
      <c r="I28" s="69"/>
      <c r="J28" s="70">
        <f t="shared" si="2"/>
        <v>47.055703217671152</v>
      </c>
      <c r="K28" s="70">
        <f t="shared" si="3"/>
        <v>164.1</v>
      </c>
      <c r="L28" s="69">
        <f t="shared" si="4"/>
        <v>164.10489462215736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Assumptions'!$E$371:$E$394,'WD_.PX.BDG._.PTC.2030'!$B29-2023,1)/INDEX('2025 IRP Assumptions'!$E$371:$E$394,'WD_.PX.BDG._.PTC.2030'!$B29-2023-1,1)</f>
        <v>118.96413111421316</v>
      </c>
      <c r="E29" s="69" cm="1">
        <f t="array" ref="E29">$E$9*INDEX('2025 IRP Assumptions'!$E$371:$E$394,'WD_.PX.BDG._.PTC.2030'!$B29-2023,1)</f>
        <v>48.718250169900003</v>
      </c>
      <c r="F29" s="237"/>
      <c r="G29" s="70">
        <f t="shared" si="1"/>
        <v>48.08151753611525</v>
      </c>
      <c r="H29" s="69"/>
      <c r="I29" s="69"/>
      <c r="J29" s="70">
        <f t="shared" si="2"/>
        <v>48.08151753611525</v>
      </c>
      <c r="K29" s="70">
        <f t="shared" si="3"/>
        <v>167.68</v>
      </c>
      <c r="L29" s="69">
        <f t="shared" si="4"/>
        <v>167.68238128411315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Assumptions'!$E$371:$E$394,'WD_.PX.BDG._.PTC.2030'!$B30-2023,1)/INDEX('2025 IRP Assumptions'!$E$371:$E$394,'WD_.PX.BDG._.PTC.2030'!$B30-2023-1,1)</f>
        <v>121.5575492273139</v>
      </c>
      <c r="E30" s="69" cm="1">
        <f t="array" ref="E30">$E$9*INDEX('2025 IRP Assumptions'!$E$371:$E$394,'WD_.PX.BDG._.PTC.2030'!$B30-2023,1)</f>
        <v>49.780308046050003</v>
      </c>
      <c r="F30" s="237"/>
      <c r="G30" s="70">
        <f t="shared" si="1"/>
        <v>49.129694640555385</v>
      </c>
      <c r="H30" s="69"/>
      <c r="I30" s="69"/>
      <c r="J30" s="70">
        <f t="shared" si="2"/>
        <v>49.129694640555385</v>
      </c>
      <c r="K30" s="70">
        <f t="shared" si="3"/>
        <v>171.34</v>
      </c>
      <c r="L30" s="69">
        <f t="shared" si="4"/>
        <v>171.33785727336391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Assumptions'!$E$371:$E$394,'WD_.PX.BDG._.PTC.2030'!$B31-2023,1)/INDEX('2025 IRP Assumptions'!$E$371:$E$394,'WD_.PX.BDG._.PTC.2030'!$B31-2023-1,1)</f>
        <v>124.20750377677359</v>
      </c>
      <c r="E31" s="69" cm="1">
        <f t="array" ref="E31">$E$9*INDEX('2025 IRP Assumptions'!$E$371:$E$394,'WD_.PX.BDG._.PTC.2030'!$B31-2023,1)</f>
        <v>50.865518751749995</v>
      </c>
      <c r="F31" s="237"/>
      <c r="G31" s="70">
        <f t="shared" si="1"/>
        <v>50.200721974142418</v>
      </c>
      <c r="H31" s="69"/>
      <c r="I31" s="69"/>
      <c r="J31" s="70">
        <f t="shared" si="2"/>
        <v>50.200721974142418</v>
      </c>
      <c r="K31" s="70">
        <f t="shared" si="3"/>
        <v>175.07</v>
      </c>
      <c r="L31" s="69">
        <f t="shared" si="4"/>
        <v>175.07302252852358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Assumptions'!$E$371:$E$394,'WD_.PX.BDG._.PTC.2030'!$B32-2023,1)/INDEX('2025 IRP Assumptions'!$E$371:$E$394,'WD_.PX.BDG._.PTC.2030'!$B32-2023-1,1)</f>
        <v>126.9152273118858</v>
      </c>
      <c r="E32" s="69" cm="1">
        <f t="array" ref="E32">$E$9*INDEX('2025 IRP Assumptions'!$E$371:$E$394,'WD_.PX.BDG._.PTC.2030'!$B32-2023,1)</f>
        <v>51.974387041199996</v>
      </c>
      <c r="F32" s="237"/>
      <c r="G32" s="70">
        <f t="shared" si="1"/>
        <v>51.295097694093315</v>
      </c>
      <c r="H32" s="69"/>
      <c r="I32" s="69"/>
      <c r="J32" s="70">
        <f t="shared" si="2"/>
        <v>51.295097694093315</v>
      </c>
      <c r="K32" s="70">
        <f t="shared" si="3"/>
        <v>178.89</v>
      </c>
      <c r="L32" s="69">
        <f t="shared" si="4"/>
        <v>178.88961435308579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129.68197921903402</v>
      </c>
      <c r="E33" s="232">
        <f t="shared" si="6"/>
        <v>53.107428658938439</v>
      </c>
      <c r="F33" s="237"/>
      <c r="G33" s="70">
        <f t="shared" si="1"/>
        <v>52.413330804323074</v>
      </c>
      <c r="H33" s="69"/>
      <c r="I33" s="69"/>
      <c r="J33" s="70">
        <f t="shared" si="2"/>
        <v>52.413330804323074</v>
      </c>
      <c r="K33" s="70">
        <f t="shared" si="3"/>
        <v>182.79</v>
      </c>
      <c r="L33" s="69">
        <f t="shared" si="4"/>
        <v>182.78940787797245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132.50904631670619</v>
      </c>
      <c r="E34" s="232">
        <f t="shared" si="6"/>
        <v>54.26517058351282</v>
      </c>
      <c r="F34" s="237"/>
      <c r="G34" s="70">
        <f t="shared" si="1"/>
        <v>53.555941395930716</v>
      </c>
      <c r="H34" s="69"/>
      <c r="I34" s="69"/>
      <c r="J34" s="70">
        <f t="shared" si="2"/>
        <v>53.555941395930716</v>
      </c>
      <c r="K34" s="70">
        <f t="shared" si="3"/>
        <v>186.77</v>
      </c>
      <c r="L34" s="69">
        <f t="shared" si="4"/>
        <v>186.77421690021902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135.39774347603282</v>
      </c>
      <c r="E35" s="232">
        <f t="shared" si="6"/>
        <v>55.448151281602769</v>
      </c>
      <c r="F35" s="237"/>
      <c r="G35" s="70">
        <f t="shared" si="1"/>
        <v>54.723460898001001</v>
      </c>
      <c r="H35" s="69"/>
      <c r="I35" s="69"/>
      <c r="J35" s="70">
        <f t="shared" si="2"/>
        <v>54.723460898001001</v>
      </c>
      <c r="K35" s="70">
        <f t="shared" si="3"/>
        <v>190.85</v>
      </c>
      <c r="L35" s="69">
        <f t="shared" si="4"/>
        <v>190.84589475763559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138.34941423233451</v>
      </c>
      <c r="E36" s="232">
        <f t="shared" si="7"/>
        <v>56.656920958461328</v>
      </c>
      <c r="F36" s="237"/>
      <c r="G36" s="70">
        <f t="shared" si="1"/>
        <v>55.916432324772536</v>
      </c>
      <c r="H36" s="69"/>
      <c r="I36" s="69"/>
      <c r="J36" s="70">
        <f t="shared" ref="J36:J46" si="8">(G36+H36+I36)</f>
        <v>55.916432324772536</v>
      </c>
      <c r="K36" s="70">
        <f t="shared" si="3"/>
        <v>195.01</v>
      </c>
      <c r="L36" s="69">
        <f t="shared" ref="L36:L46" si="9">(D36+E36+F36)</f>
        <v>195.00633519079582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141.36543141000141</v>
      </c>
      <c r="E37" s="232">
        <f t="shared" si="10"/>
        <v>57.892041813815851</v>
      </c>
      <c r="F37" s="237"/>
      <c r="G37" s="70">
        <f t="shared" si="1"/>
        <v>57.135410528194157</v>
      </c>
      <c r="H37" s="69"/>
      <c r="I37" s="69"/>
      <c r="J37" s="70">
        <f t="shared" si="8"/>
        <v>57.135410528194157</v>
      </c>
      <c r="K37" s="70">
        <f t="shared" si="3"/>
        <v>199.26</v>
      </c>
      <c r="L37" s="69">
        <f t="shared" si="9"/>
        <v>199.25747322381727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144.44719776099481</v>
      </c>
      <c r="E38" s="232">
        <f t="shared" si="11"/>
        <v>59.154088303347535</v>
      </c>
      <c r="F38" s="237"/>
      <c r="G38" s="70">
        <f t="shared" si="1"/>
        <v>58.380962455986918</v>
      </c>
      <c r="H38" s="69"/>
      <c r="I38" s="69"/>
      <c r="J38" s="70">
        <f t="shared" si="8"/>
        <v>58.380962455986918</v>
      </c>
      <c r="K38" s="70">
        <f t="shared" si="3"/>
        <v>203.6</v>
      </c>
      <c r="L38" s="69">
        <f t="shared" si="9"/>
        <v>203.60128606434233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147.59614661726823</v>
      </c>
      <c r="E39" s="232">
        <f t="shared" si="12"/>
        <v>60.443647405871204</v>
      </c>
      <c r="F39" s="237"/>
      <c r="G39" s="70">
        <f t="shared" si="1"/>
        <v>59.653667415332038</v>
      </c>
      <c r="H39" s="69"/>
      <c r="I39" s="69"/>
      <c r="J39" s="70">
        <f t="shared" si="8"/>
        <v>59.653667415332038</v>
      </c>
      <c r="K39" s="70">
        <f t="shared" si="3"/>
        <v>208.04</v>
      </c>
      <c r="L39" s="69">
        <f t="shared" si="9"/>
        <v>208.03979402313945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150.81374255741125</v>
      </c>
      <c r="E40" s="232">
        <f t="shared" si="13"/>
        <v>61.761318896339617</v>
      </c>
      <c r="F40" s="237"/>
      <c r="G40" s="70">
        <f t="shared" si="1"/>
        <v>60.954117342307015</v>
      </c>
      <c r="H40" s="69"/>
      <c r="I40" s="69"/>
      <c r="J40" s="70">
        <f t="shared" si="8"/>
        <v>60.954117342307015</v>
      </c>
      <c r="K40" s="70">
        <f t="shared" si="3"/>
        <v>212.58</v>
      </c>
      <c r="L40" s="69">
        <f t="shared" si="9"/>
        <v>212.57506145375086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154.1014820878261</v>
      </c>
      <c r="E41" s="232">
        <f t="shared" si="14"/>
        <v>63.10771562479929</v>
      </c>
      <c r="F41" s="237"/>
      <c r="G41" s="70">
        <f t="shared" si="1"/>
        <v>62.282917077195641</v>
      </c>
      <c r="H41" s="69"/>
      <c r="I41" s="69"/>
      <c r="J41" s="70">
        <f t="shared" si="8"/>
        <v>62.282917077195641</v>
      </c>
      <c r="K41" s="70">
        <f t="shared" si="3"/>
        <v>217.21</v>
      </c>
      <c r="L41" s="69">
        <f t="shared" si="9"/>
        <v>217.20919771262538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157.46089433875406</v>
      </c>
      <c r="E42" s="232">
        <f t="shared" si="15"/>
        <v>64.483463801427504</v>
      </c>
      <c r="F42" s="237"/>
      <c r="G42" s="70">
        <f t="shared" si="1"/>
        <v>63.640684645799659</v>
      </c>
      <c r="H42" s="69"/>
      <c r="I42" s="69"/>
      <c r="J42" s="70">
        <f t="shared" si="8"/>
        <v>63.640684645799659</v>
      </c>
      <c r="K42" s="70">
        <f t="shared" si="3"/>
        <v>221.94</v>
      </c>
      <c r="L42" s="69">
        <f t="shared" si="9"/>
        <v>221.94435814018158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160.89354177547506</v>
      </c>
      <c r="E43" s="232">
        <f t="shared" si="16"/>
        <v>65.889203287783189</v>
      </c>
      <c r="F43" s="237"/>
      <c r="G43" s="70">
        <f t="shared" si="1"/>
        <v>65.028051546883034</v>
      </c>
      <c r="H43" s="69"/>
      <c r="I43" s="69"/>
      <c r="J43" s="70">
        <f t="shared" si="8"/>
        <v>65.028051546883034</v>
      </c>
      <c r="K43" s="70">
        <f t="shared" si="3"/>
        <v>226.78</v>
      </c>
      <c r="L43" s="69">
        <f t="shared" si="9"/>
        <v>226.78274506325823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164.40102092501155</v>
      </c>
      <c r="E44" s="232">
        <f t="shared" si="17"/>
        <v>67.325587894406993</v>
      </c>
      <c r="F44" s="237"/>
      <c r="G44" s="70">
        <f t="shared" si="1"/>
        <v>66.445663045882583</v>
      </c>
      <c r="H44" s="69"/>
      <c r="I44" s="69"/>
      <c r="J44" s="70">
        <f t="shared" si="8"/>
        <v>66.445663045882583</v>
      </c>
      <c r="K44" s="70">
        <f t="shared" si="3"/>
        <v>231.73</v>
      </c>
      <c r="L44" s="69">
        <f t="shared" si="9"/>
        <v>231.72660881941854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5" si="18">D44*D44/D43</f>
        <v>167.98496311867447</v>
      </c>
      <c r="E45" s="232">
        <f t="shared" si="18"/>
        <v>68.793285684909108</v>
      </c>
      <c r="F45" s="237"/>
      <c r="G45" s="70">
        <f t="shared" si="1"/>
        <v>67.894178475021377</v>
      </c>
      <c r="H45" s="69"/>
      <c r="I45" s="69"/>
      <c r="J45" s="70">
        <f t="shared" si="8"/>
        <v>67.894178475021377</v>
      </c>
      <c r="K45" s="70">
        <f t="shared" si="3"/>
        <v>236.78</v>
      </c>
      <c r="L45" s="69">
        <f t="shared" si="9"/>
        <v>236.77824880358358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:E46" si="19">D45*D45/D44</f>
        <v>171.6470352507967</v>
      </c>
      <c r="E46" s="232">
        <f t="shared" si="19"/>
        <v>70.292979286686176</v>
      </c>
      <c r="F46" s="237"/>
      <c r="G46" s="70">
        <f t="shared" si="1"/>
        <v>69.37427153996471</v>
      </c>
      <c r="H46" s="69"/>
      <c r="I46" s="69"/>
      <c r="J46" s="70">
        <f t="shared" si="8"/>
        <v>69.37427153996471</v>
      </c>
      <c r="K46" s="70">
        <f t="shared" si="3"/>
        <v>241.94</v>
      </c>
      <c r="L46" s="69">
        <f t="shared" si="9"/>
        <v>241.94001453748288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F48" s="69">
        <f>NPV(Discount_Rate,F15:F44)</f>
        <v>0</v>
      </c>
      <c r="G48" s="70"/>
      <c r="H48" s="69"/>
      <c r="I48" s="69"/>
      <c r="J48" s="70">
        <f>-PMT(Discount_Rate,COUNT(J$15:J$44),NPV(Discount_Rate,J$15:J$44))</f>
        <v>16.472650892831638</v>
      </c>
      <c r="K48" s="70">
        <f>-PMT(Discount_Rate,COUNT(K$15:K$44),NPV(Discount_Rate,K$15:K$44))</f>
        <v>57.448062202430926</v>
      </c>
      <c r="L48" s="70">
        <f>-PMT(Discount_Rate,COUNT(L$15:L$44),NPV(Discount_Rate,L$15:L$44))</f>
        <v>156.57463760784563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2030</v>
      </c>
      <c r="T57" s="156" t="s">
        <v>144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47484</v>
      </c>
      <c r="H64" s="68">
        <f>YEAR(G64)</f>
        <v>2030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166.49135245140059</v>
      </c>
    </row>
    <row r="65" spans="3:10" ht="15">
      <c r="C65" s="233"/>
      <c r="D65" s="105"/>
      <c r="E65" s="214"/>
      <c r="F65" s="238"/>
      <c r="G65" s="233">
        <v>47849</v>
      </c>
      <c r="H65" s="68">
        <f>YEAR(G65)</f>
        <v>2031</v>
      </c>
      <c r="I65" s="69">
        <f>IF($H$62=110%,INDEX('2025 IRP Assumptions'!$E$339:$E$359,MATCH(H65,'2025 IRP Assumptions'!$S$339:$S$359,0),1),INDEX('2025 IRP Assumptions'!$E$307:$E$336,MATCH(H65,'2025 IRP Assumptions'!$S$339:$S$359,0)))</f>
        <v>49.06</v>
      </c>
      <c r="J65" s="79">
        <f t="shared" ref="J65:J73" si="20">I65*(8.76*$C$61)</f>
        <v>171.09479998461904</v>
      </c>
    </row>
    <row r="66" spans="3:10" ht="15">
      <c r="C66" s="233"/>
      <c r="D66" s="105"/>
      <c r="E66" s="214"/>
      <c r="F66" s="238"/>
      <c r="G66" s="233">
        <v>48214</v>
      </c>
      <c r="H66" s="68">
        <f t="shared" ref="H66:H73" si="21">YEAR(G66)</f>
        <v>2032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0"/>
        <v>175.73312212036186</v>
      </c>
    </row>
    <row r="67" spans="3:10" ht="15">
      <c r="C67" s="233"/>
      <c r="D67" s="105"/>
      <c r="E67" s="214"/>
      <c r="F67" s="238"/>
      <c r="G67" s="233">
        <v>48580</v>
      </c>
      <c r="H67" s="68">
        <f t="shared" si="21"/>
        <v>2033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0"/>
        <v>175.73312212036186</v>
      </c>
    </row>
    <row r="68" spans="3:10" ht="15">
      <c r="C68" s="233"/>
      <c r="D68" s="105"/>
      <c r="E68" s="214"/>
      <c r="F68" s="238"/>
      <c r="G68" s="233">
        <v>48945</v>
      </c>
      <c r="H68" s="68">
        <f t="shared" si="21"/>
        <v>2034</v>
      </c>
      <c r="I68" s="69">
        <f>IF($H$62=110%,INDEX('2025 IRP Assumptions'!$E$339:$E$359,MATCH(H68,'2025 IRP Assumptions'!$S$339:$S$359,0),1),INDEX('2025 IRP Assumptions'!$E$307:$E$336,MATCH(H68,'2025 IRP Assumptions'!$S$339:$S$359,0)))</f>
        <v>51.71</v>
      </c>
      <c r="J68" s="79">
        <f t="shared" si="20"/>
        <v>180.33656965358031</v>
      </c>
    </row>
    <row r="69" spans="3:10" ht="15">
      <c r="C69" s="233"/>
      <c r="D69" s="105"/>
      <c r="E69" s="214"/>
      <c r="F69" s="238"/>
      <c r="G69" s="233">
        <v>49310</v>
      </c>
      <c r="H69" s="68">
        <f t="shared" si="21"/>
        <v>2035</v>
      </c>
      <c r="I69" s="69">
        <f>IF($H$62=110%,INDEX('2025 IRP Assumptions'!$E$339:$E$359,MATCH(H69,'2025 IRP Assumptions'!$S$339:$S$359,0),1),INDEX('2025 IRP Assumptions'!$E$307:$E$336,MATCH(H69,'2025 IRP Assumptions'!$S$339:$S$359,0)))</f>
        <v>53.04</v>
      </c>
      <c r="J69" s="79">
        <f t="shared" si="20"/>
        <v>184.97489178932315</v>
      </c>
    </row>
    <row r="70" spans="3:10" ht="15">
      <c r="C70" s="233"/>
      <c r="D70" s="105"/>
      <c r="E70" s="214"/>
      <c r="F70" s="238"/>
      <c r="G70" s="233">
        <v>49675</v>
      </c>
      <c r="H70" s="68">
        <f t="shared" si="21"/>
        <v>2036</v>
      </c>
      <c r="I70" s="69">
        <f>IF($H$62=110%,INDEX('2025 IRP Assumptions'!$E$339:$E$359,MATCH(H70,'2025 IRP Assumptions'!$S$339:$S$359,0),1),INDEX('2025 IRP Assumptions'!$E$307:$E$336,MATCH(H70,'2025 IRP Assumptions'!$S$339:$S$359,0)))</f>
        <v>54.37</v>
      </c>
      <c r="J70" s="79">
        <f t="shared" si="20"/>
        <v>189.61321392506596</v>
      </c>
    </row>
    <row r="71" spans="3:10" ht="15">
      <c r="C71" s="233"/>
      <c r="D71" s="105"/>
      <c r="E71" s="214"/>
      <c r="F71" s="238"/>
      <c r="G71" s="233">
        <v>50041</v>
      </c>
      <c r="H71" s="68">
        <f t="shared" si="21"/>
        <v>2037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0"/>
        <v>194.21666145828442</v>
      </c>
    </row>
    <row r="72" spans="3:10" ht="15">
      <c r="C72" s="233"/>
      <c r="D72" s="105"/>
      <c r="E72" s="214"/>
      <c r="F72" s="238"/>
      <c r="G72" s="233">
        <v>50406</v>
      </c>
      <c r="H72" s="68">
        <f t="shared" si="21"/>
        <v>2038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0"/>
        <v>194.21666145828442</v>
      </c>
    </row>
    <row r="73" spans="3:10" ht="15">
      <c r="C73" s="233"/>
      <c r="D73" s="105"/>
      <c r="E73" s="214"/>
      <c r="F73" s="238"/>
      <c r="G73" s="233">
        <v>50771</v>
      </c>
      <c r="H73" s="68">
        <f t="shared" si="21"/>
        <v>2039</v>
      </c>
      <c r="I73" s="69">
        <f>IF($H$62=110%,INDEX('2025 IRP Assumptions'!$E$339:$E$359,MATCH(H73,'2025 IRP Assumptions'!$S$339:$S$359,0),1),INDEX('2025 IRP Assumptions'!$E$307:$E$336,MATCH(H73,'2025 IRP Assumptions'!$S$339:$S$359,0)))</f>
        <v>57.02</v>
      </c>
      <c r="J73" s="79">
        <f t="shared" si="20"/>
        <v>198.85498359402726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306</v>
      </c>
      <c r="I77" s="234"/>
      <c r="J77" s="234">
        <f>-PMT(Real_Discount_Rate,J76,NPV(Discount_Rate,J64:J73))</f>
        <v>76.819091181512249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3722A454-B678-4F2C-858B-466D30682BC9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12</vt:i4>
      </vt:variant>
    </vt:vector>
  </HeadingPairs>
  <TitlesOfParts>
    <vt:vector size="30" baseType="lpstr">
      <vt:lpstr>Appendix E.2</vt:lpstr>
      <vt:lpstr>Table 1</vt:lpstr>
      <vt:lpstr>Table 2</vt:lpstr>
      <vt:lpstr>Table 4</vt:lpstr>
      <vt:lpstr>Table 5</vt:lpstr>
      <vt:lpstr>Table3Compare</vt:lpstr>
      <vt:lpstr>2025 IRP Assumptions</vt:lpstr>
      <vt:lpstr>WD_.PX.BDG._.PTC.2029</vt:lpstr>
      <vt:lpstr>WD_.PX.BDG._.PTC.2030</vt:lpstr>
      <vt:lpstr>WD_.PX.BDG._.PTC.2031</vt:lpstr>
      <vt:lpstr>WD_.PX.DJW._.PTC.2029</vt:lpstr>
      <vt:lpstr>WD_.PX.DJW._.PTC.2030</vt:lpstr>
      <vt:lpstr>WD_.PX.DJW._.PTC.2031</vt:lpstr>
      <vt:lpstr>Table 3 PV_.PX.NTN._.PTC.2031</vt:lpstr>
      <vt:lpstr>PV_.PX.BDG._.PTC.2031</vt:lpstr>
      <vt:lpstr>PV_.PX.HTG._.PTC.2031</vt:lpstr>
      <vt:lpstr>PV_.PX.UTS._.PTC.2031</vt:lpstr>
      <vt:lpstr>GSC.PX.BDG._.___.Frame 2030</vt:lpstr>
      <vt:lpstr>Discount_Rate</vt:lpstr>
      <vt:lpstr>Inflation</vt:lpstr>
      <vt:lpstr>'Appendix E.2'!Print_Area</vt:lpstr>
      <vt:lpstr>PV_.PX.BDG._.PTC.2031!Print_Area</vt:lpstr>
      <vt:lpstr>PV_.PX.HTG._.PTC.2031!Print_Area</vt:lpstr>
      <vt:lpstr>PV_.PX.UTS._.PTC.2031!Print_Area</vt:lpstr>
      <vt:lpstr>'Table 1'!Print_Area</vt:lpstr>
      <vt:lpstr>'Table 3 PV_.PX.NTN._.PTC.2031'!Print_Area</vt:lpstr>
      <vt:lpstr>'Table 5'!Print_Area</vt:lpstr>
      <vt:lpstr>Real_Discount_Rate</vt:lpstr>
      <vt:lpstr>Study_CF</vt:lpstr>
      <vt:lpstr>Study_MW</vt:lpstr>
    </vt:vector>
  </TitlesOfParts>
  <Company>PacifiCorp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PacifiCorp</dc:creator>
  <cp:lastModifiedBy>Fred Nass</cp:lastModifiedBy>
  <cp:lastPrinted>2024-04-30T20:43:04Z</cp:lastPrinted>
  <dcterms:created xsi:type="dcterms:W3CDTF">2001-03-19T15:45:46Z</dcterms:created>
  <dcterms:modified xsi:type="dcterms:W3CDTF">2025-12-30T20:01:54Z</dcterms:modified>
</cp:coreProperties>
</file>