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B6C9FF9A-408E-467C-AA94-B9BD0D7B0B25}" xr6:coauthVersionLast="47" xr6:coauthVersionMax="47" xr10:uidLastSave="{00000000-0000-0000-0000-000000000000}"/>
  <bookViews>
    <workbookView xWindow="1500" yWindow="855" windowWidth="25020" windowHeight="19845" xr2:uid="{5A82BEF7-7F4B-4747-B172-E2839BACFFB0}"/>
  </bookViews>
  <sheets>
    <sheet name="Table 1" sheetId="25" r:id="rId1"/>
    <sheet name="Table 2" sheetId="66" r:id="rId2"/>
    <sheet name="Table 4" sheetId="28" r:id="rId3"/>
    <sheet name="Table 5" sheetId="31" r:id="rId4"/>
    <sheet name="Table3Compare" sheetId="131" state="hidden" r:id="rId5"/>
    <sheet name="WD_.PX.DJW._.PTC.2028" sheetId="139" state="hidden" r:id="rId6"/>
    <sheet name="WD_.PX.DJW._.PTC.2029" sheetId="176" state="hidden" r:id="rId7"/>
    <sheet name="2025 IRP Assumptions" sheetId="167" state="hidden" r:id="rId8"/>
    <sheet name="Table 3 PV_.PX.WMV._.PTC.2032" sheetId="181" state="hidden" r:id="rId9"/>
    <sheet name="Table 3 TransCost" sheetId="47" state="hidden" r:id="rId10"/>
    <sheet name="WD_.PX.WMV._.PTC.2032" sheetId="177" state="hidden" r:id="rId11"/>
    <sheet name="PV_.PX.WMV._.PTC.2036" sheetId="182" state="hidden" r:id="rId12"/>
    <sheet name="PV_.PX.YAK._.PTC.2032" sheetId="192" state="hidden" r:id="rId13"/>
  </sheets>
  <definedNames>
    <definedName name="_xlnm._FilterDatabase" localSheetId="4" hidden="1">Table3Compare!$A$54:$V$58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localSheetId="1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5" hidden="1">{"PRINT",#N/A,TRUE,"APPA";"PRINT",#N/A,TRUE,"APS";"PRINT",#N/A,TRUE,"BHPL";"PRINT",#N/A,TRUE,"BHPL2";"PRINT",#N/A,TRUE,"CDWR";"PRINT",#N/A,TRUE,"EWEB";"PRINT",#N/A,TRUE,"LADWP";"PRINT",#N/A,TRUE,"NEVBASE"}</definedName>
    <definedName name="_j1" localSheetId="6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localSheetId="1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5" hidden="1">{"PRINT",#N/A,TRUE,"APPA";"PRINT",#N/A,TRUE,"APS";"PRINT",#N/A,TRUE,"BHPL";"PRINT",#N/A,TRUE,"BHPL2";"PRINT",#N/A,TRUE,"CDWR";"PRINT",#N/A,TRUE,"EWEB";"PRINT",#N/A,TRUE,"LADWP";"PRINT",#N/A,TRUE,"NEVBASE"}</definedName>
    <definedName name="_j2" localSheetId="6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localSheetId="1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5" hidden="1">{"PRINT",#N/A,TRUE,"APPA";"PRINT",#N/A,TRUE,"APS";"PRINT",#N/A,TRUE,"BHPL";"PRINT",#N/A,TRUE,"BHPL2";"PRINT",#N/A,TRUE,"CDWR";"PRINT",#N/A,TRUE,"EWEB";"PRINT",#N/A,TRUE,"LADWP";"PRINT",#N/A,TRUE,"NEVBASE"}</definedName>
    <definedName name="_j3" localSheetId="6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localSheetId="1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5" hidden="1">{"PRINT",#N/A,TRUE,"APPA";"PRINT",#N/A,TRUE,"APS";"PRINT",#N/A,TRUE,"BHPL";"PRINT",#N/A,TRUE,"BHPL2";"PRINT",#N/A,TRUE,"CDWR";"PRINT",#N/A,TRUE,"EWEB";"PRINT",#N/A,TRUE,"LADWP";"PRINT",#N/A,TRUE,"NEVBASE"}</definedName>
    <definedName name="_j4" localSheetId="6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localSheetId="1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5" hidden="1">{"PRINT",#N/A,TRUE,"APPA";"PRINT",#N/A,TRUE,"APS";"PRINT",#N/A,TRUE,"BHPL";"PRINT",#N/A,TRUE,"BHPL2";"PRINT",#N/A,TRUE,"CDWR";"PRINT",#N/A,TRUE,"EWEB";"PRINT",#N/A,TRUE,"LADWP";"PRINT",#N/A,TRUE,"NEVBASE"}</definedName>
    <definedName name="_j5" localSheetId="6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>'Table 1'!$I$43</definedName>
    <definedName name="Inflation">'Table 1'!$J$45</definedName>
    <definedName name="OATT">#REF!</definedName>
    <definedName name="_xlnm.Print_Area" localSheetId="0">'Table 1'!$A$1:$H$61</definedName>
    <definedName name="_xlnm.Print_Area" localSheetId="8">'Table 3 PV_.PX.WMV._.PTC.2032'!$A$1:$O$61</definedName>
    <definedName name="_xlnm.Print_Area" localSheetId="3">'Table 5'!$A$1:$G$255</definedName>
    <definedName name="RevenueSum">"GRID Thermal Revenue!R2C1:R4C2"</definedName>
    <definedName name="Study_CF">'Table 5'!$M$8</definedName>
    <definedName name="Study_MW">'Table 5'!$M$6</definedName>
    <definedName name="TransCapRecovF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3" i="31" l="1"/>
  <c r="FE9" i="25" l="1"/>
  <c r="A11" i="47" l="1"/>
  <c r="A12" i="47" s="1"/>
  <c r="A13" i="47" s="1"/>
  <c r="A14" i="47" s="1"/>
  <c r="A15" i="47" s="1"/>
  <c r="A16" i="47" s="1"/>
  <c r="A17" i="47" s="1"/>
  <c r="A18" i="47" s="1"/>
  <c r="A19" i="47" s="1"/>
  <c r="A20" i="47" s="1"/>
  <c r="A21" i="47" s="1"/>
  <c r="A22" i="47" s="1"/>
  <c r="A23" i="47" s="1"/>
  <c r="A24" i="47" s="1"/>
  <c r="A25" i="47" s="1"/>
  <c r="A26" i="47" s="1"/>
  <c r="A27" i="47" s="1"/>
  <c r="A28" i="47" s="1"/>
  <c r="A29" i="47" s="1"/>
  <c r="A30" i="47" s="1"/>
  <c r="A31" i="47" s="1"/>
  <c r="A32" i="47" s="1"/>
  <c r="A33" i="47" s="1"/>
  <c r="A34" i="47" s="1"/>
  <c r="A35" i="47" s="1"/>
  <c r="G11" i="47"/>
  <c r="G12" i="47" s="1"/>
  <c r="G13" i="47" s="1"/>
  <c r="G14" i="47" s="1"/>
  <c r="G15" i="47" s="1"/>
  <c r="G16" i="47" s="1"/>
  <c r="G17" i="47" s="1"/>
  <c r="G18" i="47" s="1"/>
  <c r="G19" i="47" s="1"/>
  <c r="G20" i="47" s="1"/>
  <c r="G21" i="47" s="1"/>
  <c r="G22" i="47" s="1"/>
  <c r="G23" i="47" s="1"/>
  <c r="G24" i="47" s="1"/>
  <c r="G25" i="47" s="1"/>
  <c r="G26" i="47" s="1"/>
  <c r="G27" i="47" s="1"/>
  <c r="G28" i="47" s="1"/>
  <c r="G29" i="47" s="1"/>
  <c r="G30" i="47" s="1"/>
  <c r="G31" i="47" s="1"/>
  <c r="G32" i="47" s="1"/>
  <c r="G33" i="47" s="1"/>
  <c r="G34" i="47" s="1"/>
  <c r="G35" i="47" s="1"/>
  <c r="L11" i="47"/>
  <c r="L12" i="47" s="1"/>
  <c r="L13" i="47" s="1"/>
  <c r="L14" i="47" s="1"/>
  <c r="L15" i="47" s="1"/>
  <c r="L16" i="47" s="1"/>
  <c r="L17" i="47" s="1"/>
  <c r="L18" i="47" s="1"/>
  <c r="L19" i="47" s="1"/>
  <c r="L20" i="47" s="1"/>
  <c r="L21" i="47" s="1"/>
  <c r="L22" i="47" s="1"/>
  <c r="L23" i="47" s="1"/>
  <c r="L24" i="47" s="1"/>
  <c r="L25" i="47" s="1"/>
  <c r="L26" i="47" s="1"/>
  <c r="L27" i="47" s="1"/>
  <c r="L28" i="47" s="1"/>
  <c r="L29" i="47" s="1"/>
  <c r="L30" i="47" s="1"/>
  <c r="L31" i="47" s="1"/>
  <c r="L32" i="47" s="1"/>
  <c r="L33" i="47" s="1"/>
  <c r="L34" i="47" s="1"/>
  <c r="L35" i="47" s="1"/>
  <c r="V11" i="47"/>
  <c r="V12" i="47" s="1"/>
  <c r="V13" i="47" s="1"/>
  <c r="V14" i="47" s="1"/>
  <c r="V15" i="47" s="1"/>
  <c r="V16" i="47" s="1"/>
  <c r="V17" i="47" s="1"/>
  <c r="V18" i="47" s="1"/>
  <c r="V19" i="47" s="1"/>
  <c r="V20" i="47" s="1"/>
  <c r="V21" i="47" s="1"/>
  <c r="V22" i="47" s="1"/>
  <c r="V23" i="47" s="1"/>
  <c r="V24" i="47" s="1"/>
  <c r="V25" i="47" s="1"/>
  <c r="V26" i="47" s="1"/>
  <c r="V27" i="47" s="1"/>
  <c r="V28" i="47" s="1"/>
  <c r="V29" i="47" s="1"/>
  <c r="V30" i="47" s="1"/>
  <c r="V31" i="47" s="1"/>
  <c r="V32" i="47" s="1"/>
  <c r="V33" i="47" s="1"/>
  <c r="V34" i="47" s="1"/>
  <c r="V35" i="47" s="1"/>
  <c r="B2" i="131" l="1"/>
  <c r="B3" i="131"/>
  <c r="B5" i="131"/>
  <c r="B6" i="131"/>
  <c r="C18" i="192" l="1"/>
  <c r="AH7" i="25" l="1"/>
  <c r="AF7" i="25"/>
  <c r="U7" i="25"/>
  <c r="Q7" i="25"/>
  <c r="P7" i="25"/>
  <c r="BP7" i="25"/>
  <c r="BN7" i="25"/>
  <c r="BC7" i="25"/>
  <c r="AY7" i="25"/>
  <c r="AX7" i="25"/>
  <c r="CZ7" i="25"/>
  <c r="CX7" i="25"/>
  <c r="CM7" i="25"/>
  <c r="M17" i="28" l="1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M364" i="28" l="1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E43" i="131" l="1"/>
  <c r="G2" i="131"/>
  <c r="F2" i="131"/>
  <c r="E2" i="131"/>
  <c r="D2" i="131"/>
  <c r="C2" i="131"/>
  <c r="D18" i="192" l="1"/>
  <c r="E3" i="131" l="1"/>
  <c r="E6" i="131"/>
  <c r="E5" i="131"/>
  <c r="E36" i="131"/>
  <c r="D45" i="192"/>
  <c r="D44" i="192"/>
  <c r="D47" i="192"/>
  <c r="C47" i="192"/>
  <c r="D46" i="192"/>
  <c r="C46" i="192"/>
  <c r="C45" i="192"/>
  <c r="C44" i="192"/>
  <c r="C43" i="192"/>
  <c r="B12" i="192"/>
  <c r="B13" i="192" s="1"/>
  <c r="B11" i="192"/>
  <c r="E10" i="192"/>
  <c r="E11" i="192" s="1" a="1"/>
  <c r="E11" i="192" s="1"/>
  <c r="C10" i="192"/>
  <c r="B2" i="192"/>
  <c r="B14" i="192" l="1"/>
  <c r="B15" i="192" s="1"/>
  <c r="E12" i="192" a="1"/>
  <c r="E12" i="192" s="1"/>
  <c r="E13" i="192" a="1"/>
  <c r="E13" i="192" s="1"/>
  <c r="B3" i="192"/>
  <c r="C50" i="192" s="1"/>
  <c r="B9" i="192" s="1"/>
  <c r="E14" i="192" a="1"/>
  <c r="E14" i="192" s="1"/>
  <c r="B16" i="192" l="1"/>
  <c r="E15" i="192" a="1"/>
  <c r="E15" i="192" s="1"/>
  <c r="B17" i="192" l="1"/>
  <c r="E16" i="192" a="1"/>
  <c r="E16" i="192" s="1"/>
  <c r="E17" i="192" l="1" a="1"/>
  <c r="E17" i="192" s="1"/>
  <c r="B18" i="192"/>
  <c r="B19" i="192" l="1"/>
  <c r="E18" i="192" a="1"/>
  <c r="E18" i="192" s="1"/>
  <c r="B20" i="192" l="1"/>
  <c r="E19" i="192" a="1"/>
  <c r="E19" i="192" s="1"/>
  <c r="B21" i="192" l="1"/>
  <c r="E20" i="192" a="1"/>
  <c r="E20" i="192" s="1"/>
  <c r="B22" i="192" l="1"/>
  <c r="E21" i="192" a="1"/>
  <c r="E21" i="192" s="1"/>
  <c r="B23" i="192" l="1"/>
  <c r="E22" i="192" a="1"/>
  <c r="E22" i="192" s="1"/>
  <c r="B24" i="192" l="1"/>
  <c r="E23" i="192" a="1"/>
  <c r="E23" i="192" s="1"/>
  <c r="B25" i="192" l="1"/>
  <c r="E24" i="192" a="1"/>
  <c r="E24" i="192" s="1"/>
  <c r="B26" i="192" l="1"/>
  <c r="E25" i="192" a="1"/>
  <c r="E25" i="192" s="1"/>
  <c r="B27" i="192" l="1"/>
  <c r="E26" i="192" a="1"/>
  <c r="E26" i="192" s="1"/>
  <c r="B28" i="192" l="1"/>
  <c r="E27" i="192" a="1"/>
  <c r="E27" i="192" s="1"/>
  <c r="B29" i="192" l="1"/>
  <c r="E28" i="192" a="1"/>
  <c r="E28" i="192" s="1"/>
  <c r="E29" i="192" l="1" a="1"/>
  <c r="E29" i="192" s="1"/>
  <c r="B30" i="192"/>
  <c r="B31" i="192" l="1"/>
  <c r="E30" i="192" a="1"/>
  <c r="E30" i="192" s="1"/>
  <c r="B32" i="192" l="1"/>
  <c r="E31" i="192" a="1"/>
  <c r="E31" i="192" s="1"/>
  <c r="B33" i="192" l="1"/>
  <c r="E32" i="192" a="1"/>
  <c r="E32" i="192" s="1"/>
  <c r="B34" i="192" l="1"/>
  <c r="E33" i="192" a="1"/>
  <c r="E33" i="192" s="1"/>
  <c r="E34" i="192" s="1"/>
  <c r="E35" i="192" s="1"/>
  <c r="E36" i="192" s="1"/>
  <c r="B35" i="192" l="1"/>
  <c r="B36" i="192" l="1"/>
  <c r="V276" i="167" l="1"/>
  <c r="V278" i="167"/>
  <c r="V279" i="167"/>
  <c r="V280" i="167"/>
  <c r="V281" i="167"/>
  <c r="V282" i="167"/>
  <c r="V283" i="167"/>
  <c r="V284" i="167"/>
  <c r="V285" i="167"/>
  <c r="V286" i="167"/>
  <c r="V287" i="167"/>
  <c r="V288" i="167"/>
  <c r="V289" i="167"/>
  <c r="V290" i="167"/>
  <c r="V291" i="167"/>
  <c r="V292" i="167"/>
  <c r="V293" i="167"/>
  <c r="V294" i="167"/>
  <c r="V295" i="167"/>
  <c r="V296" i="167"/>
  <c r="V297" i="167"/>
  <c r="V298" i="167"/>
  <c r="V277" i="167"/>
  <c r="Q8" i="25" l="1"/>
  <c r="U8" i="25"/>
  <c r="AF8" i="25"/>
  <c r="AH8" i="25"/>
  <c r="P8" i="25"/>
  <c r="AY8" i="25"/>
  <c r="BC8" i="25"/>
  <c r="BN8" i="25"/>
  <c r="BP8" i="25"/>
  <c r="AX8" i="25"/>
  <c r="D5" i="131"/>
  <c r="C5" i="131"/>
  <c r="G5" i="131" l="1"/>
  <c r="F5" i="131"/>
  <c r="B58" i="131" l="1"/>
  <c r="D58" i="131"/>
  <c r="E58" i="131"/>
  <c r="G36" i="131"/>
  <c r="F36" i="131"/>
  <c r="G3" i="131" l="1"/>
  <c r="E56" i="131" s="1"/>
  <c r="F3" i="131"/>
  <c r="E57" i="131" s="1"/>
  <c r="B10" i="47"/>
  <c r="Q11" i="47"/>
  <c r="Q12" i="47" s="1"/>
  <c r="Q13" i="47" s="1"/>
  <c r="Q14" i="47" l="1"/>
  <c r="Q15" i="47" s="1"/>
  <c r="Q16" i="47" s="1"/>
  <c r="Q17" i="47" s="1"/>
  <c r="Q18" i="47" s="1"/>
  <c r="Q19" i="47" s="1"/>
  <c r="Q20" i="47" s="1"/>
  <c r="Q21" i="47" s="1"/>
  <c r="Q22" i="47" s="1"/>
  <c r="Q23" i="47" s="1"/>
  <c r="Q24" i="47" s="1"/>
  <c r="Q25" i="47" s="1"/>
  <c r="Q26" i="47" s="1"/>
  <c r="Q27" i="47" s="1"/>
  <c r="Q28" i="47" s="1"/>
  <c r="Q29" i="47" s="1"/>
  <c r="Q30" i="47" s="1"/>
  <c r="Q31" i="47" s="1"/>
  <c r="Q32" i="47" s="1"/>
  <c r="Q33" i="47" s="1"/>
  <c r="Q34" i="47" s="1"/>
  <c r="Q35" i="47" s="1"/>
  <c r="W21" i="47"/>
  <c r="X21" i="47"/>
  <c r="X22" i="47" s="1"/>
  <c r="X23" i="47" s="1"/>
  <c r="X24" i="47" s="1"/>
  <c r="X25" i="47" s="1"/>
  <c r="X26" i="47" s="1"/>
  <c r="X27" i="47" s="1"/>
  <c r="X28" i="47" s="1"/>
  <c r="X29" i="47" s="1"/>
  <c r="X30" i="47" s="1"/>
  <c r="X31" i="47" s="1"/>
  <c r="X32" i="47" s="1"/>
  <c r="X33" i="47" s="1"/>
  <c r="X34" i="47" s="1"/>
  <c r="X35" i="47" s="1"/>
  <c r="W4" i="47"/>
  <c r="R17" i="47"/>
  <c r="S17" i="47"/>
  <c r="R4" i="47"/>
  <c r="M13" i="47"/>
  <c r="N13" i="47"/>
  <c r="N14" i="47" s="1"/>
  <c r="N15" i="47" s="1"/>
  <c r="N16" i="47" s="1"/>
  <c r="N17" i="47" s="1"/>
  <c r="N18" i="47" s="1"/>
  <c r="N19" i="47" s="1"/>
  <c r="N20" i="47" s="1"/>
  <c r="N21" i="47" s="1"/>
  <c r="N22" i="47" s="1"/>
  <c r="N23" i="47" s="1"/>
  <c r="N24" i="47" s="1"/>
  <c r="N25" i="47" s="1"/>
  <c r="N26" i="47" s="1"/>
  <c r="N27" i="47" s="1"/>
  <c r="N28" i="47" s="1"/>
  <c r="N29" i="47" s="1"/>
  <c r="N30" i="47" s="1"/>
  <c r="N31" i="47" s="1"/>
  <c r="N32" i="47" s="1"/>
  <c r="N33" i="47" s="1"/>
  <c r="N34" i="47" s="1"/>
  <c r="N35" i="47" s="1"/>
  <c r="M4" i="47"/>
  <c r="H12" i="47"/>
  <c r="H13" i="47" s="1"/>
  <c r="H14" i="47" s="1"/>
  <c r="H15" i="47" s="1"/>
  <c r="H16" i="47" s="1"/>
  <c r="H17" i="47" s="1"/>
  <c r="H18" i="47" s="1"/>
  <c r="H19" i="47" s="1"/>
  <c r="H20" i="47" s="1"/>
  <c r="H21" i="47" s="1"/>
  <c r="H22" i="47" s="1"/>
  <c r="H23" i="47" s="1"/>
  <c r="H24" i="47" s="1"/>
  <c r="H25" i="47" s="1"/>
  <c r="H26" i="47" s="1"/>
  <c r="H27" i="47" s="1"/>
  <c r="H28" i="47" s="1"/>
  <c r="H29" i="47" s="1"/>
  <c r="H30" i="47" s="1"/>
  <c r="H31" i="47" s="1"/>
  <c r="H32" i="47" s="1"/>
  <c r="H33" i="47" s="1"/>
  <c r="H34" i="47" s="1"/>
  <c r="H35" i="47" s="1"/>
  <c r="I12" i="47"/>
  <c r="I13" i="47" s="1"/>
  <c r="I14" i="47" s="1"/>
  <c r="I15" i="47" s="1"/>
  <c r="I16" i="47" s="1"/>
  <c r="I17" i="47" s="1"/>
  <c r="I18" i="47" s="1"/>
  <c r="I19" i="47" s="1"/>
  <c r="I20" i="47" s="1"/>
  <c r="I21" i="47" s="1"/>
  <c r="I22" i="47" s="1"/>
  <c r="I23" i="47" s="1"/>
  <c r="I24" i="47" s="1"/>
  <c r="I25" i="47" s="1"/>
  <c r="I26" i="47" s="1"/>
  <c r="I27" i="47" s="1"/>
  <c r="I28" i="47" s="1"/>
  <c r="I29" i="47" s="1"/>
  <c r="I30" i="47" s="1"/>
  <c r="I31" i="47" s="1"/>
  <c r="I32" i="47" s="1"/>
  <c r="I33" i="47" s="1"/>
  <c r="I34" i="47" s="1"/>
  <c r="I35" i="47" s="1"/>
  <c r="H4" i="47"/>
  <c r="B36" i="131"/>
  <c r="C36" i="131"/>
  <c r="D36" i="131"/>
  <c r="D3" i="131"/>
  <c r="E41" i="131" s="1"/>
  <c r="C3" i="131"/>
  <c r="E42" i="131" s="1"/>
  <c r="AA352" i="31" l="1"/>
  <c r="AA336" i="31"/>
  <c r="AA320" i="31"/>
  <c r="AA304" i="31"/>
  <c r="AA288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38" i="31"/>
  <c r="AA165" i="31"/>
  <c r="AA36" i="31"/>
  <c r="AA242" i="31"/>
  <c r="AA34" i="31"/>
  <c r="AA367" i="31"/>
  <c r="AA351" i="31"/>
  <c r="AA335" i="31"/>
  <c r="AA319" i="31"/>
  <c r="AA303" i="31"/>
  <c r="AA287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54" i="31"/>
  <c r="AA197" i="31"/>
  <c r="AA68" i="31"/>
  <c r="AA338" i="31"/>
  <c r="AA66" i="31"/>
  <c r="AA366" i="31"/>
  <c r="AA350" i="31"/>
  <c r="AA334" i="31"/>
  <c r="AA318" i="31"/>
  <c r="AA302" i="31"/>
  <c r="AA286" i="31"/>
  <c r="AA270" i="31"/>
  <c r="AA254" i="31"/>
  <c r="AA238" i="31"/>
  <c r="AA222" i="31"/>
  <c r="AA206" i="31"/>
  <c r="AA190" i="31"/>
  <c r="AA174" i="31"/>
  <c r="AA158" i="31"/>
  <c r="AA142" i="31"/>
  <c r="AA126" i="31"/>
  <c r="AA110" i="31"/>
  <c r="AA94" i="31"/>
  <c r="AA78" i="31"/>
  <c r="AA62" i="31"/>
  <c r="AA46" i="31"/>
  <c r="AA30" i="31"/>
  <c r="AA14" i="31"/>
  <c r="AA86" i="31"/>
  <c r="AA181" i="31"/>
  <c r="AA84" i="31"/>
  <c r="AA365" i="31"/>
  <c r="AA349" i="31"/>
  <c r="AA333" i="31"/>
  <c r="AA317" i="31"/>
  <c r="AA301" i="31"/>
  <c r="AA285" i="31"/>
  <c r="AA269" i="31"/>
  <c r="AA253" i="31"/>
  <c r="AA237" i="31"/>
  <c r="AA221" i="31"/>
  <c r="AA205" i="31"/>
  <c r="AA189" i="31"/>
  <c r="AA173" i="31"/>
  <c r="AA157" i="31"/>
  <c r="AA141" i="31"/>
  <c r="AA125" i="31"/>
  <c r="AA109" i="31"/>
  <c r="AA93" i="31"/>
  <c r="AA77" i="31"/>
  <c r="AA61" i="31"/>
  <c r="AA45" i="31"/>
  <c r="AA29" i="31"/>
  <c r="AA13" i="31"/>
  <c r="AA229" i="31"/>
  <c r="AA178" i="31"/>
  <c r="AA364" i="31"/>
  <c r="AA348" i="31"/>
  <c r="AA332" i="31"/>
  <c r="AA316" i="31"/>
  <c r="AA300" i="31"/>
  <c r="AA284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92" i="31"/>
  <c r="AA76" i="31"/>
  <c r="AA60" i="31"/>
  <c r="AA44" i="31"/>
  <c r="AA28" i="31"/>
  <c r="AA70" i="31"/>
  <c r="AA133" i="31"/>
  <c r="AA194" i="31"/>
  <c r="AA363" i="31"/>
  <c r="AA347" i="31"/>
  <c r="AA331" i="31"/>
  <c r="AA315" i="31"/>
  <c r="AA299" i="31"/>
  <c r="AA283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9" i="31"/>
  <c r="AA43" i="31"/>
  <c r="AA27" i="31"/>
  <c r="AA102" i="31"/>
  <c r="AA85" i="31"/>
  <c r="AA162" i="31"/>
  <c r="AA362" i="31"/>
  <c r="AA346" i="31"/>
  <c r="AA330" i="31"/>
  <c r="AA314" i="31"/>
  <c r="AA298" i="31"/>
  <c r="AA282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58" i="31"/>
  <c r="AA42" i="31"/>
  <c r="AA26" i="31"/>
  <c r="AA118" i="31"/>
  <c r="AA101" i="31"/>
  <c r="AA274" i="31"/>
  <c r="AA361" i="31"/>
  <c r="AA345" i="31"/>
  <c r="AA329" i="31"/>
  <c r="AA313" i="31"/>
  <c r="AA297" i="31"/>
  <c r="AA281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34" i="31"/>
  <c r="AA53" i="31"/>
  <c r="AA226" i="31"/>
  <c r="AA360" i="31"/>
  <c r="AA344" i="31"/>
  <c r="AA328" i="31"/>
  <c r="AA312" i="31"/>
  <c r="AA296" i="31"/>
  <c r="AA280" i="31"/>
  <c r="AA264" i="31"/>
  <c r="AA248" i="31"/>
  <c r="AA232" i="31"/>
  <c r="AA216" i="31"/>
  <c r="AA200" i="31"/>
  <c r="AA184" i="31"/>
  <c r="AA168" i="31"/>
  <c r="AA152" i="31"/>
  <c r="AA136" i="31"/>
  <c r="AA120" i="31"/>
  <c r="AA104" i="31"/>
  <c r="AA88" i="31"/>
  <c r="AA72" i="31"/>
  <c r="AA56" i="31"/>
  <c r="AA40" i="31"/>
  <c r="AA24" i="31"/>
  <c r="AA150" i="31"/>
  <c r="AA117" i="31"/>
  <c r="AA290" i="31"/>
  <c r="AA359" i="31"/>
  <c r="AA343" i="31"/>
  <c r="AA327" i="31"/>
  <c r="AA311" i="31"/>
  <c r="AA295" i="31"/>
  <c r="AA279" i="31"/>
  <c r="AA263" i="31"/>
  <c r="AA247" i="31"/>
  <c r="AA231" i="31"/>
  <c r="AA215" i="31"/>
  <c r="AA199" i="31"/>
  <c r="AA183" i="31"/>
  <c r="AA167" i="31"/>
  <c r="AA151" i="31"/>
  <c r="AA135" i="31"/>
  <c r="AA119" i="31"/>
  <c r="AA103" i="31"/>
  <c r="AA87" i="31"/>
  <c r="AA71" i="31"/>
  <c r="AA55" i="31"/>
  <c r="AA39" i="31"/>
  <c r="AA23" i="31"/>
  <c r="AA166" i="31"/>
  <c r="AA69" i="31"/>
  <c r="AA210" i="31"/>
  <c r="AA358" i="31"/>
  <c r="AA342" i="31"/>
  <c r="AA326" i="31"/>
  <c r="AA310" i="31"/>
  <c r="AA294" i="31"/>
  <c r="AA278" i="31"/>
  <c r="AA262" i="31"/>
  <c r="AA246" i="31"/>
  <c r="AA230" i="31"/>
  <c r="AA214" i="31"/>
  <c r="AA198" i="31"/>
  <c r="AA182" i="31"/>
  <c r="AA261" i="31"/>
  <c r="AA52" i="31"/>
  <c r="AA322" i="31"/>
  <c r="AA114" i="31"/>
  <c r="AA357" i="31"/>
  <c r="AA341" i="31"/>
  <c r="AA325" i="31"/>
  <c r="AA309" i="31"/>
  <c r="AA293" i="31"/>
  <c r="AA277" i="31"/>
  <c r="AA245" i="31"/>
  <c r="AA149" i="31"/>
  <c r="AA37" i="31"/>
  <c r="AA100" i="31"/>
  <c r="AA354" i="31"/>
  <c r="AA82" i="31"/>
  <c r="AA356" i="31"/>
  <c r="AA340" i="31"/>
  <c r="AA324" i="31"/>
  <c r="AA308" i="31"/>
  <c r="AA292" i="31"/>
  <c r="AA276" i="31"/>
  <c r="AA260" i="31"/>
  <c r="AA244" i="31"/>
  <c r="AA228" i="31"/>
  <c r="AA212" i="31"/>
  <c r="AA196" i="31"/>
  <c r="AA180" i="31"/>
  <c r="AA164" i="31"/>
  <c r="AA148" i="31"/>
  <c r="AA132" i="31"/>
  <c r="AA116" i="31"/>
  <c r="AA20" i="31"/>
  <c r="AA258" i="31"/>
  <c r="AA98" i="31"/>
  <c r="AA18" i="31"/>
  <c r="AA355" i="31"/>
  <c r="AA339" i="31"/>
  <c r="AA323" i="31"/>
  <c r="AA307" i="31"/>
  <c r="AA291" i="31"/>
  <c r="AA275" i="31"/>
  <c r="AA259" i="31"/>
  <c r="AA243" i="31"/>
  <c r="AA227" i="31"/>
  <c r="AA211" i="31"/>
  <c r="AA195" i="31"/>
  <c r="AA179" i="31"/>
  <c r="AA163" i="31"/>
  <c r="AA147" i="31"/>
  <c r="AA131" i="31"/>
  <c r="AA115" i="31"/>
  <c r="AA99" i="31"/>
  <c r="AA83" i="31"/>
  <c r="AA67" i="31"/>
  <c r="AA51" i="31"/>
  <c r="AA35" i="31"/>
  <c r="AA19" i="31"/>
  <c r="AA130" i="31"/>
  <c r="AA146" i="31"/>
  <c r="AA353" i="31"/>
  <c r="AA337" i="31"/>
  <c r="AA321" i="31"/>
  <c r="AA305" i="31"/>
  <c r="AA289" i="31"/>
  <c r="AA273" i="31"/>
  <c r="AA257" i="31"/>
  <c r="AA241" i="31"/>
  <c r="AA225" i="31"/>
  <c r="AA209" i="31"/>
  <c r="AA193" i="31"/>
  <c r="AA177" i="31"/>
  <c r="AA161" i="31"/>
  <c r="AA145" i="31"/>
  <c r="AA129" i="31"/>
  <c r="AA113" i="31"/>
  <c r="AA97" i="31"/>
  <c r="AA81" i="31"/>
  <c r="AA65" i="31"/>
  <c r="AA49" i="31"/>
  <c r="AA33" i="31"/>
  <c r="AA17" i="31"/>
  <c r="AA22" i="31"/>
  <c r="AA213" i="31"/>
  <c r="AA21" i="31"/>
  <c r="AA306" i="31"/>
  <c r="AA50" i="31"/>
  <c r="M14" i="47"/>
  <c r="M15" i="47" s="1"/>
  <c r="M16" i="47" s="1"/>
  <c r="M17" i="47" s="1"/>
  <c r="M18" i="47" s="1"/>
  <c r="M19" i="47" s="1"/>
  <c r="M20" i="47" s="1"/>
  <c r="M21" i="47" s="1"/>
  <c r="M22" i="47" s="1"/>
  <c r="M23" i="47" s="1"/>
  <c r="M24" i="47" s="1"/>
  <c r="M25" i="47" s="1"/>
  <c r="M26" i="47" s="1"/>
  <c r="M27" i="47" s="1"/>
  <c r="M28" i="47" s="1"/>
  <c r="M29" i="47" s="1"/>
  <c r="M30" i="47" s="1"/>
  <c r="M31" i="47" s="1"/>
  <c r="M32" i="47" s="1"/>
  <c r="M33" i="47" s="1"/>
  <c r="M34" i="47" s="1"/>
  <c r="M35" i="47" s="1"/>
  <c r="W22" i="47"/>
  <c r="W23" i="47" s="1"/>
  <c r="W24" i="47" s="1"/>
  <c r="W25" i="47" s="1"/>
  <c r="W26" i="47" s="1"/>
  <c r="W27" i="47" s="1"/>
  <c r="W28" i="47" s="1"/>
  <c r="W29" i="47" s="1"/>
  <c r="W30" i="47" s="1"/>
  <c r="W31" i="47" s="1"/>
  <c r="W32" i="47" s="1"/>
  <c r="W33" i="47" s="1"/>
  <c r="W34" i="47" s="1"/>
  <c r="W35" i="47" s="1"/>
  <c r="S18" i="47"/>
  <c r="R18" i="47"/>
  <c r="B56" i="131"/>
  <c r="D56" i="131"/>
  <c r="B57" i="131"/>
  <c r="D57" i="131"/>
  <c r="R19" i="47" l="1"/>
  <c r="S19" i="47"/>
  <c r="S20" i="47" l="1"/>
  <c r="R20" i="47"/>
  <c r="R21" i="47" l="1"/>
  <c r="S21" i="47"/>
  <c r="S22" i="47" l="1"/>
  <c r="R22" i="47"/>
  <c r="R23" i="47" l="1"/>
  <c r="S23" i="47"/>
  <c r="S24" i="47" l="1"/>
  <c r="R24" i="47"/>
  <c r="R25" i="47" l="1"/>
  <c r="S25" i="47"/>
  <c r="S26" i="47" l="1"/>
  <c r="R26" i="47"/>
  <c r="R27" i="47" l="1"/>
  <c r="S27" i="47"/>
  <c r="S28" i="47" l="1"/>
  <c r="R28" i="47"/>
  <c r="R29" i="47" l="1"/>
  <c r="S29" i="47"/>
  <c r="S30" i="47" l="1"/>
  <c r="R30" i="47"/>
  <c r="R31" i="47" l="1"/>
  <c r="S31" i="47"/>
  <c r="S32" i="47" l="1"/>
  <c r="R32" i="47"/>
  <c r="R33" i="47" l="1"/>
  <c r="S33" i="47"/>
  <c r="S34" i="47" l="1"/>
  <c r="R34" i="47"/>
  <c r="R35" i="47" l="1"/>
  <c r="S35" i="47"/>
  <c r="D44" i="182" l="1"/>
  <c r="D47" i="182"/>
  <c r="C47" i="182"/>
  <c r="D46" i="182"/>
  <c r="C46" i="182"/>
  <c r="C45" i="182"/>
  <c r="C44" i="182"/>
  <c r="C43" i="182"/>
  <c r="B12" i="182"/>
  <c r="B13" i="182" s="1"/>
  <c r="B11" i="182"/>
  <c r="E10" i="182"/>
  <c r="E11" i="182" s="1" a="1"/>
  <c r="E11" i="182" s="1"/>
  <c r="C10" i="182"/>
  <c r="B2" i="182"/>
  <c r="B3" i="181"/>
  <c r="D44" i="181"/>
  <c r="C58" i="181"/>
  <c r="B58" i="181"/>
  <c r="D47" i="181"/>
  <c r="C47" i="181"/>
  <c r="D46" i="181"/>
  <c r="C46" i="181"/>
  <c r="C45" i="181"/>
  <c r="C44" i="181"/>
  <c r="C43" i="181"/>
  <c r="B11" i="181"/>
  <c r="B12" i="181" s="1"/>
  <c r="B13" i="181" s="1"/>
  <c r="E10" i="181"/>
  <c r="C10" i="181"/>
  <c r="B2" i="181"/>
  <c r="D44" i="177"/>
  <c r="D47" i="177"/>
  <c r="C47" i="177"/>
  <c r="D46" i="177"/>
  <c r="C46" i="177"/>
  <c r="C45" i="177"/>
  <c r="C44" i="177"/>
  <c r="C43" i="177"/>
  <c r="B11" i="177"/>
  <c r="B12" i="177" s="1"/>
  <c r="E10" i="177"/>
  <c r="C10" i="177"/>
  <c r="B2" i="177"/>
  <c r="D44" i="176"/>
  <c r="D47" i="176"/>
  <c r="C47" i="176"/>
  <c r="D46" i="176"/>
  <c r="C46" i="176"/>
  <c r="C45" i="176"/>
  <c r="C44" i="176"/>
  <c r="C43" i="176"/>
  <c r="B11" i="176"/>
  <c r="B12" i="176" s="1"/>
  <c r="B13" i="176" s="1"/>
  <c r="E10" i="176"/>
  <c r="C10" i="176"/>
  <c r="B2" i="176"/>
  <c r="B14" i="182" l="1"/>
  <c r="E13" i="182" a="1"/>
  <c r="E13" i="182" s="1"/>
  <c r="B3" i="182"/>
  <c r="C50" i="182" s="1"/>
  <c r="B9" i="182" s="1"/>
  <c r="E12" i="182" a="1"/>
  <c r="E12" i="182" s="1"/>
  <c r="E14" i="182" a="1"/>
  <c r="E14" i="182" s="1"/>
  <c r="D45" i="182"/>
  <c r="C50" i="181"/>
  <c r="B9" i="181" s="1"/>
  <c r="B14" i="181"/>
  <c r="E11" i="181" a="1"/>
  <c r="E11" i="181" s="1"/>
  <c r="D45" i="181"/>
  <c r="E12" i="181" a="1"/>
  <c r="E12" i="181" s="1"/>
  <c r="E13" i="181" a="1"/>
  <c r="E13" i="181" s="1"/>
  <c r="B13" i="177"/>
  <c r="E13" i="177" a="1"/>
  <c r="E13" i="177" s="1"/>
  <c r="B3" i="177"/>
  <c r="C50" i="177" s="1"/>
  <c r="B9" i="177" s="1"/>
  <c r="D45" i="177"/>
  <c r="E11" i="177" a="1"/>
  <c r="E11" i="177" s="1"/>
  <c r="E12" i="177" a="1"/>
  <c r="E12" i="177" s="1"/>
  <c r="B14" i="176"/>
  <c r="E13" i="176" a="1"/>
  <c r="E13" i="176" s="1"/>
  <c r="E11" i="176" a="1"/>
  <c r="E11" i="176" s="1"/>
  <c r="D45" i="176"/>
  <c r="E12" i="176" a="1"/>
  <c r="E12" i="176" s="1"/>
  <c r="B3" i="176"/>
  <c r="E14" i="176" a="1"/>
  <c r="E14" i="176" s="1"/>
  <c r="B15" i="182" l="1"/>
  <c r="B15" i="181"/>
  <c r="E14" i="181" a="1"/>
  <c r="E14" i="181" s="1"/>
  <c r="B14" i="177"/>
  <c r="B15" i="176"/>
  <c r="B16" i="182" l="1"/>
  <c r="E15" i="182" a="1"/>
  <c r="E15" i="182" s="1"/>
  <c r="B16" i="181"/>
  <c r="E15" i="181" a="1"/>
  <c r="E15" i="181" s="1"/>
  <c r="B15" i="177"/>
  <c r="E14" i="177" a="1"/>
  <c r="E14" i="177" s="1"/>
  <c r="B16" i="176"/>
  <c r="E15" i="176" a="1"/>
  <c r="E15" i="176" s="1"/>
  <c r="B17" i="182" l="1"/>
  <c r="E16" i="182" a="1"/>
  <c r="E16" i="182" s="1"/>
  <c r="B17" i="181"/>
  <c r="E16" i="181" a="1"/>
  <c r="E16" i="181" s="1"/>
  <c r="B16" i="177"/>
  <c r="E15" i="177" a="1"/>
  <c r="E15" i="177" s="1"/>
  <c r="B17" i="176"/>
  <c r="E16" i="176" a="1"/>
  <c r="E16" i="176" s="1"/>
  <c r="B18" i="182" l="1"/>
  <c r="E17" i="182" a="1"/>
  <c r="E17" i="182" s="1"/>
  <c r="B18" i="181"/>
  <c r="E17" i="181" a="1"/>
  <c r="E17" i="181" s="1"/>
  <c r="B17" i="177"/>
  <c r="E16" i="177" a="1"/>
  <c r="E16" i="177" s="1"/>
  <c r="B18" i="176"/>
  <c r="E17" i="176" a="1"/>
  <c r="E17" i="176" s="1"/>
  <c r="B19" i="182" l="1"/>
  <c r="E18" i="182" a="1"/>
  <c r="E18" i="182" s="1"/>
  <c r="B19" i="181"/>
  <c r="E18" i="181" a="1"/>
  <c r="E18" i="181" s="1"/>
  <c r="B18" i="177"/>
  <c r="E17" i="177" a="1"/>
  <c r="E17" i="177" s="1"/>
  <c r="B19" i="176"/>
  <c r="E18" i="176" a="1"/>
  <c r="E18" i="176" s="1"/>
  <c r="B20" i="182" l="1"/>
  <c r="E19" i="182" a="1"/>
  <c r="E19" i="182" s="1"/>
  <c r="B20" i="181"/>
  <c r="E19" i="181" a="1"/>
  <c r="E19" i="181" s="1"/>
  <c r="E18" i="177" a="1"/>
  <c r="E18" i="177" s="1"/>
  <c r="B19" i="177"/>
  <c r="B20" i="176"/>
  <c r="E19" i="176" a="1"/>
  <c r="E19" i="176" s="1"/>
  <c r="E20" i="182" l="1" a="1"/>
  <c r="E20" i="182" s="1"/>
  <c r="B21" i="182"/>
  <c r="B21" i="181"/>
  <c r="E20" i="181" a="1"/>
  <c r="E20" i="181" s="1"/>
  <c r="B20" i="177"/>
  <c r="E19" i="177" a="1"/>
  <c r="E19" i="177" s="1"/>
  <c r="B21" i="176"/>
  <c r="E20" i="176" a="1"/>
  <c r="E20" i="176" s="1"/>
  <c r="B22" i="182" l="1"/>
  <c r="E21" i="182" a="1"/>
  <c r="E21" i="182" s="1"/>
  <c r="B22" i="181"/>
  <c r="E21" i="181" a="1"/>
  <c r="E21" i="181" s="1"/>
  <c r="E20" i="177" a="1"/>
  <c r="E20" i="177" s="1"/>
  <c r="B21" i="177"/>
  <c r="B22" i="176"/>
  <c r="E21" i="176" a="1"/>
  <c r="E21" i="176" s="1"/>
  <c r="B23" i="182" l="1"/>
  <c r="E22" i="182" a="1"/>
  <c r="E22" i="182" s="1"/>
  <c r="B23" i="181"/>
  <c r="E22" i="181" a="1"/>
  <c r="E22" i="181" s="1"/>
  <c r="B22" i="177"/>
  <c r="E21" i="177" a="1"/>
  <c r="E21" i="177" s="1"/>
  <c r="B23" i="176"/>
  <c r="E22" i="176" a="1"/>
  <c r="E22" i="176" s="1"/>
  <c r="B24" i="182" l="1"/>
  <c r="E23" i="182" a="1"/>
  <c r="E23" i="182" s="1"/>
  <c r="B24" i="181"/>
  <c r="E23" i="181" a="1"/>
  <c r="E23" i="181" s="1"/>
  <c r="B23" i="177"/>
  <c r="E22" i="177" a="1"/>
  <c r="E22" i="177" s="1"/>
  <c r="B24" i="176"/>
  <c r="E23" i="176" a="1"/>
  <c r="E23" i="176" s="1"/>
  <c r="E24" i="182" l="1" a="1"/>
  <c r="E24" i="182" s="1"/>
  <c r="B25" i="182"/>
  <c r="B25" i="181"/>
  <c r="E24" i="181" a="1"/>
  <c r="E24" i="181" s="1"/>
  <c r="B24" i="177"/>
  <c r="E23" i="177" a="1"/>
  <c r="E23" i="177" s="1"/>
  <c r="B25" i="176"/>
  <c r="E24" i="176" a="1"/>
  <c r="E24" i="176" s="1"/>
  <c r="B26" i="182" l="1"/>
  <c r="E25" i="182" a="1"/>
  <c r="E25" i="182" s="1"/>
  <c r="B26" i="181"/>
  <c r="E25" i="181" a="1"/>
  <c r="E25" i="181" s="1"/>
  <c r="B25" i="177"/>
  <c r="E24" i="177" a="1"/>
  <c r="E24" i="177" s="1"/>
  <c r="B26" i="176"/>
  <c r="E25" i="176" a="1"/>
  <c r="E25" i="176" s="1"/>
  <c r="B27" i="182" l="1"/>
  <c r="E26" i="182" a="1"/>
  <c r="E26" i="182" s="1"/>
  <c r="B27" i="181"/>
  <c r="E26" i="181" a="1"/>
  <c r="E26" i="181" s="1"/>
  <c r="B26" i="177"/>
  <c r="E25" i="177" a="1"/>
  <c r="E25" i="177" s="1"/>
  <c r="B27" i="176"/>
  <c r="E26" i="176" a="1"/>
  <c r="E26" i="176" s="1"/>
  <c r="B28" i="182" l="1"/>
  <c r="E27" i="182" a="1"/>
  <c r="E27" i="182" s="1"/>
  <c r="B28" i="181"/>
  <c r="E27" i="181" a="1"/>
  <c r="E27" i="181" s="1"/>
  <c r="B27" i="177"/>
  <c r="E26" i="177" a="1"/>
  <c r="E26" i="177" s="1"/>
  <c r="B28" i="176"/>
  <c r="E27" i="176" a="1"/>
  <c r="E27" i="176" s="1"/>
  <c r="B29" i="182" l="1"/>
  <c r="E28" i="182" a="1"/>
  <c r="E28" i="182" s="1"/>
  <c r="B29" i="181"/>
  <c r="E28" i="181" a="1"/>
  <c r="E28" i="181" s="1"/>
  <c r="B28" i="177"/>
  <c r="E27" i="177" a="1"/>
  <c r="E27" i="177" s="1"/>
  <c r="B29" i="176"/>
  <c r="E28" i="176" a="1"/>
  <c r="E28" i="176" s="1"/>
  <c r="B30" i="182" l="1"/>
  <c r="E29" i="182" a="1"/>
  <c r="E29" i="182" s="1"/>
  <c r="B30" i="181"/>
  <c r="E29" i="181" a="1"/>
  <c r="E29" i="181" s="1"/>
  <c r="E28" i="177" a="1"/>
  <c r="E28" i="177" s="1"/>
  <c r="B29" i="177"/>
  <c r="B30" i="176"/>
  <c r="E29" i="176" a="1"/>
  <c r="E29" i="176" s="1"/>
  <c r="E30" i="182" l="1" a="1"/>
  <c r="E30" i="182" s="1"/>
  <c r="B31" i="182"/>
  <c r="B31" i="181"/>
  <c r="E30" i="181" a="1"/>
  <c r="E30" i="181" s="1"/>
  <c r="B30" i="177"/>
  <c r="E29" i="177" a="1"/>
  <c r="E29" i="177" s="1"/>
  <c r="B31" i="176"/>
  <c r="E30" i="176" a="1"/>
  <c r="E30" i="176" s="1"/>
  <c r="B32" i="182" l="1"/>
  <c r="E31" i="182" a="1"/>
  <c r="E31" i="182" s="1"/>
  <c r="B32" i="181"/>
  <c r="E31" i="181" a="1"/>
  <c r="E31" i="181" s="1"/>
  <c r="E30" i="177" a="1"/>
  <c r="E30" i="177" s="1"/>
  <c r="B31" i="177"/>
  <c r="B32" i="176"/>
  <c r="E31" i="176" a="1"/>
  <c r="E31" i="176" s="1"/>
  <c r="B33" i="182" l="1"/>
  <c r="E32" i="182" a="1"/>
  <c r="E32" i="182" s="1"/>
  <c r="B33" i="181"/>
  <c r="E32" i="181" a="1"/>
  <c r="E32" i="181" s="1"/>
  <c r="B32" i="177"/>
  <c r="E31" i="177" a="1"/>
  <c r="E31" i="177" s="1"/>
  <c r="E32" i="176" a="1"/>
  <c r="E32" i="176" s="1"/>
  <c r="B33" i="176"/>
  <c r="E33" i="182" l="1" a="1"/>
  <c r="E33" i="182" s="1"/>
  <c r="E34" i="182" s="1"/>
  <c r="E35" i="182" s="1"/>
  <c r="E36" i="182" s="1"/>
  <c r="B34" i="182"/>
  <c r="B35" i="182" s="1"/>
  <c r="B36" i="182" s="1"/>
  <c r="B34" i="181"/>
  <c r="B35" i="181" s="1"/>
  <c r="B36" i="181" s="1"/>
  <c r="E33" i="181" a="1"/>
  <c r="E33" i="181" s="1"/>
  <c r="E34" i="181" s="1"/>
  <c r="E35" i="181" s="1"/>
  <c r="E36" i="181" s="1"/>
  <c r="B33" i="177"/>
  <c r="E32" i="177" a="1"/>
  <c r="E32" i="177" s="1"/>
  <c r="B34" i="176"/>
  <c r="B35" i="176" s="1"/>
  <c r="B36" i="176" s="1"/>
  <c r="E33" i="176" a="1"/>
  <c r="E33" i="176" s="1"/>
  <c r="E34" i="176" s="1"/>
  <c r="E35" i="176" s="1"/>
  <c r="E36" i="176" s="1"/>
  <c r="B34" i="177" l="1"/>
  <c r="B35" i="177" s="1"/>
  <c r="B36" i="177" s="1"/>
  <c r="E33" i="177" a="1"/>
  <c r="E33" i="177" s="1"/>
  <c r="E34" i="177" s="1"/>
  <c r="E35" i="177" s="1"/>
  <c r="E36" i="177" s="1"/>
  <c r="E70" i="167" l="1"/>
  <c r="E10" i="139" l="1"/>
  <c r="E22" i="139" s="1" a="1"/>
  <c r="E22" i="139" s="1"/>
  <c r="S146" i="167"/>
  <c r="S145" i="167"/>
  <c r="S144" i="167"/>
  <c r="S143" i="167"/>
  <c r="S142" i="167"/>
  <c r="S141" i="167"/>
  <c r="S140" i="167"/>
  <c r="S139" i="167"/>
  <c r="S138" i="167"/>
  <c r="S137" i="167"/>
  <c r="S136" i="167"/>
  <c r="S135" i="167"/>
  <c r="S134" i="167"/>
  <c r="S133" i="167"/>
  <c r="S132" i="167"/>
  <c r="S131" i="167"/>
  <c r="S130" i="167"/>
  <c r="S129" i="167"/>
  <c r="S128" i="167"/>
  <c r="S127" i="167"/>
  <c r="S126" i="167"/>
  <c r="S169" i="167"/>
  <c r="S168" i="167"/>
  <c r="S167" i="167"/>
  <c r="S166" i="167"/>
  <c r="S165" i="167"/>
  <c r="S164" i="167"/>
  <c r="S163" i="167"/>
  <c r="S162" i="167"/>
  <c r="S161" i="167"/>
  <c r="S160" i="167"/>
  <c r="S159" i="167"/>
  <c r="S158" i="167"/>
  <c r="S157" i="167"/>
  <c r="S156" i="167"/>
  <c r="S155" i="167"/>
  <c r="S154" i="167"/>
  <c r="S153" i="167"/>
  <c r="S152" i="167"/>
  <c r="S151" i="167"/>
  <c r="S150" i="167"/>
  <c r="S149" i="167"/>
  <c r="S221" i="167"/>
  <c r="S222" i="167"/>
  <c r="S223" i="167"/>
  <c r="S224" i="167"/>
  <c r="S225" i="167"/>
  <c r="S226" i="167"/>
  <c r="S227" i="167"/>
  <c r="S228" i="167"/>
  <c r="S229" i="167"/>
  <c r="S230" i="167"/>
  <c r="S231" i="167"/>
  <c r="S232" i="167"/>
  <c r="S233" i="167"/>
  <c r="S234" i="167"/>
  <c r="S235" i="167"/>
  <c r="S236" i="167"/>
  <c r="S237" i="167"/>
  <c r="S238" i="167"/>
  <c r="S239" i="167"/>
  <c r="S240" i="167"/>
  <c r="S220" i="167"/>
  <c r="S215" i="167"/>
  <c r="S214" i="167"/>
  <c r="S213" i="167"/>
  <c r="S212" i="167"/>
  <c r="S211" i="167"/>
  <c r="S210" i="167"/>
  <c r="S209" i="167"/>
  <c r="S208" i="167"/>
  <c r="S207" i="167"/>
  <c r="S196" i="167"/>
  <c r="S197" i="167"/>
  <c r="S198" i="167"/>
  <c r="S199" i="167"/>
  <c r="S200" i="167"/>
  <c r="S201" i="167"/>
  <c r="S202" i="167"/>
  <c r="S203" i="167"/>
  <c r="S204" i="167"/>
  <c r="S205" i="167"/>
  <c r="S206" i="167"/>
  <c r="S195" i="167"/>
  <c r="S276" i="167"/>
  <c r="S277" i="167"/>
  <c r="S278" i="167"/>
  <c r="S279" i="167"/>
  <c r="S280" i="167"/>
  <c r="S281" i="167"/>
  <c r="S282" i="167"/>
  <c r="S283" i="167"/>
  <c r="S284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75" i="167"/>
  <c r="S264" i="167"/>
  <c r="S265" i="167"/>
  <c r="S266" i="167"/>
  <c r="S267" i="167"/>
  <c r="S268" i="167"/>
  <c r="S269" i="167"/>
  <c r="S270" i="167"/>
  <c r="S271" i="167"/>
  <c r="S272" i="167"/>
  <c r="S263" i="167"/>
  <c r="S262" i="167"/>
  <c r="S261" i="167"/>
  <c r="S260" i="167"/>
  <c r="S259" i="167"/>
  <c r="S258" i="167"/>
  <c r="S25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192" i="167"/>
  <c r="S191" i="167"/>
  <c r="S190" i="167"/>
  <c r="S189" i="167"/>
  <c r="S188" i="167"/>
  <c r="S187" i="167"/>
  <c r="S186" i="167"/>
  <c r="S185" i="167"/>
  <c r="S184" i="167"/>
  <c r="S183" i="167"/>
  <c r="S182" i="167"/>
  <c r="S181" i="167"/>
  <c r="S180" i="167"/>
  <c r="S179" i="167"/>
  <c r="S178" i="167"/>
  <c r="S177" i="167"/>
  <c r="S176" i="167"/>
  <c r="S175" i="167"/>
  <c r="S174" i="167"/>
  <c r="S173" i="167"/>
  <c r="S172" i="167"/>
  <c r="C10" i="139"/>
  <c r="I26" i="192" l="1"/>
  <c r="I18" i="192"/>
  <c r="I19" i="192"/>
  <c r="I20" i="192"/>
  <c r="I21" i="192"/>
  <c r="I22" i="192"/>
  <c r="I23" i="192"/>
  <c r="I24" i="192"/>
  <c r="I25" i="192"/>
  <c r="C17" i="192"/>
  <c r="D19" i="192" s="1" a="1"/>
  <c r="D19" i="192" s="1"/>
  <c r="D20" i="192" s="1" a="1"/>
  <c r="D20" i="192" s="1"/>
  <c r="D21" i="192" s="1" a="1"/>
  <c r="D21" i="192" s="1"/>
  <c r="D22" i="192" s="1" a="1"/>
  <c r="D22" i="192" s="1"/>
  <c r="D23" i="192" s="1" a="1"/>
  <c r="D23" i="192" s="1"/>
  <c r="D24" i="192" s="1" a="1"/>
  <c r="D24" i="192" s="1"/>
  <c r="D25" i="192" s="1" a="1"/>
  <c r="D25" i="192" s="1"/>
  <c r="D26" i="192" s="1" a="1"/>
  <c r="D26" i="192" s="1"/>
  <c r="D27" i="192" s="1" a="1"/>
  <c r="D27" i="192" s="1"/>
  <c r="D28" i="192" s="1" a="1"/>
  <c r="D28" i="192" s="1"/>
  <c r="D29" i="192" s="1" a="1"/>
  <c r="D29" i="192" s="1"/>
  <c r="D30" i="192" s="1" a="1"/>
  <c r="D30" i="192" s="1"/>
  <c r="D31" i="192" s="1" a="1"/>
  <c r="D31" i="192" s="1"/>
  <c r="D32" i="192" s="1" a="1"/>
  <c r="D32" i="192" s="1"/>
  <c r="D33" i="192" s="1" a="1"/>
  <c r="D33" i="192" s="1"/>
  <c r="D34" i="192" s="1"/>
  <c r="D35" i="192" s="1"/>
  <c r="D36" i="192" s="1"/>
  <c r="C14" i="192"/>
  <c r="C11" i="192"/>
  <c r="C12" i="192"/>
  <c r="C13" i="192"/>
  <c r="C15" i="192"/>
  <c r="C16" i="192"/>
  <c r="I25" i="181"/>
  <c r="I27" i="177"/>
  <c r="I19" i="177"/>
  <c r="I26" i="181"/>
  <c r="I26" i="177"/>
  <c r="I25" i="177"/>
  <c r="I21" i="177"/>
  <c r="I20" i="177"/>
  <c r="I24" i="181"/>
  <c r="I31" i="182"/>
  <c r="I24" i="177"/>
  <c r="I30" i="182"/>
  <c r="I23" i="177"/>
  <c r="I29" i="182"/>
  <c r="I22" i="177"/>
  <c r="I28" i="182"/>
  <c r="I27" i="181"/>
  <c r="I15" i="176"/>
  <c r="I16" i="176"/>
  <c r="I17" i="176"/>
  <c r="I18" i="176"/>
  <c r="I18" i="181"/>
  <c r="I18" i="177"/>
  <c r="I19" i="176"/>
  <c r="I19" i="181"/>
  <c r="I20" i="176"/>
  <c r="I20" i="181"/>
  <c r="I21" i="181"/>
  <c r="I21" i="176"/>
  <c r="I22" i="182"/>
  <c r="I22" i="181"/>
  <c r="I22" i="176"/>
  <c r="I23" i="182"/>
  <c r="I23" i="176"/>
  <c r="I23" i="181"/>
  <c r="I24" i="182"/>
  <c r="I25" i="182"/>
  <c r="I26" i="182"/>
  <c r="I27" i="182"/>
  <c r="C21" i="182"/>
  <c r="C20" i="182"/>
  <c r="C19" i="182"/>
  <c r="C16" i="181"/>
  <c r="C13" i="182"/>
  <c r="C12" i="181"/>
  <c r="C15" i="181"/>
  <c r="C22" i="182"/>
  <c r="D22" i="182" s="1"/>
  <c r="C17" i="181"/>
  <c r="C11" i="182"/>
  <c r="C13" i="181"/>
  <c r="C12" i="182"/>
  <c r="C11" i="181"/>
  <c r="C18" i="181"/>
  <c r="D18" i="181" s="1"/>
  <c r="C14" i="182"/>
  <c r="C14" i="181"/>
  <c r="C15" i="182"/>
  <c r="C16" i="182"/>
  <c r="C17" i="182"/>
  <c r="C18" i="182"/>
  <c r="C16" i="177"/>
  <c r="C17" i="177"/>
  <c r="C15" i="176"/>
  <c r="D15" i="176" s="1"/>
  <c r="C18" i="177"/>
  <c r="D18" i="177" s="1"/>
  <c r="C13" i="176"/>
  <c r="C11" i="177"/>
  <c r="C11" i="176"/>
  <c r="C12" i="176"/>
  <c r="C12" i="177"/>
  <c r="C13" i="177"/>
  <c r="C14" i="176"/>
  <c r="C14" i="177"/>
  <c r="C15" i="177"/>
  <c r="E16" i="139" a="1"/>
  <c r="E16" i="139" s="1"/>
  <c r="E12" i="139" a="1"/>
  <c r="E12" i="139" s="1"/>
  <c r="E13" i="139" a="1"/>
  <c r="E13" i="139" s="1"/>
  <c r="E14" i="139" a="1"/>
  <c r="E14" i="139" s="1"/>
  <c r="E17" i="139" a="1"/>
  <c r="E17" i="139" s="1"/>
  <c r="E18" i="139" a="1"/>
  <c r="E18" i="139" s="1"/>
  <c r="E23" i="139" a="1"/>
  <c r="E23" i="139" s="1"/>
  <c r="E24" i="139" a="1"/>
  <c r="E24" i="139" s="1"/>
  <c r="E25" i="139" a="1"/>
  <c r="E25" i="139" s="1"/>
  <c r="E26" i="139" a="1"/>
  <c r="E26" i="139" s="1"/>
  <c r="E28" i="139" a="1"/>
  <c r="E28" i="139" s="1"/>
  <c r="E29" i="139" a="1"/>
  <c r="E29" i="139" s="1"/>
  <c r="E15" i="139" a="1"/>
  <c r="E15" i="139" s="1"/>
  <c r="E27" i="139" a="1"/>
  <c r="E27" i="139" s="1"/>
  <c r="E19" i="139" a="1"/>
  <c r="E19" i="139" s="1"/>
  <c r="E30" i="139" a="1"/>
  <c r="E30" i="139" s="1"/>
  <c r="E31" i="139" a="1"/>
  <c r="E31" i="139" s="1"/>
  <c r="E20" i="139" a="1"/>
  <c r="E20" i="139" s="1"/>
  <c r="E32" i="139" a="1"/>
  <c r="E32" i="139" s="1"/>
  <c r="E33" i="139" a="1"/>
  <c r="E33" i="139" s="1"/>
  <c r="I15" i="139"/>
  <c r="I16" i="139"/>
  <c r="I21" i="139"/>
  <c r="I17" i="139"/>
  <c r="I22" i="139"/>
  <c r="I23" i="139"/>
  <c r="I14" i="139"/>
  <c r="I18" i="139"/>
  <c r="I19" i="139"/>
  <c r="I20" i="139"/>
  <c r="E21" i="139" a="1"/>
  <c r="E21" i="139" s="1"/>
  <c r="L15" i="176" l="1"/>
  <c r="D16" i="176" a="1"/>
  <c r="D16" i="176" s="1"/>
  <c r="G15" i="176"/>
  <c r="J15" i="176" s="1"/>
  <c r="K15" i="176" s="1"/>
  <c r="D19" i="181" a="1"/>
  <c r="D19" i="181" s="1"/>
  <c r="D19" i="177" a="1"/>
  <c r="D19" i="177" s="1"/>
  <c r="D23" i="182" a="1"/>
  <c r="D23" i="182" s="1"/>
  <c r="E34" i="139"/>
  <c r="E35" i="139" s="1"/>
  <c r="E36" i="139" s="1"/>
  <c r="D20" i="181" l="1" a="1"/>
  <c r="D20" i="181" s="1"/>
  <c r="D20" i="177" a="1"/>
  <c r="D20" i="177" s="1"/>
  <c r="L16" i="176"/>
  <c r="G16" i="176"/>
  <c r="J16" i="176" s="1"/>
  <c r="K16" i="176" s="1"/>
  <c r="D17" i="176" a="1"/>
  <c r="D17" i="176" s="1"/>
  <c r="D24" i="182" a="1"/>
  <c r="D24" i="182" s="1"/>
  <c r="D21" i="177" l="1" a="1"/>
  <c r="D21" i="177" s="1"/>
  <c r="D21" i="181" a="1"/>
  <c r="D21" i="181" s="1"/>
  <c r="D18" i="176" a="1"/>
  <c r="D18" i="176" s="1"/>
  <c r="G17" i="176"/>
  <c r="J17" i="176" s="1"/>
  <c r="K17" i="176" s="1"/>
  <c r="L17" i="176"/>
  <c r="D25" i="182" a="1"/>
  <c r="D25" i="182" s="1"/>
  <c r="G18" i="176" l="1"/>
  <c r="J18" i="176" s="1"/>
  <c r="K18" i="176" s="1"/>
  <c r="D19" i="176" a="1"/>
  <c r="D19" i="176" s="1"/>
  <c r="L18" i="176"/>
  <c r="D22" i="181" a="1"/>
  <c r="D22" i="181" s="1"/>
  <c r="D26" i="182" a="1"/>
  <c r="D26" i="182" s="1"/>
  <c r="D22" i="177" a="1"/>
  <c r="D22" i="177" s="1"/>
  <c r="D23" i="181" l="1" a="1"/>
  <c r="D23" i="181" s="1"/>
  <c r="D23" i="177" a="1"/>
  <c r="D23" i="177" s="1"/>
  <c r="D27" i="182" a="1"/>
  <c r="D27" i="182" s="1"/>
  <c r="G19" i="176"/>
  <c r="J19" i="176" s="1"/>
  <c r="K19" i="176" s="1"/>
  <c r="D20" i="176" a="1"/>
  <c r="D20" i="176" s="1"/>
  <c r="L19" i="176"/>
  <c r="L20" i="176" l="1"/>
  <c r="D21" i="176" a="1"/>
  <c r="D21" i="176" s="1"/>
  <c r="G20" i="176"/>
  <c r="J20" i="176" s="1"/>
  <c r="K20" i="176" s="1"/>
  <c r="D28" i="182" a="1"/>
  <c r="D28" i="182" s="1"/>
  <c r="D24" i="181" a="1"/>
  <c r="D24" i="181" s="1"/>
  <c r="D24" i="177" a="1"/>
  <c r="D24" i="177" s="1"/>
  <c r="D25" i="177" l="1" a="1"/>
  <c r="D25" i="177" s="1"/>
  <c r="D25" i="181" a="1"/>
  <c r="D25" i="181" s="1"/>
  <c r="D29" i="182" a="1"/>
  <c r="D29" i="182" s="1"/>
  <c r="G21" i="176"/>
  <c r="J21" i="176" s="1"/>
  <c r="K21" i="176" s="1"/>
  <c r="L21" i="176"/>
  <c r="D22" i="176" a="1"/>
  <c r="D22" i="176" s="1"/>
  <c r="D23" i="176" l="1" a="1"/>
  <c r="D23" i="176" s="1"/>
  <c r="L22" i="176"/>
  <c r="G22" i="176"/>
  <c r="J22" i="176" s="1"/>
  <c r="K22" i="176" s="1"/>
  <c r="D26" i="181" a="1"/>
  <c r="D26" i="181" s="1"/>
  <c r="D30" i="182" a="1"/>
  <c r="D30" i="182" s="1"/>
  <c r="D26" i="177" a="1"/>
  <c r="D26" i="177" s="1"/>
  <c r="D27" i="177" l="1" a="1"/>
  <c r="D27" i="177" s="1"/>
  <c r="L23" i="176"/>
  <c r="G23" i="176"/>
  <c r="J23" i="176" s="1"/>
  <c r="K23" i="176" s="1"/>
  <c r="D24" i="176" a="1"/>
  <c r="D24" i="176" s="1"/>
  <c r="D31" i="182" a="1"/>
  <c r="D31" i="182" s="1"/>
  <c r="D27" i="181" a="1"/>
  <c r="D27" i="181" s="1"/>
  <c r="D28" i="181" l="1" a="1"/>
  <c r="D28" i="181" s="1"/>
  <c r="L24" i="176"/>
  <c r="G24" i="176"/>
  <c r="J24" i="176" s="1"/>
  <c r="K24" i="176" s="1"/>
  <c r="D25" i="176" a="1"/>
  <c r="D25" i="176" s="1"/>
  <c r="D32" i="182" a="1"/>
  <c r="D32" i="182" s="1"/>
  <c r="D28" i="177" a="1"/>
  <c r="D28" i="177" s="1"/>
  <c r="D29" i="177" l="1" a="1"/>
  <c r="D29" i="177" s="1"/>
  <c r="D29" i="181" a="1"/>
  <c r="D29" i="181" s="1"/>
  <c r="D33" i="182" a="1"/>
  <c r="D33" i="182" s="1"/>
  <c r="L25" i="176"/>
  <c r="D26" i="176" a="1"/>
  <c r="D26" i="176" s="1"/>
  <c r="G25" i="176"/>
  <c r="J25" i="176" s="1"/>
  <c r="K25" i="176" s="1"/>
  <c r="D34" i="182" l="1"/>
  <c r="D30" i="181" a="1"/>
  <c r="D30" i="181" s="1"/>
  <c r="D30" i="177" a="1"/>
  <c r="D30" i="177" s="1"/>
  <c r="L26" i="176"/>
  <c r="G26" i="176"/>
  <c r="J26" i="176" s="1"/>
  <c r="K26" i="176" s="1"/>
  <c r="D27" i="176" a="1"/>
  <c r="D27" i="176" s="1"/>
  <c r="D31" i="181" l="1" a="1"/>
  <c r="D31" i="181" s="1"/>
  <c r="D31" i="177" a="1"/>
  <c r="D31" i="177" s="1"/>
  <c r="G27" i="176"/>
  <c r="J27" i="176" s="1"/>
  <c r="K27" i="176" s="1"/>
  <c r="D28" i="176" a="1"/>
  <c r="D28" i="176" s="1"/>
  <c r="L27" i="176"/>
  <c r="D35" i="182"/>
  <c r="D32" i="181" l="1" a="1"/>
  <c r="D32" i="181" s="1"/>
  <c r="D36" i="182"/>
  <c r="G28" i="176"/>
  <c r="J28" i="176" s="1"/>
  <c r="K28" i="176" s="1"/>
  <c r="L28" i="176"/>
  <c r="D29" i="176" a="1"/>
  <c r="D29" i="176" s="1"/>
  <c r="D32" i="177" a="1"/>
  <c r="D32" i="177" s="1"/>
  <c r="D33" i="177" l="1" a="1"/>
  <c r="D33" i="177" s="1"/>
  <c r="D30" i="176" a="1"/>
  <c r="D30" i="176" s="1"/>
  <c r="G29" i="176"/>
  <c r="J29" i="176" s="1"/>
  <c r="K29" i="176" s="1"/>
  <c r="L29" i="176"/>
  <c r="D33" i="181" a="1"/>
  <c r="D33" i="181" s="1"/>
  <c r="D31" i="176" l="1" a="1"/>
  <c r="D31" i="176" s="1"/>
  <c r="G30" i="176"/>
  <c r="J30" i="176" s="1"/>
  <c r="K30" i="176" s="1"/>
  <c r="L30" i="176"/>
  <c r="D34" i="177"/>
  <c r="D34" i="181"/>
  <c r="D35" i="177" l="1"/>
  <c r="D35" i="181"/>
  <c r="G31" i="176"/>
  <c r="J31" i="176" s="1"/>
  <c r="K31" i="176" s="1"/>
  <c r="D32" i="176" a="1"/>
  <c r="D32" i="176" s="1"/>
  <c r="L31" i="176"/>
  <c r="D36" i="177" l="1"/>
  <c r="D36" i="181"/>
  <c r="L32" i="176"/>
  <c r="G32" i="176"/>
  <c r="J32" i="176" s="1"/>
  <c r="K32" i="176" s="1"/>
  <c r="D33" i="176" a="1"/>
  <c r="D33" i="176" s="1"/>
  <c r="L33" i="176" l="1"/>
  <c r="G33" i="176"/>
  <c r="J33" i="176" s="1"/>
  <c r="K33" i="176" s="1"/>
  <c r="D34" i="176"/>
  <c r="D35" i="176" l="1"/>
  <c r="L34" i="176"/>
  <c r="G34" i="176"/>
  <c r="J34" i="176" s="1"/>
  <c r="K34" i="176" s="1"/>
  <c r="D36" i="176" l="1"/>
  <c r="L35" i="176"/>
  <c r="G35" i="176"/>
  <c r="J35" i="176" s="1"/>
  <c r="K35" i="176" s="1"/>
  <c r="G36" i="176" l="1"/>
  <c r="J36" i="176" s="1"/>
  <c r="K36" i="176" s="1"/>
  <c r="L36" i="176"/>
  <c r="E77" i="167" l="1"/>
  <c r="E76" i="167"/>
  <c r="E75" i="167"/>
  <c r="E74" i="167"/>
  <c r="E73" i="167"/>
  <c r="E72" i="167"/>
  <c r="E71" i="167"/>
  <c r="E69" i="167"/>
  <c r="E68" i="167"/>
  <c r="E67" i="167"/>
  <c r="E66" i="167"/>
  <c r="E65" i="167"/>
  <c r="BN9" i="25" l="1"/>
  <c r="AF9" i="25" s="1"/>
  <c r="F6" i="131" l="1"/>
  <c r="G6" i="131"/>
  <c r="C6" i="131"/>
  <c r="D6" i="131"/>
  <c r="A7" i="131"/>
  <c r="B7" i="131" l="1"/>
  <c r="E7" i="131"/>
  <c r="F7" i="131"/>
  <c r="G7" i="131"/>
  <c r="C7" i="131"/>
  <c r="D7" i="131"/>
  <c r="A8" i="131"/>
  <c r="B8" i="131" l="1"/>
  <c r="E8" i="131"/>
  <c r="G8" i="131"/>
  <c r="F8" i="131"/>
  <c r="C8" i="131"/>
  <c r="D8" i="131"/>
  <c r="A9" i="131"/>
  <c r="B9" i="131" l="1"/>
  <c r="E9" i="131"/>
  <c r="G9" i="131"/>
  <c r="F9" i="131"/>
  <c r="C9" i="131"/>
  <c r="D9" i="131"/>
  <c r="A10" i="131"/>
  <c r="E10" i="131" l="1"/>
  <c r="F10" i="131"/>
  <c r="G10" i="131"/>
  <c r="C10" i="131"/>
  <c r="D10" i="131"/>
  <c r="A11" i="131"/>
  <c r="E11" i="131" l="1"/>
  <c r="F11" i="131"/>
  <c r="G11" i="131"/>
  <c r="C11" i="131"/>
  <c r="D11" i="131"/>
  <c r="A12" i="131"/>
  <c r="E12" i="131" l="1"/>
  <c r="F12" i="131"/>
  <c r="G12" i="131"/>
  <c r="C12" i="131"/>
  <c r="D12" i="131"/>
  <c r="A13" i="131"/>
  <c r="F13" i="131" l="1"/>
  <c r="G13" i="131"/>
  <c r="C13" i="131"/>
  <c r="D13" i="131"/>
  <c r="A14" i="131"/>
  <c r="G14" i="131" l="1"/>
  <c r="C14" i="131"/>
  <c r="A15" i="131"/>
  <c r="G15" i="131" l="1"/>
  <c r="C15" i="131"/>
  <c r="A16" i="131"/>
  <c r="G16" i="131" l="1"/>
  <c r="C16" i="131"/>
  <c r="A17" i="131"/>
  <c r="G17" i="131" l="1"/>
  <c r="C17" i="131"/>
  <c r="A18" i="131"/>
  <c r="C18" i="131" l="1"/>
  <c r="A19" i="131"/>
  <c r="C19" i="131" l="1"/>
  <c r="A20" i="131"/>
  <c r="C20" i="131" l="1"/>
  <c r="A21" i="131"/>
  <c r="C21" i="131" l="1"/>
  <c r="A22" i="131"/>
  <c r="C22" i="131" l="1"/>
  <c r="A23" i="131"/>
  <c r="C23" i="131" l="1"/>
  <c r="A24" i="131"/>
  <c r="C24" i="131" l="1"/>
  <c r="A25" i="131"/>
  <c r="C25" i="131" l="1"/>
  <c r="A26" i="131"/>
  <c r="C26" i="131" l="1"/>
  <c r="A27" i="131"/>
  <c r="C27" i="131" l="1"/>
  <c r="A28" i="131"/>
  <c r="C28" i="131" l="1"/>
  <c r="A29" i="131"/>
  <c r="C29" i="131" l="1"/>
  <c r="A30" i="131"/>
  <c r="A31" i="131" l="1"/>
  <c r="C30" i="131"/>
  <c r="A32" i="131" l="1"/>
  <c r="C31" i="131"/>
  <c r="C32" i="131" l="1"/>
  <c r="C35" i="131" s="1"/>
  <c r="B58" i="25" l="1"/>
  <c r="B53" i="25"/>
  <c r="A7" i="31"/>
  <c r="A57" i="25" s="1"/>
  <c r="A8" i="31"/>
  <c r="A52" i="25" s="1"/>
  <c r="ER9" i="25" l="1"/>
  <c r="EQ9" i="25"/>
  <c r="EP9" i="25"/>
  <c r="EH9" i="25"/>
  <c r="EG9" i="25"/>
  <c r="EF9" i="25"/>
  <c r="EE9" i="25"/>
  <c r="EN9" i="25" l="1"/>
  <c r="EL9" i="25"/>
  <c r="BP9" i="25"/>
  <c r="AH9" i="25" s="1"/>
  <c r="EJ9" i="25"/>
  <c r="EI9" i="25" l="1"/>
  <c r="ED9" i="25" l="1"/>
  <c r="EB9" i="25" l="1"/>
  <c r="EO9" i="25" l="1"/>
  <c r="D44" i="139" l="1"/>
  <c r="D47" i="139"/>
  <c r="C47" i="139"/>
  <c r="D46" i="139"/>
  <c r="C46" i="139"/>
  <c r="C45" i="139"/>
  <c r="C44" i="139"/>
  <c r="C43" i="139"/>
  <c r="B2" i="139"/>
  <c r="AY9" i="25" l="1"/>
  <c r="Q9" i="25" s="1"/>
  <c r="D45" i="139"/>
  <c r="B11" i="139"/>
  <c r="B3" i="139"/>
  <c r="B9" i="139" s="1"/>
  <c r="C11" i="139" l="1"/>
  <c r="E11" i="139" a="1"/>
  <c r="E11" i="139" s="1"/>
  <c r="B12" i="139"/>
  <c r="EC9" i="25"/>
  <c r="B13" i="139" l="1"/>
  <c r="C12" i="139"/>
  <c r="EK9" i="25"/>
  <c r="B14" i="139" l="1"/>
  <c r="C13" i="139"/>
  <c r="C14" i="139" l="1"/>
  <c r="D14" i="139" s="1"/>
  <c r="B15" i="139"/>
  <c r="D15" i="139" l="1" a="1"/>
  <c r="D15" i="139" s="1"/>
  <c r="L14" i="139"/>
  <c r="B10" i="131" s="1"/>
  <c r="G14" i="139"/>
  <c r="J14" i="139" s="1"/>
  <c r="K14" i="139" s="1"/>
  <c r="B16" i="139"/>
  <c r="B17" i="139" l="1"/>
  <c r="D16" i="139" a="1"/>
  <c r="D16" i="139" s="1"/>
  <c r="D17" i="139" s="1" a="1"/>
  <c r="D17" i="139" s="1"/>
  <c r="B18" i="139" l="1"/>
  <c r="B19" i="139" l="1"/>
  <c r="D18" i="139" a="1"/>
  <c r="D18" i="139" s="1"/>
  <c r="D19" i="139" s="1" a="1"/>
  <c r="D19" i="139" s="1"/>
  <c r="B20" i="139" l="1"/>
  <c r="D20" i="139" a="1"/>
  <c r="D20" i="139" s="1"/>
  <c r="B21" i="139" l="1"/>
  <c r="D21" i="139" a="1"/>
  <c r="D21" i="139" s="1"/>
  <c r="B22" i="139" l="1"/>
  <c r="D22" i="139" a="1"/>
  <c r="D22" i="139" s="1"/>
  <c r="B23" i="139" l="1"/>
  <c r="D23" i="139" a="1"/>
  <c r="D23" i="139" s="1"/>
  <c r="B24" i="139" l="1"/>
  <c r="D24" i="139" a="1"/>
  <c r="D24" i="139" s="1"/>
  <c r="B25" i="139" l="1"/>
  <c r="B26" i="139" s="1"/>
  <c r="B27" i="139" s="1"/>
  <c r="B28" i="139" s="1"/>
  <c r="B29" i="139" s="1"/>
  <c r="B30" i="139" s="1"/>
  <c r="B31" i="139" s="1"/>
  <c r="B32" i="139" s="1"/>
  <c r="B33" i="139" s="1"/>
  <c r="B34" i="139" s="1"/>
  <c r="B35" i="139" s="1"/>
  <c r="B36" i="139" s="1"/>
  <c r="D25" i="139" l="1" a="1"/>
  <c r="D25" i="139" s="1"/>
  <c r="D26" i="139" s="1" a="1"/>
  <c r="D26" i="139" s="1"/>
  <c r="D27" i="139" s="1" a="1"/>
  <c r="D27" i="139" s="1"/>
  <c r="D28" i="139" s="1" a="1"/>
  <c r="D28" i="139" s="1"/>
  <c r="D29" i="139" s="1" a="1"/>
  <c r="D29" i="139" s="1"/>
  <c r="D30" i="139" s="1" a="1"/>
  <c r="D30" i="139" s="1"/>
  <c r="D31" i="139" s="1" a="1"/>
  <c r="D31" i="139" s="1"/>
  <c r="D32" i="139" s="1" a="1"/>
  <c r="D32" i="139" s="1"/>
  <c r="D33" i="139" s="1" a="1"/>
  <c r="D33" i="139" s="1"/>
  <c r="D34" i="139" s="1"/>
  <c r="D35" i="139" s="1"/>
  <c r="D36" i="139" s="1"/>
  <c r="AX9" i="25" l="1"/>
  <c r="P9" i="25" s="1"/>
  <c r="BC9" i="25"/>
  <c r="U9" i="25" s="1"/>
  <c r="EM9" i="25"/>
  <c r="EA9" i="25" l="1"/>
  <c r="B41" i="131"/>
  <c r="D41" i="131"/>
  <c r="L36" i="139" l="1"/>
  <c r="B32" i="131" s="1"/>
  <c r="G36" i="139"/>
  <c r="J36" i="139" s="1"/>
  <c r="K36" i="139" s="1"/>
  <c r="D42" i="131"/>
  <c r="B42" i="131"/>
  <c r="D43" i="131"/>
  <c r="B43" i="131"/>
  <c r="G15" i="139" l="1"/>
  <c r="J15" i="139" s="1"/>
  <c r="L15" i="139"/>
  <c r="B11" i="131" s="1"/>
  <c r="G16" i="139" l="1"/>
  <c r="J16" i="139" s="1"/>
  <c r="K16" i="139" s="1"/>
  <c r="L16" i="139"/>
  <c r="B12" i="131" s="1"/>
  <c r="K15" i="139"/>
  <c r="L17" i="139" l="1"/>
  <c r="B13" i="131" s="1"/>
  <c r="G17" i="139"/>
  <c r="J17" i="139" s="1"/>
  <c r="L18" i="139" l="1"/>
  <c r="B14" i="131" s="1"/>
  <c r="G18" i="139"/>
  <c r="J18" i="139" s="1"/>
  <c r="K18" i="139" s="1"/>
  <c r="K17" i="139"/>
  <c r="G19" i="139" l="1"/>
  <c r="J19" i="139" s="1"/>
  <c r="K19" i="139" s="1"/>
  <c r="L19" i="139"/>
  <c r="B15" i="131" s="1"/>
  <c r="G20" i="139" l="1"/>
  <c r="J20" i="139" s="1"/>
  <c r="K20" i="139" s="1"/>
  <c r="L20" i="139"/>
  <c r="B16" i="131" s="1"/>
  <c r="G21" i="139" l="1"/>
  <c r="J21" i="139" s="1"/>
  <c r="K21" i="139" s="1"/>
  <c r="L21" i="139"/>
  <c r="B17" i="131" s="1"/>
  <c r="G22" i="139" l="1"/>
  <c r="J22" i="139" s="1"/>
  <c r="K22" i="139" s="1"/>
  <c r="L22" i="139"/>
  <c r="B18" i="131" s="1"/>
  <c r="L23" i="139" l="1"/>
  <c r="B19" i="131" s="1"/>
  <c r="G23" i="139"/>
  <c r="J23" i="139" s="1"/>
  <c r="K23" i="139" s="1"/>
  <c r="G24" i="139" l="1"/>
  <c r="J24" i="139" s="1"/>
  <c r="K24" i="139" s="1"/>
  <c r="L24" i="139"/>
  <c r="B20" i="131" s="1"/>
  <c r="G25" i="139" l="1"/>
  <c r="J25" i="139" s="1"/>
  <c r="K25" i="139" s="1"/>
  <c r="L25" i="139"/>
  <c r="B21" i="131" s="1"/>
  <c r="G26" i="139" l="1"/>
  <c r="J26" i="139" s="1"/>
  <c r="K26" i="139" s="1"/>
  <c r="L26" i="139"/>
  <c r="B22" i="131" s="1"/>
  <c r="G27" i="139" l="1"/>
  <c r="J27" i="139" s="1"/>
  <c r="K27" i="139" s="1"/>
  <c r="L27" i="139"/>
  <c r="B23" i="131" s="1"/>
  <c r="G28" i="139" l="1"/>
  <c r="J28" i="139" s="1"/>
  <c r="K28" i="139" s="1"/>
  <c r="K38" i="139" s="1"/>
  <c r="L28" i="139"/>
  <c r="B24" i="131" s="1"/>
  <c r="L38" i="139" l="1"/>
  <c r="G29" i="139"/>
  <c r="J29" i="139" s="1"/>
  <c r="K29" i="139" s="1"/>
  <c r="L29" i="139"/>
  <c r="B25" i="131" s="1"/>
  <c r="G30" i="139" l="1"/>
  <c r="J30" i="139" s="1"/>
  <c r="K30" i="139" s="1"/>
  <c r="L30" i="139"/>
  <c r="B26" i="131" s="1"/>
  <c r="G32" i="139" l="1"/>
  <c r="J32" i="139" s="1"/>
  <c r="K32" i="139" s="1"/>
  <c r="L32" i="139"/>
  <c r="B28" i="131" s="1"/>
  <c r="G31" i="139"/>
  <c r="J31" i="139" s="1"/>
  <c r="L31" i="139"/>
  <c r="B27" i="131" s="1"/>
  <c r="L39" i="139" l="1"/>
  <c r="L34" i="139"/>
  <c r="B30" i="131" s="1"/>
  <c r="G34" i="139"/>
  <c r="J34" i="139" s="1"/>
  <c r="K34" i="139" s="1"/>
  <c r="L33" i="139"/>
  <c r="B29" i="131" s="1"/>
  <c r="G33" i="139"/>
  <c r="J33" i="139" s="1"/>
  <c r="K33" i="139" s="1"/>
  <c r="K31" i="139"/>
  <c r="K39" i="139" s="1"/>
  <c r="L35" i="139" l="1"/>
  <c r="G35" i="139"/>
  <c r="J35" i="139" s="1"/>
  <c r="K35" i="139" s="1"/>
  <c r="B31" i="131" l="1"/>
  <c r="B35" i="131" s="1"/>
  <c r="R5" i="31"/>
  <c r="Q5" i="31" s="1"/>
  <c r="P5" i="31" s="1"/>
  <c r="S6" i="31" l="1"/>
  <c r="A10" i="31" l="1"/>
  <c r="R6" i="31"/>
  <c r="Q6" i="31"/>
  <c r="P6" i="31"/>
  <c r="DS9" i="25" l="1"/>
  <c r="A47" i="25" l="1"/>
  <c r="B48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B11" i="47" l="1"/>
  <c r="J12" i="47" l="1"/>
  <c r="B12" i="47" l="1"/>
  <c r="J13" i="47" l="1"/>
  <c r="O13" i="47"/>
  <c r="B13" i="47"/>
  <c r="B14" i="47" l="1"/>
  <c r="B15" i="47"/>
  <c r="C10" i="25"/>
  <c r="B16" i="47" l="1"/>
  <c r="T17" i="47" l="1"/>
  <c r="FD20" i="25" s="1"/>
  <c r="FD21" i="25" s="1" a="1"/>
  <c r="FD21" i="25" s="1"/>
  <c r="FD22" i="25" s="1" a="1"/>
  <c r="FD22" i="25" s="1"/>
  <c r="FD23" i="25" s="1" a="1"/>
  <c r="FD23" i="25" s="1"/>
  <c r="FD24" i="25" s="1" a="1"/>
  <c r="FD24" i="25" s="1"/>
  <c r="FD25" i="25" s="1" a="1"/>
  <c r="FD25" i="25" s="1"/>
  <c r="FD26" i="25" s="1" a="1"/>
  <c r="FD26" i="25" s="1"/>
  <c r="FD27" i="25" s="1" a="1"/>
  <c r="FD27" i="25" s="1"/>
  <c r="FD28" i="25" s="1" a="1"/>
  <c r="FD28" i="25" s="1"/>
  <c r="FD29" i="25" s="1" a="1"/>
  <c r="FD29" i="25" s="1"/>
  <c r="FD30" i="25" s="1" a="1"/>
  <c r="FD30" i="25" s="1"/>
  <c r="FD31" i="25" s="1" a="1"/>
  <c r="FD31" i="25" s="1"/>
  <c r="FD32" i="25" s="1" a="1"/>
  <c r="FD32" i="25" s="1"/>
  <c r="FD33" i="25" s="1" a="1"/>
  <c r="FD33" i="25" s="1"/>
  <c r="FD34" i="25" s="1" a="1"/>
  <c r="FD34" i="25" s="1"/>
  <c r="FD35" i="25" s="1" a="1"/>
  <c r="FD35" i="25" s="1"/>
  <c r="F18" i="181" l="1"/>
  <c r="F19" i="181" s="1" a="1"/>
  <c r="F19" i="181" s="1"/>
  <c r="F20" i="181" s="1" a="1"/>
  <c r="F20" i="181" s="1"/>
  <c r="F21" i="181" s="1" a="1"/>
  <c r="F21" i="181" s="1"/>
  <c r="F22" i="181" s="1" a="1"/>
  <c r="F22" i="181" s="1"/>
  <c r="F23" i="181" s="1" a="1"/>
  <c r="F23" i="181" s="1"/>
  <c r="F24" i="181" s="1" a="1"/>
  <c r="F24" i="181" s="1"/>
  <c r="F25" i="181" s="1" a="1"/>
  <c r="F25" i="181" s="1"/>
  <c r="F26" i="181" s="1" a="1"/>
  <c r="F26" i="181" s="1"/>
  <c r="F27" i="181" s="1" a="1"/>
  <c r="F27" i="181" s="1"/>
  <c r="F28" i="181" s="1" a="1"/>
  <c r="F28" i="181" s="1"/>
  <c r="F29" i="181" s="1" a="1"/>
  <c r="F29" i="181" s="1"/>
  <c r="F30" i="181" s="1" a="1"/>
  <c r="F30" i="181" s="1"/>
  <c r="F31" i="181" s="1" a="1"/>
  <c r="F31" i="181" s="1"/>
  <c r="F32" i="181" s="1" a="1"/>
  <c r="F32" i="181" s="1"/>
  <c r="F33" i="181" s="1" a="1"/>
  <c r="F33" i="181" s="1"/>
  <c r="F34" i="181" s="1"/>
  <c r="F35" i="181" s="1"/>
  <c r="F36" i="181" s="1"/>
  <c r="F18" i="177"/>
  <c r="F19" i="177" s="1" a="1"/>
  <c r="F19" i="177" s="1"/>
  <c r="F20" i="177" s="1" a="1"/>
  <c r="F20" i="177" s="1"/>
  <c r="F21" i="177" s="1" a="1"/>
  <c r="F21" i="177" s="1"/>
  <c r="F22" i="177" s="1" a="1"/>
  <c r="F22" i="177" s="1"/>
  <c r="F23" i="177" s="1" a="1"/>
  <c r="F23" i="177" s="1"/>
  <c r="F24" i="177" s="1" a="1"/>
  <c r="F24" i="177" s="1"/>
  <c r="F25" i="177" s="1" a="1"/>
  <c r="F25" i="177" s="1"/>
  <c r="F26" i="177" s="1" a="1"/>
  <c r="F26" i="177" s="1"/>
  <c r="F27" i="177" s="1" a="1"/>
  <c r="F27" i="177" s="1"/>
  <c r="F28" i="177" s="1" a="1"/>
  <c r="F28" i="177" s="1"/>
  <c r="F29" i="177" s="1" a="1"/>
  <c r="F29" i="177" s="1"/>
  <c r="F30" i="177" s="1" a="1"/>
  <c r="F30" i="177" s="1"/>
  <c r="F31" i="177" s="1" a="1"/>
  <c r="F31" i="177" s="1"/>
  <c r="F32" i="177" s="1" a="1"/>
  <c r="F32" i="177" s="1"/>
  <c r="F33" i="177" s="1" a="1"/>
  <c r="F33" i="177" s="1"/>
  <c r="F34" i="177" s="1"/>
  <c r="F35" i="177" s="1"/>
  <c r="F36" i="177" s="1"/>
  <c r="B17" i="47"/>
  <c r="B18" i="47" l="1"/>
  <c r="E13" i="131"/>
  <c r="B19" i="47" l="1"/>
  <c r="B20" i="47"/>
  <c r="G18" i="192"/>
  <c r="J18" i="192" s="1"/>
  <c r="K18" i="192" s="1"/>
  <c r="L18" i="192"/>
  <c r="E14" i="131" s="1"/>
  <c r="L18" i="181"/>
  <c r="F14" i="131" s="1"/>
  <c r="G18" i="181"/>
  <c r="J18" i="181" s="1"/>
  <c r="K18" i="181" s="1"/>
  <c r="Y21" i="47" l="1"/>
  <c r="F22" i="182" s="1"/>
  <c r="F23" i="182" s="1" a="1"/>
  <c r="F23" i="182" s="1"/>
  <c r="F24" i="182" s="1" a="1"/>
  <c r="F24" i="182" s="1"/>
  <c r="F25" i="182" s="1" a="1"/>
  <c r="F25" i="182" s="1"/>
  <c r="F26" i="182" s="1" a="1"/>
  <c r="F26" i="182" s="1"/>
  <c r="F27" i="182" s="1" a="1"/>
  <c r="F27" i="182" s="1"/>
  <c r="F28" i="182" s="1" a="1"/>
  <c r="F28" i="182" s="1"/>
  <c r="F29" i="182" s="1" a="1"/>
  <c r="F29" i="182" s="1"/>
  <c r="F30" i="182" s="1" a="1"/>
  <c r="F30" i="182" s="1"/>
  <c r="F31" i="182" s="1" a="1"/>
  <c r="F31" i="182" s="1"/>
  <c r="F32" i="182" s="1" a="1"/>
  <c r="F32" i="182" s="1"/>
  <c r="F33" i="182" s="1" a="1"/>
  <c r="F33" i="182" s="1"/>
  <c r="F34" i="182" s="1"/>
  <c r="F35" i="182" s="1"/>
  <c r="F36" i="182" s="1"/>
  <c r="G20" i="192"/>
  <c r="J20" i="192" s="1"/>
  <c r="K20" i="192" s="1"/>
  <c r="L20" i="192"/>
  <c r="E16" i="131" s="1"/>
  <c r="L19" i="192"/>
  <c r="E15" i="131" s="1"/>
  <c r="G19" i="192"/>
  <c r="J19" i="192" s="1"/>
  <c r="K19" i="192" s="1"/>
  <c r="B21" i="47" l="1"/>
  <c r="B22" i="47"/>
  <c r="G21" i="192"/>
  <c r="J21" i="192" s="1"/>
  <c r="K21" i="192" s="1"/>
  <c r="L21" i="192"/>
  <c r="E17" i="131" s="1"/>
  <c r="B23" i="47" l="1"/>
  <c r="L22" i="192"/>
  <c r="E18" i="131" s="1"/>
  <c r="G22" i="192"/>
  <c r="J22" i="192" s="1"/>
  <c r="K22" i="192" s="1"/>
  <c r="B24" i="47" l="1"/>
  <c r="L23" i="192"/>
  <c r="E19" i="131" s="1"/>
  <c r="G23" i="192"/>
  <c r="J23" i="192" s="1"/>
  <c r="K23" i="192" s="1"/>
  <c r="B25" i="47" l="1"/>
  <c r="G24" i="192"/>
  <c r="J24" i="192" s="1"/>
  <c r="K24" i="192" s="1"/>
  <c r="L24" i="192"/>
  <c r="E20" i="131" s="1"/>
  <c r="B26" i="47" l="1"/>
  <c r="L25" i="192"/>
  <c r="E21" i="131" s="1"/>
  <c r="G25" i="192"/>
  <c r="J25" i="192" s="1"/>
  <c r="K25" i="192" s="1"/>
  <c r="B27" i="47" l="1"/>
  <c r="L26" i="192"/>
  <c r="E22" i="131" s="1"/>
  <c r="G26" i="192"/>
  <c r="J26" i="192" s="1"/>
  <c r="K26" i="192" s="1"/>
  <c r="B28" i="47" l="1"/>
  <c r="G27" i="192"/>
  <c r="J27" i="192" s="1"/>
  <c r="K27" i="192" s="1"/>
  <c r="L27" i="192"/>
  <c r="E23" i="131" s="1"/>
  <c r="B29" i="47" l="1"/>
  <c r="L28" i="192"/>
  <c r="E24" i="131" s="1"/>
  <c r="G28" i="192"/>
  <c r="J28" i="192" s="1"/>
  <c r="K28" i="192" s="1"/>
  <c r="B30" i="47" l="1"/>
  <c r="L29" i="192"/>
  <c r="E25" i="131" s="1"/>
  <c r="G29" i="192"/>
  <c r="J29" i="192" s="1"/>
  <c r="K29" i="192" s="1"/>
  <c r="B31" i="47" l="1"/>
  <c r="G30" i="192"/>
  <c r="J30" i="192" s="1"/>
  <c r="K30" i="192" s="1"/>
  <c r="L30" i="192"/>
  <c r="E26" i="131" s="1"/>
  <c r="B32" i="47" l="1"/>
  <c r="L31" i="192"/>
  <c r="E27" i="131" s="1"/>
  <c r="G31" i="192"/>
  <c r="J31" i="192" s="1"/>
  <c r="K31" i="192" s="1"/>
  <c r="B33" i="47" l="1"/>
  <c r="B34" i="47" l="1"/>
  <c r="L33" i="192"/>
  <c r="E29" i="131" s="1"/>
  <c r="G33" i="192"/>
  <c r="J33" i="192" s="1"/>
  <c r="K33" i="192" s="1"/>
  <c r="L32" i="192"/>
  <c r="E28" i="131" s="1"/>
  <c r="G32" i="192"/>
  <c r="J32" i="192" s="1"/>
  <c r="K32" i="192" s="1"/>
  <c r="B35" i="47" l="1"/>
  <c r="G34" i="192"/>
  <c r="J34" i="192" s="1"/>
  <c r="K34" i="192" s="1"/>
  <c r="L34" i="192"/>
  <c r="E30" i="131" s="1"/>
  <c r="G35" i="182"/>
  <c r="J35" i="182" s="1"/>
  <c r="K35" i="182" s="1"/>
  <c r="G33" i="177"/>
  <c r="J33" i="177" s="1"/>
  <c r="K33" i="177" s="1"/>
  <c r="G33" i="181"/>
  <c r="J33" i="181" s="1"/>
  <c r="K33" i="181" s="1"/>
  <c r="L34" i="182"/>
  <c r="G30" i="131" s="1"/>
  <c r="G34" i="177"/>
  <c r="J34" i="177" s="1"/>
  <c r="K34" i="177" s="1"/>
  <c r="L33" i="177" l="1"/>
  <c r="D29" i="131" s="1"/>
  <c r="L33" i="181"/>
  <c r="F29" i="131" s="1"/>
  <c r="G34" i="182"/>
  <c r="J34" i="182" s="1"/>
  <c r="K34" i="182" s="1"/>
  <c r="G20" i="177"/>
  <c r="J20" i="177" s="1"/>
  <c r="K20" i="177" s="1"/>
  <c r="L20" i="177"/>
  <c r="D16" i="131" s="1"/>
  <c r="L26" i="181"/>
  <c r="F22" i="131" s="1"/>
  <c r="G26" i="181"/>
  <c r="J26" i="181" s="1"/>
  <c r="K26" i="181" s="1"/>
  <c r="G28" i="182"/>
  <c r="J28" i="182" s="1"/>
  <c r="K28" i="182" s="1"/>
  <c r="L28" i="182"/>
  <c r="G24" i="131" s="1"/>
  <c r="G26" i="182"/>
  <c r="J26" i="182" s="1"/>
  <c r="K26" i="182" s="1"/>
  <c r="L26" i="182"/>
  <c r="G22" i="131" s="1"/>
  <c r="G22" i="181"/>
  <c r="J22" i="181" s="1"/>
  <c r="K22" i="181" s="1"/>
  <c r="L22" i="181"/>
  <c r="F18" i="131" s="1"/>
  <c r="L22" i="182"/>
  <c r="G18" i="131" s="1"/>
  <c r="G22" i="182"/>
  <c r="J22" i="182" s="1"/>
  <c r="K22" i="182" s="1"/>
  <c r="L25" i="181"/>
  <c r="F21" i="131" s="1"/>
  <c r="G25" i="181"/>
  <c r="J25" i="181" s="1"/>
  <c r="K25" i="181" s="1"/>
  <c r="G29" i="182"/>
  <c r="J29" i="182" s="1"/>
  <c r="K29" i="182" s="1"/>
  <c r="L29" i="182"/>
  <c r="G25" i="131" s="1"/>
  <c r="G29" i="181"/>
  <c r="J29" i="181" s="1"/>
  <c r="K29" i="181" s="1"/>
  <c r="L29" i="181"/>
  <c r="F25" i="131" s="1"/>
  <c r="L28" i="181"/>
  <c r="F24" i="131" s="1"/>
  <c r="G28" i="181"/>
  <c r="J28" i="181" s="1"/>
  <c r="K28" i="181" s="1"/>
  <c r="L24" i="182"/>
  <c r="G20" i="131" s="1"/>
  <c r="G24" i="182"/>
  <c r="J24" i="182" s="1"/>
  <c r="K24" i="182" s="1"/>
  <c r="G30" i="182"/>
  <c r="J30" i="182" s="1"/>
  <c r="K30" i="182" s="1"/>
  <c r="L30" i="182"/>
  <c r="G26" i="131" s="1"/>
  <c r="G25" i="182"/>
  <c r="J25" i="182" s="1"/>
  <c r="K25" i="182" s="1"/>
  <c r="L25" i="182"/>
  <c r="G21" i="131" s="1"/>
  <c r="G30" i="181"/>
  <c r="J30" i="181" s="1"/>
  <c r="K30" i="181" s="1"/>
  <c r="L30" i="181"/>
  <c r="F26" i="131" s="1"/>
  <c r="G19" i="177"/>
  <c r="J19" i="177" s="1"/>
  <c r="K19" i="177" s="1"/>
  <c r="L19" i="177"/>
  <c r="D15" i="131" s="1"/>
  <c r="G32" i="182"/>
  <c r="J32" i="182" s="1"/>
  <c r="K32" i="182" s="1"/>
  <c r="L32" i="182"/>
  <c r="G28" i="131" s="1"/>
  <c r="G30" i="177"/>
  <c r="J30" i="177" s="1"/>
  <c r="K30" i="177" s="1"/>
  <c r="L30" i="177"/>
  <c r="D26" i="131" s="1"/>
  <c r="L33" i="182"/>
  <c r="G29" i="131" s="1"/>
  <c r="G33" i="182"/>
  <c r="J33" i="182" s="1"/>
  <c r="K33" i="182" s="1"/>
  <c r="G19" i="181"/>
  <c r="J19" i="181" s="1"/>
  <c r="K19" i="181" s="1"/>
  <c r="L19" i="181"/>
  <c r="F15" i="131" s="1"/>
  <c r="L20" i="181"/>
  <c r="F16" i="131" s="1"/>
  <c r="G20" i="181"/>
  <c r="J20" i="181" s="1"/>
  <c r="K20" i="181" s="1"/>
  <c r="G24" i="181"/>
  <c r="J24" i="181" s="1"/>
  <c r="K24" i="181" s="1"/>
  <c r="L24" i="181"/>
  <c r="F20" i="131" s="1"/>
  <c r="L23" i="182"/>
  <c r="G19" i="131" s="1"/>
  <c r="G23" i="182"/>
  <c r="J23" i="182" s="1"/>
  <c r="K23" i="182" s="1"/>
  <c r="L25" i="177"/>
  <c r="D21" i="131" s="1"/>
  <c r="G25" i="177"/>
  <c r="J25" i="177" s="1"/>
  <c r="K25" i="177" s="1"/>
  <c r="G27" i="177"/>
  <c r="J27" i="177" s="1"/>
  <c r="K27" i="177" s="1"/>
  <c r="L27" i="177"/>
  <c r="D23" i="131" s="1"/>
  <c r="L32" i="177"/>
  <c r="D28" i="131" s="1"/>
  <c r="G32" i="177"/>
  <c r="J32" i="177" s="1"/>
  <c r="K32" i="177" s="1"/>
  <c r="G26" i="177"/>
  <c r="J26" i="177" s="1"/>
  <c r="K26" i="177" s="1"/>
  <c r="L26" i="177"/>
  <c r="D22" i="131" s="1"/>
  <c r="G23" i="177"/>
  <c r="J23" i="177" s="1"/>
  <c r="K23" i="177" s="1"/>
  <c r="L23" i="177"/>
  <c r="D19" i="131" s="1"/>
  <c r="L31" i="181"/>
  <c r="F27" i="131" s="1"/>
  <c r="G31" i="181"/>
  <c r="J31" i="181" s="1"/>
  <c r="K31" i="181" s="1"/>
  <c r="G23" i="181"/>
  <c r="J23" i="181" s="1"/>
  <c r="K23" i="181" s="1"/>
  <c r="L23" i="181"/>
  <c r="F19" i="131" s="1"/>
  <c r="L28" i="177"/>
  <c r="D24" i="131" s="1"/>
  <c r="G28" i="177"/>
  <c r="J28" i="177" s="1"/>
  <c r="K28" i="177" s="1"/>
  <c r="L24" i="177"/>
  <c r="D20" i="131" s="1"/>
  <c r="G24" i="177"/>
  <c r="J24" i="177" s="1"/>
  <c r="K24" i="177" s="1"/>
  <c r="L21" i="177"/>
  <c r="D17" i="131" s="1"/>
  <c r="G21" i="177"/>
  <c r="J21" i="177" s="1"/>
  <c r="K21" i="177" s="1"/>
  <c r="G31" i="182"/>
  <c r="J31" i="182" s="1"/>
  <c r="K31" i="182" s="1"/>
  <c r="L31" i="182"/>
  <c r="G27" i="131" s="1"/>
  <c r="G27" i="181"/>
  <c r="J27" i="181" s="1"/>
  <c r="K27" i="181" s="1"/>
  <c r="L27" i="181"/>
  <c r="F23" i="131" s="1"/>
  <c r="G27" i="182"/>
  <c r="J27" i="182" s="1"/>
  <c r="K27" i="182" s="1"/>
  <c r="L27" i="182"/>
  <c r="G23" i="131" s="1"/>
  <c r="L31" i="177"/>
  <c r="D27" i="131" s="1"/>
  <c r="G31" i="177"/>
  <c r="J31" i="177" s="1"/>
  <c r="K31" i="177" s="1"/>
  <c r="G21" i="181"/>
  <c r="J21" i="181" s="1"/>
  <c r="K21" i="181" s="1"/>
  <c r="L21" i="181"/>
  <c r="F17" i="131" s="1"/>
  <c r="G32" i="181"/>
  <c r="J32" i="181" s="1"/>
  <c r="K32" i="181" s="1"/>
  <c r="L32" i="181"/>
  <c r="F28" i="131" s="1"/>
  <c r="G29" i="177"/>
  <c r="J29" i="177" s="1"/>
  <c r="K29" i="177" s="1"/>
  <c r="L29" i="177"/>
  <c r="D25" i="131" s="1"/>
  <c r="G22" i="177"/>
  <c r="J22" i="177" s="1"/>
  <c r="K22" i="177" s="1"/>
  <c r="L22" i="177"/>
  <c r="D18" i="131" s="1"/>
  <c r="L35" i="182"/>
  <c r="G31" i="131" s="1"/>
  <c r="L34" i="177"/>
  <c r="D30" i="131" s="1"/>
  <c r="G34" i="181"/>
  <c r="J34" i="181" s="1"/>
  <c r="K34" i="181" s="1"/>
  <c r="L34" i="181"/>
  <c r="F30" i="131" s="1"/>
  <c r="L35" i="192" l="1"/>
  <c r="E31" i="131" s="1"/>
  <c r="G35" i="192"/>
  <c r="J35" i="192" s="1"/>
  <c r="K35" i="192" s="1"/>
  <c r="G36" i="177"/>
  <c r="J36" i="177" s="1"/>
  <c r="K36" i="177" s="1"/>
  <c r="G36" i="181"/>
  <c r="J36" i="181" s="1"/>
  <c r="K36" i="181" s="1"/>
  <c r="G36" i="182"/>
  <c r="J36" i="182" s="1"/>
  <c r="K36" i="182" s="1"/>
  <c r="L36" i="182"/>
  <c r="G32" i="131" s="1"/>
  <c r="G35" i="131" s="1"/>
  <c r="C56" i="131" s="1"/>
  <c r="G35" i="177"/>
  <c r="J35" i="177" s="1"/>
  <c r="K35" i="177" s="1"/>
  <c r="L35" i="177"/>
  <c r="D31" i="131" s="1"/>
  <c r="G35" i="181"/>
  <c r="J35" i="181" s="1"/>
  <c r="K35" i="181" s="1"/>
  <c r="L35" i="181"/>
  <c r="F31" i="131" s="1"/>
  <c r="L36" i="192" l="1"/>
  <c r="E32" i="131" s="1"/>
  <c r="E35" i="131" s="1"/>
  <c r="C58" i="131" s="1"/>
  <c r="G36" i="192"/>
  <c r="J36" i="192" s="1"/>
  <c r="K36" i="192" s="1"/>
  <c r="G18" i="177"/>
  <c r="J18" i="177" s="1"/>
  <c r="K18" i="177" s="1"/>
  <c r="L18" i="177"/>
  <c r="D14" i="131" s="1"/>
  <c r="L36" i="181"/>
  <c r="F32" i="131" s="1"/>
  <c r="F35" i="131" s="1"/>
  <c r="C57" i="131" s="1"/>
  <c r="L36" i="177"/>
  <c r="D32" i="131" s="1"/>
  <c r="D35" i="131" l="1"/>
  <c r="C43" i="131" l="1"/>
  <c r="C41" i="131"/>
  <c r="C42" i="131"/>
  <c r="E9" i="28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20" i="31"/>
  <c r="I165" i="31"/>
  <c r="I154" i="31"/>
  <c r="I198" i="31"/>
  <c r="I231" i="31"/>
  <c r="I209" i="31"/>
  <c r="I143" i="31"/>
  <c r="I176" i="31"/>
  <c r="I187" i="31"/>
  <c r="I132" i="31"/>
  <c r="I243" i="31" l="1"/>
  <c r="I210" i="31"/>
  <c r="I177" i="31"/>
  <c r="I144" i="31"/>
  <c r="I155" i="31"/>
  <c r="I232" i="31"/>
  <c r="I199" i="31"/>
  <c r="I188" i="31"/>
  <c r="I221" i="31"/>
  <c r="I166" i="31"/>
  <c r="I244" i="31" l="1"/>
  <c r="I200" i="31"/>
  <c r="I189" i="31"/>
  <c r="I233" i="31"/>
  <c r="I178" i="31"/>
  <c r="I211" i="31"/>
  <c r="I167" i="31"/>
  <c r="I156" i="31"/>
  <c r="I222" i="31"/>
  <c r="I245" i="31" l="1"/>
  <c r="I201" i="31"/>
  <c r="I212" i="31"/>
  <c r="I179" i="31"/>
  <c r="I190" i="31"/>
  <c r="I234" i="31"/>
  <c r="I223" i="31"/>
  <c r="I168" i="31"/>
  <c r="I246" i="31" l="1"/>
  <c r="I224" i="31"/>
  <c r="I213" i="31"/>
  <c r="I235" i="31"/>
  <c r="I202" i="31"/>
  <c r="I180" i="31"/>
  <c r="I191" i="31"/>
  <c r="I247" i="31" l="1"/>
  <c r="C32" i="28"/>
  <c r="C28" i="28"/>
  <c r="C33" i="28"/>
  <c r="I192" i="31"/>
  <c r="I225" i="31"/>
  <c r="I203" i="31"/>
  <c r="I214" i="31"/>
  <c r="I236" i="31"/>
  <c r="C9" i="28"/>
  <c r="I248" i="31" l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38" i="31"/>
  <c r="I216" i="31"/>
  <c r="I227" i="31"/>
  <c r="I250" i="31" l="1"/>
  <c r="I228" i="31"/>
  <c r="I239" i="31"/>
  <c r="I251" i="31" l="1"/>
  <c r="I240" i="31"/>
  <c r="I252" i="31" l="1"/>
  <c r="J13" i="31" l="1"/>
  <c r="L16" i="31"/>
  <c r="B14" i="31"/>
  <c r="B13" i="25" l="1"/>
  <c r="AB13" i="31"/>
  <c r="J14" i="31"/>
  <c r="B15" i="31"/>
  <c r="L17" i="31"/>
  <c r="O13" i="25"/>
  <c r="B14" i="25"/>
  <c r="AB14" i="31" l="1"/>
  <c r="O14" i="25"/>
  <c r="B15" i="25"/>
  <c r="FC13" i="25"/>
  <c r="CG13" i="25"/>
  <c r="L18" i="31"/>
  <c r="B16" i="31"/>
  <c r="J15" i="31"/>
  <c r="AB15" i="31" l="1"/>
  <c r="CI13" i="25"/>
  <c r="CH13" i="25"/>
  <c r="CX13" i="25"/>
  <c r="CZ13" i="25"/>
  <c r="CM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AB16" i="31" l="1"/>
  <c r="CH14" i="25"/>
  <c r="CI14" i="25"/>
  <c r="CZ14" i="25"/>
  <c r="CX14" i="25"/>
  <c r="CM14" i="25"/>
  <c r="EQ14" i="25"/>
  <c r="EP14" i="25"/>
  <c r="B18" i="31"/>
  <c r="J17" i="31"/>
  <c r="L20" i="31"/>
  <c r="ET15" i="25"/>
  <c r="CG15" i="25"/>
  <c r="FC15" i="25"/>
  <c r="B17" i="25"/>
  <c r="O16" i="25"/>
  <c r="ES15" i="25"/>
  <c r="AB17" i="31" l="1"/>
  <c r="CH15" i="25"/>
  <c r="CI15" i="25"/>
  <c r="CZ15" i="25"/>
  <c r="CX15" i="25"/>
  <c r="CM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AB18" i="31" l="1"/>
  <c r="CI16" i="25"/>
  <c r="CH16" i="25"/>
  <c r="CZ16" i="25"/>
  <c r="CX16" i="25"/>
  <c r="CM16" i="25"/>
  <c r="ET16" i="25"/>
  <c r="ER16" i="25"/>
  <c r="B20" i="31"/>
  <c r="J19" i="31"/>
  <c r="L22" i="31"/>
  <c r="O18" i="25"/>
  <c r="B19" i="25"/>
  <c r="CG17" i="25"/>
  <c r="FC17" i="25"/>
  <c r="ET17" i="25"/>
  <c r="EQ16" i="25"/>
  <c r="AB19" i="31" l="1"/>
  <c r="CI17" i="25"/>
  <c r="CH17" i="25"/>
  <c r="CZ17" i="25"/>
  <c r="CX17" i="25"/>
  <c r="CM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AB20" i="31" l="1"/>
  <c r="CI18" i="25"/>
  <c r="CH18" i="25"/>
  <c r="CZ18" i="25"/>
  <c r="CX18" i="25"/>
  <c r="CM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AB21" i="31" l="1"/>
  <c r="CH19" i="25"/>
  <c r="CI19" i="25"/>
  <c r="CZ19" i="25"/>
  <c r="CX19" i="25"/>
  <c r="CM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AB22" i="31" l="1"/>
  <c r="CI20" i="25"/>
  <c r="CH20" i="25"/>
  <c r="CZ20" i="25"/>
  <c r="CX20" i="25"/>
  <c r="CM20" i="25"/>
  <c r="EQ20" i="25"/>
  <c r="EP20" i="25"/>
  <c r="ER20" i="25"/>
  <c r="B23" i="25"/>
  <c r="O22" i="25"/>
  <c r="CG21" i="25"/>
  <c r="FC21" i="25"/>
  <c r="ES21" i="25"/>
  <c r="J23" i="31"/>
  <c r="B24" i="31"/>
  <c r="L26" i="31"/>
  <c r="AB23" i="31" l="1"/>
  <c r="CI21" i="25"/>
  <c r="CH21" i="25"/>
  <c r="CX21" i="25"/>
  <c r="CZ21" i="25"/>
  <c r="CM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AB24" i="31" l="1"/>
  <c r="CI22" i="25"/>
  <c r="CH22" i="25"/>
  <c r="CZ22" i="25"/>
  <c r="CX22" i="25"/>
  <c r="CM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AB25" i="31" l="1"/>
  <c r="CI23" i="25"/>
  <c r="CH23" i="25"/>
  <c r="CZ23" i="25"/>
  <c r="CX23" i="25"/>
  <c r="CM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AB26" i="31" l="1"/>
  <c r="CI24" i="25"/>
  <c r="CH24" i="25"/>
  <c r="CX24" i="25"/>
  <c r="CZ24" i="25"/>
  <c r="CM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AB27" i="31" l="1"/>
  <c r="CH25" i="25"/>
  <c r="CI25" i="25"/>
  <c r="CX25" i="25"/>
  <c r="CZ25" i="25"/>
  <c r="CM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AB28" i="31" l="1"/>
  <c r="CH26" i="25"/>
  <c r="CI26" i="25"/>
  <c r="CX26" i="25"/>
  <c r="CZ26" i="25"/>
  <c r="CM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AB29" i="31" l="1"/>
  <c r="CH27" i="25"/>
  <c r="CI27" i="25"/>
  <c r="CX27" i="25"/>
  <c r="CZ27" i="25"/>
  <c r="CM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AB30" i="31" l="1"/>
  <c r="CH28" i="25"/>
  <c r="CI28" i="25"/>
  <c r="CX28" i="25"/>
  <c r="CZ28" i="25"/>
  <c r="CM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AB31" i="31" l="1"/>
  <c r="CI29" i="25"/>
  <c r="CH29" i="25"/>
  <c r="CZ29" i="25"/>
  <c r="CX29" i="25"/>
  <c r="CM29" i="25"/>
  <c r="EP29" i="25"/>
  <c r="EQ29" i="25"/>
  <c r="ER29" i="25"/>
  <c r="CG30" i="25"/>
  <c r="ET30" i="25"/>
  <c r="ES30" i="25"/>
  <c r="FC30" i="25"/>
  <c r="B32" i="25"/>
  <c r="O31" i="25"/>
  <c r="B33" i="31"/>
  <c r="J32" i="31"/>
  <c r="L35" i="31"/>
  <c r="AB32" i="31" l="1"/>
  <c r="CI30" i="25"/>
  <c r="CH30" i="25"/>
  <c r="CX30" i="25"/>
  <c r="CZ30" i="25"/>
  <c r="CM30" i="25"/>
  <c r="EP30" i="25"/>
  <c r="EQ30" i="25"/>
  <c r="ER30" i="25"/>
  <c r="L36" i="31"/>
  <c r="ES31" i="25"/>
  <c r="CG31" i="25"/>
  <c r="FC31" i="25"/>
  <c r="ET31" i="25"/>
  <c r="O32" i="25"/>
  <c r="B33" i="25"/>
  <c r="J33" i="31"/>
  <c r="B34" i="31"/>
  <c r="AB33" i="31" l="1"/>
  <c r="CI31" i="25"/>
  <c r="CH31" i="25"/>
  <c r="CZ31" i="25"/>
  <c r="CX31" i="25"/>
  <c r="CM31" i="25"/>
  <c r="EQ31" i="25"/>
  <c r="EP31" i="25"/>
  <c r="ER31" i="25"/>
  <c r="B34" i="25"/>
  <c r="B35" i="25" s="1"/>
  <c r="O33" i="25"/>
  <c r="B35" i="31"/>
  <c r="J34" i="31"/>
  <c r="CG32" i="25"/>
  <c r="ES32" i="25"/>
  <c r="ET32" i="25"/>
  <c r="FC32" i="25"/>
  <c r="L37" i="31"/>
  <c r="AB34" i="31" l="1"/>
  <c r="CI32" i="25"/>
  <c r="CH32" i="25"/>
  <c r="CX32" i="25"/>
  <c r="CZ32" i="25"/>
  <c r="CM32" i="25"/>
  <c r="O35" i="25"/>
  <c r="B36" i="25"/>
  <c r="EP32" i="25"/>
  <c r="EQ32" i="25"/>
  <c r="L38" i="31"/>
  <c r="ER32" i="25"/>
  <c r="J35" i="31"/>
  <c r="B36" i="31"/>
  <c r="FC33" i="25"/>
  <c r="CG33" i="25"/>
  <c r="ET33" i="25"/>
  <c r="ES33" i="25"/>
  <c r="O34" i="25"/>
  <c r="AB35" i="31" l="1"/>
  <c r="FC35" i="25"/>
  <c r="CG35" i="25"/>
  <c r="CX35" i="25" s="1"/>
  <c r="B37" i="25"/>
  <c r="O36" i="25"/>
  <c r="CI33" i="25"/>
  <c r="CH33" i="25"/>
  <c r="CZ33" i="25"/>
  <c r="CX33" i="25"/>
  <c r="CM33" i="25"/>
  <c r="EQ33" i="25"/>
  <c r="EP33" i="25"/>
  <c r="ER33" i="25"/>
  <c r="CG34" i="25"/>
  <c r="FC34" i="25"/>
  <c r="B37" i="31"/>
  <c r="J36" i="31"/>
  <c r="L39" i="31"/>
  <c r="AB36" i="31" l="1"/>
  <c r="CZ35" i="25"/>
  <c r="CI35" i="25"/>
  <c r="CM35" i="25"/>
  <c r="CH35" i="25"/>
  <c r="CG36" i="25"/>
  <c r="CI36" i="25" s="1"/>
  <c r="CI34" i="25"/>
  <c r="CH34" i="25"/>
  <c r="CZ34" i="25"/>
  <c r="CX34" i="25"/>
  <c r="CM34" i="25"/>
  <c r="B38" i="25"/>
  <c r="O37" i="25"/>
  <c r="ER35" i="25"/>
  <c r="ER34" i="25"/>
  <c r="L40" i="31"/>
  <c r="B38" i="31"/>
  <c r="J37" i="31"/>
  <c r="EP34" i="25"/>
  <c r="EP35" i="25"/>
  <c r="ES34" i="25"/>
  <c r="ES35" i="25"/>
  <c r="EQ35" i="25"/>
  <c r="EQ34" i="25"/>
  <c r="ET34" i="25"/>
  <c r="ET35" i="25"/>
  <c r="AB37" i="31" l="1"/>
  <c r="CH36" i="25"/>
  <c r="CM36" i="25"/>
  <c r="CZ36" i="25"/>
  <c r="CX36" i="25"/>
  <c r="CG37" i="25"/>
  <c r="B39" i="25"/>
  <c r="O38" i="25"/>
  <c r="B39" i="31"/>
  <c r="J38" i="31"/>
  <c r="L41" i="31"/>
  <c r="AB38" i="31" l="1"/>
  <c r="O39" i="25"/>
  <c r="CX37" i="25"/>
  <c r="CZ37" i="25"/>
  <c r="CI37" i="25"/>
  <c r="CM37" i="25"/>
  <c r="CH37" i="25"/>
  <c r="CG38" i="25"/>
  <c r="CH38" i="25" s="1"/>
  <c r="CG39" i="25"/>
  <c r="L42" i="31"/>
  <c r="J39" i="31"/>
  <c r="B40" i="31"/>
  <c r="AB39" i="31" l="1"/>
  <c r="CI39" i="25"/>
  <c r="CZ38" i="25"/>
  <c r="CH39" i="25"/>
  <c r="CX38" i="25"/>
  <c r="CM38" i="25"/>
  <c r="CI38" i="25"/>
  <c r="CX39" i="25"/>
  <c r="CM39" i="25"/>
  <c r="CZ39" i="25"/>
  <c r="B41" i="31"/>
  <c r="J40" i="31"/>
  <c r="AB40" i="31" l="1"/>
  <c r="J41" i="31"/>
  <c r="B42" i="31"/>
  <c r="AB41" i="31" l="1"/>
  <c r="J42" i="31"/>
  <c r="B43" i="31"/>
  <c r="AB42" i="31" l="1"/>
  <c r="B44" i="31"/>
  <c r="J43" i="31"/>
  <c r="AB43" i="31" l="1"/>
  <c r="J44" i="31"/>
  <c r="B45" i="31"/>
  <c r="AB44" i="31" l="1"/>
  <c r="B46" i="31"/>
  <c r="J45" i="31"/>
  <c r="AB45" i="31" l="1"/>
  <c r="J46" i="31"/>
  <c r="B47" i="31"/>
  <c r="AB46" i="31" l="1"/>
  <c r="J47" i="31"/>
  <c r="B48" i="31"/>
  <c r="AB47" i="31" l="1"/>
  <c r="J48" i="31"/>
  <c r="B49" i="31"/>
  <c r="AB48" i="31" l="1"/>
  <c r="B50" i="31"/>
  <c r="J49" i="31"/>
  <c r="AB49" i="31" l="1"/>
  <c r="B51" i="31"/>
  <c r="J50" i="31"/>
  <c r="AB50" i="31" l="1"/>
  <c r="J51" i="31"/>
  <c r="B52" i="31"/>
  <c r="AB51" i="31" l="1"/>
  <c r="J52" i="31"/>
  <c r="B53" i="31"/>
  <c r="AB52" i="31" l="1"/>
  <c r="B54" i="31"/>
  <c r="J53" i="31"/>
  <c r="AB53" i="31" l="1"/>
  <c r="J54" i="31"/>
  <c r="B55" i="31"/>
  <c r="AB54" i="31" l="1"/>
  <c r="J55" i="31"/>
  <c r="B56" i="31"/>
  <c r="AB55" i="31" l="1"/>
  <c r="B57" i="31"/>
  <c r="J56" i="31"/>
  <c r="AB56" i="31" l="1"/>
  <c r="J57" i="31"/>
  <c r="B58" i="31"/>
  <c r="AB57" i="31" l="1"/>
  <c r="J58" i="31"/>
  <c r="B59" i="31"/>
  <c r="AB58" i="31" l="1"/>
  <c r="J59" i="31"/>
  <c r="B60" i="31"/>
  <c r="AB59" i="31" l="1"/>
  <c r="J60" i="31"/>
  <c r="B61" i="31"/>
  <c r="AB60" i="31" l="1"/>
  <c r="J61" i="31"/>
  <c r="B62" i="31"/>
  <c r="AB61" i="31" l="1"/>
  <c r="J62" i="31"/>
  <c r="B63" i="31"/>
  <c r="AB62" i="31" l="1"/>
  <c r="J63" i="31"/>
  <c r="B64" i="31"/>
  <c r="AB63" i="31" l="1"/>
  <c r="J64" i="31"/>
  <c r="B65" i="31"/>
  <c r="AB64" i="31" l="1"/>
  <c r="J65" i="31"/>
  <c r="B66" i="31"/>
  <c r="AB65" i="31" l="1"/>
  <c r="J66" i="31"/>
  <c r="B67" i="31"/>
  <c r="AB66" i="31" l="1"/>
  <c r="J67" i="31"/>
  <c r="B68" i="31"/>
  <c r="AB67" i="31" l="1"/>
  <c r="J68" i="31"/>
  <c r="B69" i="31"/>
  <c r="AB68" i="31" l="1"/>
  <c r="J69" i="31"/>
  <c r="B70" i="31"/>
  <c r="AB69" i="31" l="1"/>
  <c r="J70" i="31"/>
  <c r="B71" i="31"/>
  <c r="AB70" i="31" l="1"/>
  <c r="J71" i="31"/>
  <c r="B72" i="31"/>
  <c r="AB71" i="31" l="1"/>
  <c r="J72" i="31"/>
  <c r="B73" i="31"/>
  <c r="AB72" i="31" l="1"/>
  <c r="J73" i="31"/>
  <c r="B74" i="31"/>
  <c r="AB73" i="31" l="1"/>
  <c r="B75" i="31"/>
  <c r="J74" i="31"/>
  <c r="AB74" i="31" l="1"/>
  <c r="J75" i="31"/>
  <c r="B76" i="31"/>
  <c r="AB75" i="31" l="1"/>
  <c r="J76" i="31"/>
  <c r="B77" i="31"/>
  <c r="AB76" i="31" l="1"/>
  <c r="J77" i="31"/>
  <c r="B78" i="31"/>
  <c r="AB77" i="31" l="1"/>
  <c r="J78" i="31"/>
  <c r="B79" i="31"/>
  <c r="AB78" i="31" l="1"/>
  <c r="J79" i="31"/>
  <c r="B80" i="31"/>
  <c r="AB79" i="31" l="1"/>
  <c r="J80" i="31"/>
  <c r="B81" i="31"/>
  <c r="AB80" i="31" l="1"/>
  <c r="J81" i="31"/>
  <c r="B82" i="31"/>
  <c r="AB81" i="31" l="1"/>
  <c r="J82" i="31"/>
  <c r="B83" i="31"/>
  <c r="AB82" i="31" l="1"/>
  <c r="J83" i="31"/>
  <c r="B84" i="31"/>
  <c r="AB83" i="31" l="1"/>
  <c r="J84" i="31"/>
  <c r="B85" i="31"/>
  <c r="AB84" i="31" l="1"/>
  <c r="J85" i="31"/>
  <c r="B86" i="31"/>
  <c r="AB85" i="31" l="1"/>
  <c r="J86" i="31"/>
  <c r="B87" i="31"/>
  <c r="AB86" i="31" l="1"/>
  <c r="J87" i="31"/>
  <c r="B88" i="31"/>
  <c r="AB87" i="31" l="1"/>
  <c r="J88" i="31"/>
  <c r="B89" i="31"/>
  <c r="AB88" i="31" l="1"/>
  <c r="J89" i="31"/>
  <c r="B90" i="31"/>
  <c r="AB89" i="31" l="1"/>
  <c r="J90" i="31"/>
  <c r="B91" i="31"/>
  <c r="AB90" i="31" l="1"/>
  <c r="J91" i="31"/>
  <c r="B92" i="31"/>
  <c r="AB91" i="31" l="1"/>
  <c r="J92" i="31"/>
  <c r="B93" i="31"/>
  <c r="AB92" i="31" l="1"/>
  <c r="B94" i="31"/>
  <c r="J93" i="31"/>
  <c r="AB93" i="31" l="1"/>
  <c r="J94" i="31"/>
  <c r="B95" i="31"/>
  <c r="AB94" i="31" l="1"/>
  <c r="J95" i="31"/>
  <c r="B96" i="31"/>
  <c r="AB95" i="31" l="1"/>
  <c r="J96" i="31"/>
  <c r="B97" i="31"/>
  <c r="AB96" i="31" l="1"/>
  <c r="J97" i="31"/>
  <c r="B98" i="31"/>
  <c r="AB97" i="31" l="1"/>
  <c r="J98" i="31"/>
  <c r="B99" i="31"/>
  <c r="AB98" i="31" l="1"/>
  <c r="J99" i="31"/>
  <c r="B100" i="31"/>
  <c r="AB99" i="31" l="1"/>
  <c r="J100" i="31"/>
  <c r="B101" i="31"/>
  <c r="AB100" i="31" l="1"/>
  <c r="J101" i="31"/>
  <c r="B102" i="31"/>
  <c r="AB101" i="31" l="1"/>
  <c r="J102" i="31"/>
  <c r="B103" i="31"/>
  <c r="AB102" i="31" l="1"/>
  <c r="J103" i="31"/>
  <c r="B104" i="31"/>
  <c r="AB103" i="31" l="1"/>
  <c r="J104" i="31"/>
  <c r="B105" i="31"/>
  <c r="AB104" i="31" l="1"/>
  <c r="J105" i="31"/>
  <c r="B106" i="31"/>
  <c r="AB105" i="31" l="1"/>
  <c r="J106" i="31"/>
  <c r="B107" i="31"/>
  <c r="AB106" i="31" l="1"/>
  <c r="J107" i="31"/>
  <c r="B108" i="31"/>
  <c r="AB107" i="31" l="1"/>
  <c r="J108" i="31"/>
  <c r="B109" i="31"/>
  <c r="AB108" i="31" l="1"/>
  <c r="J109" i="31"/>
  <c r="B110" i="31"/>
  <c r="AB109" i="31" l="1"/>
  <c r="J110" i="31"/>
  <c r="B111" i="31"/>
  <c r="AB110" i="31" l="1"/>
  <c r="J111" i="31"/>
  <c r="B112" i="31"/>
  <c r="AB111" i="31" l="1"/>
  <c r="J112" i="31"/>
  <c r="B113" i="31"/>
  <c r="AB112" i="31" l="1"/>
  <c r="J113" i="31"/>
  <c r="B114" i="31"/>
  <c r="AB113" i="31" l="1"/>
  <c r="B115" i="31"/>
  <c r="J114" i="31"/>
  <c r="AB114" i="31" l="1"/>
  <c r="J115" i="31"/>
  <c r="B116" i="31"/>
  <c r="AB115" i="31" l="1"/>
  <c r="J116" i="31"/>
  <c r="B117" i="31"/>
  <c r="AB116" i="31" l="1"/>
  <c r="J117" i="31"/>
  <c r="B118" i="31"/>
  <c r="AB117" i="31" l="1"/>
  <c r="J118" i="31"/>
  <c r="B119" i="31"/>
  <c r="AB118" i="31" l="1"/>
  <c r="J119" i="31"/>
  <c r="B120" i="31"/>
  <c r="AB119" i="31" l="1"/>
  <c r="J120" i="31"/>
  <c r="B121" i="31"/>
  <c r="AB120" i="31" l="1"/>
  <c r="J121" i="31"/>
  <c r="B122" i="31"/>
  <c r="AB121" i="31" l="1"/>
  <c r="J122" i="31"/>
  <c r="B123" i="31"/>
  <c r="AB122" i="31" l="1"/>
  <c r="J123" i="31"/>
  <c r="B124" i="31"/>
  <c r="AB123" i="31" l="1"/>
  <c r="J124" i="31"/>
  <c r="B125" i="31"/>
  <c r="AB124" i="31" l="1"/>
  <c r="J125" i="31"/>
  <c r="B126" i="31"/>
  <c r="AB125" i="31" l="1"/>
  <c r="B127" i="31"/>
  <c r="J126" i="31"/>
  <c r="AB126" i="31" l="1"/>
  <c r="J127" i="31"/>
  <c r="B128" i="31"/>
  <c r="AB127" i="31" l="1"/>
  <c r="B129" i="31"/>
  <c r="J128" i="31"/>
  <c r="AB128" i="31" l="1"/>
  <c r="J129" i="31"/>
  <c r="B130" i="31"/>
  <c r="AB129" i="31" l="1"/>
  <c r="B131" i="31"/>
  <c r="J130" i="31"/>
  <c r="AB130" i="31" l="1"/>
  <c r="J131" i="31"/>
  <c r="B132" i="31"/>
  <c r="AB131" i="31" l="1"/>
  <c r="J132" i="31"/>
  <c r="B133" i="31"/>
  <c r="AB132" i="31" l="1"/>
  <c r="J133" i="31"/>
  <c r="B134" i="31"/>
  <c r="AB133" i="31" l="1"/>
  <c r="B135" i="31"/>
  <c r="J134" i="31"/>
  <c r="AB134" i="31" l="1"/>
  <c r="J135" i="31"/>
  <c r="B136" i="31"/>
  <c r="AB135" i="31" l="1"/>
  <c r="J136" i="31"/>
  <c r="B137" i="31"/>
  <c r="AB136" i="31" l="1"/>
  <c r="J137" i="31"/>
  <c r="B138" i="31"/>
  <c r="AB137" i="31" l="1"/>
  <c r="J138" i="31"/>
  <c r="B139" i="31"/>
  <c r="AB138" i="31" l="1"/>
  <c r="J139" i="31"/>
  <c r="B140" i="31"/>
  <c r="AB139" i="31" l="1"/>
  <c r="J140" i="31"/>
  <c r="B141" i="31"/>
  <c r="AB140" i="31" l="1"/>
  <c r="J141" i="31"/>
  <c r="B142" i="31"/>
  <c r="AB141" i="31" l="1"/>
  <c r="J142" i="31"/>
  <c r="B143" i="31"/>
  <c r="AB142" i="31" l="1"/>
  <c r="J143" i="31"/>
  <c r="B144" i="31"/>
  <c r="AB143" i="31" l="1"/>
  <c r="J144" i="31"/>
  <c r="B145" i="31"/>
  <c r="AB144" i="31" l="1"/>
  <c r="B146" i="31"/>
  <c r="J145" i="31"/>
  <c r="AB145" i="31" l="1"/>
  <c r="J146" i="31"/>
  <c r="B147" i="31"/>
  <c r="AB146" i="31" l="1"/>
  <c r="J147" i="31"/>
  <c r="B148" i="31"/>
  <c r="AB147" i="31" l="1"/>
  <c r="B149" i="31"/>
  <c r="J148" i="31"/>
  <c r="AB148" i="31" l="1"/>
  <c r="B150" i="31"/>
  <c r="J149" i="31"/>
  <c r="AB149" i="31" l="1"/>
  <c r="J150" i="31"/>
  <c r="B151" i="31"/>
  <c r="AB150" i="31" l="1"/>
  <c r="J151" i="31"/>
  <c r="B152" i="31"/>
  <c r="AB151" i="31" l="1"/>
  <c r="J152" i="31"/>
  <c r="B153" i="31"/>
  <c r="AB152" i="31" l="1"/>
  <c r="J153" i="31"/>
  <c r="B154" i="31"/>
  <c r="AB153" i="31" l="1"/>
  <c r="J154" i="31"/>
  <c r="B155" i="31"/>
  <c r="AB154" i="31" l="1"/>
  <c r="J155" i="31"/>
  <c r="B156" i="31"/>
  <c r="AB155" i="31" l="1"/>
  <c r="J156" i="31"/>
  <c r="B157" i="31"/>
  <c r="AB156" i="31" l="1"/>
  <c r="J157" i="31"/>
  <c r="B158" i="31"/>
  <c r="AB157" i="31" l="1"/>
  <c r="J158" i="31"/>
  <c r="B159" i="31"/>
  <c r="AB158" i="31" l="1"/>
  <c r="J159" i="31"/>
  <c r="B160" i="31"/>
  <c r="AB159" i="31" l="1"/>
  <c r="J160" i="31"/>
  <c r="B161" i="31"/>
  <c r="AB160" i="31" l="1"/>
  <c r="B162" i="31"/>
  <c r="J161" i="31"/>
  <c r="AB161" i="31" l="1"/>
  <c r="J162" i="31"/>
  <c r="B163" i="31"/>
  <c r="AB162" i="31" l="1"/>
  <c r="B164" i="31"/>
  <c r="J163" i="31"/>
  <c r="AB163" i="31" l="1"/>
  <c r="J164" i="31"/>
  <c r="B165" i="31"/>
  <c r="AB164" i="31" l="1"/>
  <c r="J165" i="31"/>
  <c r="B166" i="31"/>
  <c r="AB165" i="31" l="1"/>
  <c r="J166" i="31"/>
  <c r="B167" i="31"/>
  <c r="AB166" i="31" l="1"/>
  <c r="B168" i="31"/>
  <c r="J167" i="31"/>
  <c r="AB167" i="31" l="1"/>
  <c r="J168" i="31"/>
  <c r="B169" i="31"/>
  <c r="AB168" i="31" l="1"/>
  <c r="J169" i="31"/>
  <c r="B170" i="31"/>
  <c r="AB169" i="31" l="1"/>
  <c r="B171" i="31"/>
  <c r="J170" i="31"/>
  <c r="AB170" i="31" l="1"/>
  <c r="J171" i="31"/>
  <c r="B172" i="31"/>
  <c r="AB171" i="31" l="1"/>
  <c r="B173" i="31"/>
  <c r="J172" i="31"/>
  <c r="AB172" i="31" l="1"/>
  <c r="J173" i="31"/>
  <c r="B174" i="31"/>
  <c r="AB173" i="31" l="1"/>
  <c r="J174" i="31"/>
  <c r="B175" i="31"/>
  <c r="AB174" i="31" l="1"/>
  <c r="J175" i="31"/>
  <c r="B176" i="31"/>
  <c r="AB175" i="31" l="1"/>
  <c r="J176" i="31"/>
  <c r="B177" i="31"/>
  <c r="AB176" i="31" l="1"/>
  <c r="J177" i="31"/>
  <c r="B178" i="31"/>
  <c r="AB177" i="31" l="1"/>
  <c r="J178" i="31"/>
  <c r="B179" i="31"/>
  <c r="AB178" i="31" l="1"/>
  <c r="J179" i="31"/>
  <c r="B180" i="31"/>
  <c r="AB179" i="31" l="1"/>
  <c r="J180" i="31"/>
  <c r="B181" i="31"/>
  <c r="AB180" i="31" l="1"/>
  <c r="J181" i="31"/>
  <c r="B182" i="31"/>
  <c r="AB181" i="31" l="1"/>
  <c r="J182" i="31"/>
  <c r="B183" i="31"/>
  <c r="AB182" i="31" l="1"/>
  <c r="B184" i="31"/>
  <c r="J183" i="31"/>
  <c r="AB183" i="31" l="1"/>
  <c r="J184" i="31"/>
  <c r="B185" i="31"/>
  <c r="AB184" i="31" l="1"/>
  <c r="B186" i="31"/>
  <c r="J185" i="31"/>
  <c r="AB185" i="31" l="1"/>
  <c r="J186" i="31"/>
  <c r="B187" i="31"/>
  <c r="AB186" i="31" l="1"/>
  <c r="J187" i="31"/>
  <c r="B188" i="31"/>
  <c r="AB187" i="31" l="1"/>
  <c r="B189" i="31"/>
  <c r="J188" i="31"/>
  <c r="AB188" i="31" l="1"/>
  <c r="J189" i="31"/>
  <c r="B190" i="31"/>
  <c r="AB189" i="31" l="1"/>
  <c r="J190" i="31"/>
  <c r="B191" i="31"/>
  <c r="AB190" i="31" l="1"/>
  <c r="B192" i="31"/>
  <c r="J191" i="31"/>
  <c r="AB191" i="31" l="1"/>
  <c r="B193" i="31"/>
  <c r="J192" i="31"/>
  <c r="AB192" i="31" l="1"/>
  <c r="B194" i="31"/>
  <c r="J193" i="31"/>
  <c r="AB193" i="31" l="1"/>
  <c r="B195" i="31"/>
  <c r="J194" i="31"/>
  <c r="AB194" i="31" l="1"/>
  <c r="J195" i="31"/>
  <c r="B196" i="31"/>
  <c r="AB195" i="31" l="1"/>
  <c r="J196" i="31"/>
  <c r="B197" i="31"/>
  <c r="AB196" i="31" l="1"/>
  <c r="J197" i="31"/>
  <c r="B198" i="31"/>
  <c r="AB197" i="31" l="1"/>
  <c r="J198" i="31"/>
  <c r="B199" i="31"/>
  <c r="AB198" i="31" l="1"/>
  <c r="J199" i="31"/>
  <c r="B200" i="31"/>
  <c r="AB199" i="31" l="1"/>
  <c r="J200" i="31"/>
  <c r="B201" i="31"/>
  <c r="AB200" i="31" l="1"/>
  <c r="B202" i="31"/>
  <c r="J201" i="31"/>
  <c r="AB201" i="31" l="1"/>
  <c r="B203" i="31"/>
  <c r="J202" i="31"/>
  <c r="AB202" i="31" l="1"/>
  <c r="B204" i="31"/>
  <c r="J203" i="31"/>
  <c r="AB203" i="31" l="1"/>
  <c r="J204" i="31"/>
  <c r="B205" i="31"/>
  <c r="AB204" i="31" l="1"/>
  <c r="J205" i="31"/>
  <c r="B206" i="31"/>
  <c r="AB205" i="31" l="1"/>
  <c r="J206" i="31"/>
  <c r="B207" i="31"/>
  <c r="AB206" i="31" l="1"/>
  <c r="B208" i="31"/>
  <c r="J207" i="31"/>
  <c r="AB207" i="31" l="1"/>
  <c r="J208" i="31"/>
  <c r="B209" i="31"/>
  <c r="AB208" i="31" l="1"/>
  <c r="J209" i="31"/>
  <c r="B210" i="31"/>
  <c r="AB209" i="31" l="1"/>
  <c r="B211" i="31"/>
  <c r="J210" i="31"/>
  <c r="AB210" i="31" l="1"/>
  <c r="B212" i="31"/>
  <c r="J211" i="31"/>
  <c r="AB211" i="31" l="1"/>
  <c r="J212" i="31"/>
  <c r="B213" i="31"/>
  <c r="AB212" i="31" l="1"/>
  <c r="J213" i="31"/>
  <c r="B214" i="31"/>
  <c r="AB213" i="31" l="1"/>
  <c r="B215" i="31"/>
  <c r="J214" i="31"/>
  <c r="AB214" i="31" l="1"/>
  <c r="B216" i="31"/>
  <c r="J215" i="31"/>
  <c r="AB215" i="31" l="1"/>
  <c r="B217" i="31"/>
  <c r="J216" i="31"/>
  <c r="AB216" i="31" l="1"/>
  <c r="B218" i="31"/>
  <c r="J217" i="31"/>
  <c r="AB217" i="31" l="1"/>
  <c r="B219" i="31"/>
  <c r="J218" i="31"/>
  <c r="AB218" i="31" l="1"/>
  <c r="B220" i="31"/>
  <c r="J219" i="31"/>
  <c r="AB219" i="31" l="1"/>
  <c r="B221" i="31"/>
  <c r="J220" i="31"/>
  <c r="AB220" i="31" l="1"/>
  <c r="B222" i="31"/>
  <c r="J221" i="31"/>
  <c r="AB221" i="31" l="1"/>
  <c r="B223" i="31"/>
  <c r="J222" i="31"/>
  <c r="AB222" i="31" l="1"/>
  <c r="B224" i="31"/>
  <c r="J223" i="31"/>
  <c r="AB223" i="31" l="1"/>
  <c r="B225" i="31"/>
  <c r="J224" i="31"/>
  <c r="AB224" i="31" l="1"/>
  <c r="B226" i="31"/>
  <c r="J225" i="31"/>
  <c r="AB225" i="31" l="1"/>
  <c r="B227" i="31"/>
  <c r="J226" i="31"/>
  <c r="AB226" i="31" l="1"/>
  <c r="B228" i="31"/>
  <c r="J227" i="31"/>
  <c r="AB227" i="31" l="1"/>
  <c r="B229" i="31"/>
  <c r="J228" i="31"/>
  <c r="AB228" i="31" l="1"/>
  <c r="B230" i="31"/>
  <c r="J229" i="31"/>
  <c r="AB229" i="31" l="1"/>
  <c r="B231" i="31"/>
  <c r="J230" i="31"/>
  <c r="AB230" i="31" l="1"/>
  <c r="B232" i="31"/>
  <c r="J231" i="31"/>
  <c r="AB231" i="31" l="1"/>
  <c r="B233" i="31"/>
  <c r="J232" i="31"/>
  <c r="AB232" i="31" l="1"/>
  <c r="B234" i="31"/>
  <c r="J233" i="31"/>
  <c r="AB233" i="31" l="1"/>
  <c r="B235" i="31"/>
  <c r="J234" i="31"/>
  <c r="AB234" i="31" l="1"/>
  <c r="B236" i="31"/>
  <c r="J235" i="31"/>
  <c r="AB235" i="31" l="1"/>
  <c r="B237" i="31"/>
  <c r="J236" i="31"/>
  <c r="AB236" i="31" l="1"/>
  <c r="B238" i="31"/>
  <c r="J237" i="31"/>
  <c r="AB237" i="31" l="1"/>
  <c r="B239" i="31"/>
  <c r="J238" i="31"/>
  <c r="AB238" i="31" l="1"/>
  <c r="B240" i="31"/>
  <c r="J239" i="31"/>
  <c r="AB239" i="31" l="1"/>
  <c r="B241" i="31"/>
  <c r="J240" i="31"/>
  <c r="AB240" i="31" l="1"/>
  <c r="J241" i="31"/>
  <c r="B242" i="31"/>
  <c r="AB241" i="31" l="1"/>
  <c r="J242" i="31"/>
  <c r="B243" i="31"/>
  <c r="AB242" i="31" l="1"/>
  <c r="J243" i="31"/>
  <c r="B244" i="31"/>
  <c r="AB243" i="31" l="1"/>
  <c r="J244" i="31"/>
  <c r="B245" i="31"/>
  <c r="AB244" i="31" l="1"/>
  <c r="J245" i="31"/>
  <c r="B246" i="31"/>
  <c r="AB245" i="31" l="1"/>
  <c r="J246" i="31"/>
  <c r="B247" i="31"/>
  <c r="AB246" i="31" l="1"/>
  <c r="J247" i="31"/>
  <c r="B248" i="31"/>
  <c r="AB247" i="31" l="1"/>
  <c r="J248" i="31"/>
  <c r="B249" i="31"/>
  <c r="AB248" i="31" l="1"/>
  <c r="J249" i="31"/>
  <c r="B250" i="31"/>
  <c r="AB249" i="31" l="1"/>
  <c r="J250" i="31"/>
  <c r="B251" i="31"/>
  <c r="AB250" i="31" l="1"/>
  <c r="J251" i="31"/>
  <c r="B252" i="31"/>
  <c r="AB251" i="31" l="1"/>
  <c r="J252" i="31"/>
  <c r="AB252" i="31" l="1"/>
  <c r="AB253" i="31" l="1"/>
  <c r="AB254" i="31" l="1"/>
  <c r="AB255" i="31" l="1"/>
  <c r="AB256" i="31" l="1"/>
  <c r="AB257" i="31" l="1"/>
  <c r="AB258" i="31" l="1"/>
  <c r="AB259" i="31" l="1"/>
  <c r="AB260" i="31" l="1"/>
  <c r="AB261" i="31" l="1"/>
  <c r="AB262" i="31" l="1"/>
  <c r="AB263" i="31" l="1"/>
  <c r="AB264" i="31" l="1"/>
  <c r="AB265" i="31" l="1"/>
  <c r="AB266" i="31" l="1"/>
  <c r="AB267" i="31" l="1"/>
  <c r="AB268" i="31" l="1"/>
  <c r="AB269" i="31" l="1"/>
  <c r="AB270" i="31" l="1"/>
  <c r="AB271" i="31" l="1"/>
  <c r="AB272" i="31" l="1"/>
  <c r="AB273" i="31" l="1"/>
  <c r="AB274" i="31" l="1"/>
  <c r="AB275" i="31" l="1"/>
  <c r="AB276" i="31" l="1"/>
  <c r="U40" i="31"/>
  <c r="S39" i="31"/>
  <c r="U39" i="31"/>
  <c r="S40" i="31"/>
  <c r="U41" i="31"/>
  <c r="S41" i="31"/>
  <c r="O38" i="31"/>
  <c r="M39" i="31"/>
  <c r="M40" i="31"/>
  <c r="M41" i="31"/>
  <c r="O41" i="31"/>
  <c r="N41" i="31"/>
  <c r="O40" i="31"/>
  <c r="N40" i="31"/>
  <c r="N39" i="31"/>
  <c r="O39" i="31"/>
  <c r="Q39" i="31" l="1"/>
  <c r="R40" i="31"/>
  <c r="P39" i="31"/>
  <c r="R41" i="31"/>
  <c r="Q41" i="31"/>
  <c r="P41" i="31"/>
  <c r="P40" i="31"/>
  <c r="Q40" i="31"/>
  <c r="R39" i="31"/>
  <c r="U38" i="31" l="1"/>
  <c r="EO31" i="25" l="1"/>
  <c r="EO18" i="25"/>
  <c r="EO24" i="25"/>
  <c r="DZ13" i="25"/>
  <c r="DZ14" i="25"/>
  <c r="DZ15" i="25"/>
  <c r="DZ18" i="25"/>
  <c r="DZ28" i="25"/>
  <c r="DZ17" i="25"/>
  <c r="DZ16" i="25"/>
  <c r="DZ21" i="25"/>
  <c r="DZ34" i="25"/>
  <c r="DZ25" i="25"/>
  <c r="DZ32" i="25"/>
  <c r="DZ31" i="25"/>
  <c r="DZ29" i="25"/>
  <c r="DZ27" i="25"/>
  <c r="DZ19" i="25"/>
  <c r="DZ23" i="25"/>
  <c r="DZ24" i="25"/>
  <c r="DZ26" i="25"/>
  <c r="DZ33" i="25"/>
  <c r="DZ35" i="25"/>
  <c r="DZ22" i="25"/>
  <c r="DZ20" i="25"/>
  <c r="DZ30" i="25"/>
  <c r="DV13" i="25"/>
  <c r="DV14" i="25"/>
  <c r="DV15" i="25"/>
  <c r="DV16" i="25"/>
  <c r="DV23" i="25"/>
  <c r="DV30" i="25"/>
  <c r="DV35" i="25"/>
  <c r="DV27" i="25"/>
  <c r="DV28" i="25"/>
  <c r="DV25" i="25"/>
  <c r="DV17" i="25"/>
  <c r="DV34" i="25"/>
  <c r="DV21" i="25"/>
  <c r="DV29" i="25"/>
  <c r="DV32" i="25"/>
  <c r="DV24" i="25"/>
  <c r="DV33" i="25"/>
  <c r="DV19" i="25"/>
  <c r="DV31" i="25"/>
  <c r="DV18" i="25"/>
  <c r="DV20" i="25"/>
  <c r="DV22" i="25"/>
  <c r="DV26" i="25"/>
  <c r="EO22" i="25"/>
  <c r="DT13" i="25"/>
  <c r="DT14" i="25"/>
  <c r="DT15" i="25"/>
  <c r="DT28" i="25"/>
  <c r="DT27" i="25"/>
  <c r="DT21" i="25"/>
  <c r="DT20" i="25"/>
  <c r="DT24" i="25"/>
  <c r="DT26" i="25"/>
  <c r="DT22" i="25"/>
  <c r="DT29" i="25"/>
  <c r="DT34" i="25"/>
  <c r="DT30" i="25"/>
  <c r="DT32" i="25"/>
  <c r="DT33" i="25"/>
  <c r="DT25" i="25"/>
  <c r="DT35" i="25"/>
  <c r="DT17" i="25"/>
  <c r="DT16" i="25"/>
  <c r="DT31" i="25"/>
  <c r="DT19" i="25"/>
  <c r="DT18" i="25"/>
  <c r="DT23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3" i="25"/>
  <c r="EO34" i="25"/>
  <c r="EO35" i="25"/>
  <c r="EO30" i="25"/>
  <c r="EO28" i="25"/>
  <c r="EO25" i="25"/>
  <c r="DU13" i="25"/>
  <c r="DU14" i="25"/>
  <c r="DU15" i="25"/>
  <c r="DU17" i="25"/>
  <c r="DU16" i="25"/>
  <c r="DU35" i="25"/>
  <c r="DU20" i="25"/>
  <c r="DU32" i="25"/>
  <c r="DU21" i="25"/>
  <c r="DU30" i="25"/>
  <c r="DU34" i="25"/>
  <c r="DU23" i="25"/>
  <c r="DU24" i="25"/>
  <c r="DU28" i="25"/>
  <c r="DU27" i="25"/>
  <c r="DU29" i="25"/>
  <c r="DU18" i="25"/>
  <c r="DU22" i="25"/>
  <c r="DU19" i="25"/>
  <c r="DU31" i="25"/>
  <c r="DU25" i="25"/>
  <c r="DU33" i="25"/>
  <c r="DU26" i="25"/>
  <c r="EO27" i="25"/>
  <c r="DX13" i="25" l="1"/>
  <c r="DX14" i="25"/>
  <c r="DX15" i="25"/>
  <c r="DY13" i="25"/>
  <c r="DY14" i="25"/>
  <c r="DY15" i="25" l="1"/>
  <c r="EB13" i="25" l="1"/>
  <c r="EB14" i="25"/>
  <c r="ED13" i="25" l="1"/>
  <c r="EC14" i="25"/>
  <c r="EC13" i="25"/>
  <c r="ED14" i="25"/>
  <c r="EA13" i="25" l="1"/>
  <c r="EA14" i="25"/>
  <c r="EN13" i="25" l="1"/>
  <c r="EB15" i="25"/>
  <c r="EN14" i="25"/>
  <c r="EG13" i="25" l="1"/>
  <c r="EI13" i="25"/>
  <c r="EI14" i="25"/>
  <c r="EC15" i="25" l="1"/>
  <c r="EA15" i="25" l="1"/>
  <c r="EG14" i="25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A16" i="25"/>
  <c r="EA17" i="25"/>
  <c r="EA18" i="25"/>
  <c r="EA20" i="25"/>
  <c r="EA19" i="25"/>
  <c r="EA21" i="25"/>
  <c r="EA22" i="25"/>
  <c r="EA23" i="25"/>
  <c r="EA24" i="25"/>
  <c r="EA26" i="25"/>
  <c r="EA25" i="25"/>
  <c r="EA27" i="25"/>
  <c r="EA30" i="25"/>
  <c r="EA29" i="25"/>
  <c r="EA28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DX16" i="25"/>
  <c r="DX17" i="25" l="1"/>
  <c r="DX19" i="25"/>
  <c r="DX20" i="25"/>
  <c r="DX18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DY18" i="25" l="1"/>
  <c r="DY17" i="25"/>
  <c r="DY16" i="25"/>
  <c r="DY20" i="25"/>
  <c r="DY19" i="25"/>
  <c r="EG21" i="25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5" i="25"/>
  <c r="EB33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5" i="25" l="1"/>
  <c r="EC34" i="25"/>
  <c r="EC32" i="25"/>
  <c r="EC33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A35" i="25" l="1"/>
  <c r="EA33" i="25"/>
  <c r="EA31" i="25"/>
  <c r="EA34" i="25"/>
  <c r="EA32" i="25"/>
  <c r="ED31" i="25" l="1"/>
  <c r="ED35" i="25"/>
  <c r="ED32" i="25"/>
  <c r="ED34" i="25"/>
  <c r="ED33" i="25"/>
  <c r="EI31" i="25" l="1"/>
  <c r="EI32" i="25"/>
  <c r="EI33" i="25"/>
  <c r="EI34" i="25"/>
  <c r="EI35" i="25"/>
  <c r="EN34" i="25"/>
  <c r="EN33" i="25"/>
  <c r="EN35" i="25"/>
  <c r="EN31" i="25"/>
  <c r="EN32" i="25"/>
  <c r="DX21" i="25"/>
  <c r="EK33" i="25" l="1"/>
  <c r="EK34" i="25"/>
  <c r="EK31" i="25"/>
  <c r="EK35" i="25"/>
  <c r="EK32" i="25"/>
  <c r="EM33" i="25"/>
  <c r="EM31" i="25"/>
  <c r="EM35" i="25"/>
  <c r="EM34" i="25"/>
  <c r="EM32" i="25"/>
  <c r="EF34" i="25"/>
  <c r="EF33" i="25"/>
  <c r="EF35" i="25"/>
  <c r="EF31" i="25"/>
  <c r="EF32" i="25"/>
  <c r="EG34" i="25"/>
  <c r="EG35" i="25"/>
  <c r="EG32" i="25"/>
  <c r="EG31" i="25"/>
  <c r="EG33" i="25"/>
  <c r="EE34" i="25" l="1"/>
  <c r="EE32" i="25"/>
  <c r="EE35" i="25"/>
  <c r="EE33" i="25"/>
  <c r="EE31" i="25"/>
  <c r="EL34" i="25" l="1"/>
  <c r="EL32" i="25"/>
  <c r="EL35" i="25"/>
  <c r="EL31" i="25"/>
  <c r="EL33" i="25"/>
  <c r="DX33" i="25"/>
  <c r="DX22" i="25"/>
  <c r="DX26" i="25"/>
  <c r="DX29" i="25"/>
  <c r="DX31" i="25"/>
  <c r="DX24" i="25"/>
  <c r="DX27" i="25"/>
  <c r="DX35" i="25"/>
  <c r="DX23" i="25"/>
  <c r="DX28" i="25"/>
  <c r="DX32" i="25"/>
  <c r="DX34" i="25"/>
  <c r="DX30" i="25"/>
  <c r="DX25" i="25"/>
  <c r="DY21" i="25" l="1"/>
  <c r="DY32" i="25"/>
  <c r="DY34" i="25"/>
  <c r="DY33" i="25"/>
  <c r="DY26" i="25"/>
  <c r="DY35" i="25"/>
  <c r="DY28" i="25"/>
  <c r="DY27" i="25"/>
  <c r="DY25" i="25"/>
  <c r="DY22" i="25"/>
  <c r="DY30" i="25"/>
  <c r="DY24" i="25"/>
  <c r="DY31" i="25"/>
  <c r="DY29" i="25"/>
  <c r="DY23" i="25"/>
  <c r="M38" i="31" l="1"/>
  <c r="S38" i="31"/>
  <c r="Q38" i="31" l="1"/>
  <c r="D12" i="31" l="1"/>
  <c r="K25" i="31"/>
  <c r="V24" i="31" s="1"/>
  <c r="O17" i="31"/>
  <c r="K49" i="31"/>
  <c r="V48" i="31" s="1"/>
  <c r="O19" i="31"/>
  <c r="K13" i="31"/>
  <c r="O16" i="31"/>
  <c r="K37" i="31"/>
  <c r="V36" i="31" s="1"/>
  <c r="O18" i="31"/>
  <c r="K14" i="31"/>
  <c r="V13" i="31" s="1"/>
  <c r="K19" i="31"/>
  <c r="V18" i="31" s="1"/>
  <c r="K26" i="31"/>
  <c r="V25" i="31" s="1"/>
  <c r="K21" i="31"/>
  <c r="V20" i="31" s="1"/>
  <c r="K28" i="31"/>
  <c r="V27" i="31" s="1"/>
  <c r="K29" i="31"/>
  <c r="V28" i="31" s="1"/>
  <c r="K23" i="31"/>
  <c r="V22" i="31" s="1"/>
  <c r="K74" i="31"/>
  <c r="V73" i="31" s="1"/>
  <c r="K75" i="31"/>
  <c r="V74" i="31" s="1"/>
  <c r="K64" i="31"/>
  <c r="V63" i="31" s="1"/>
  <c r="K43" i="31"/>
  <c r="V42" i="31" s="1"/>
  <c r="K109" i="31"/>
  <c r="V108" i="31" s="1"/>
  <c r="K88" i="31"/>
  <c r="V87" i="31" s="1"/>
  <c r="K110" i="31"/>
  <c r="V109" i="31" s="1"/>
  <c r="K67" i="31"/>
  <c r="V66" i="31" s="1"/>
  <c r="K45" i="31"/>
  <c r="V44" i="31" s="1"/>
  <c r="K111" i="31"/>
  <c r="V110" i="31" s="1"/>
  <c r="K101" i="31"/>
  <c r="V100" i="31" s="1"/>
  <c r="K46" i="31"/>
  <c r="V45" i="31" s="1"/>
  <c r="K35" i="31"/>
  <c r="V34" i="31" s="1"/>
  <c r="K113" i="31"/>
  <c r="V112" i="31" s="1"/>
  <c r="K157" i="31"/>
  <c r="V156" i="31" s="1"/>
  <c r="K47" i="31"/>
  <c r="V46" i="31" s="1"/>
  <c r="K147" i="31"/>
  <c r="V146" i="31" s="1"/>
  <c r="K136" i="31"/>
  <c r="V135" i="31" s="1"/>
  <c r="K81" i="31"/>
  <c r="V80" i="31" s="1"/>
  <c r="K170" i="31"/>
  <c r="V169" i="31" s="1"/>
  <c r="K138" i="31"/>
  <c r="V137" i="31" s="1"/>
  <c r="K93" i="31"/>
  <c r="V92" i="31" s="1"/>
  <c r="K127" i="31"/>
  <c r="V126" i="31" s="1"/>
  <c r="K137" i="31"/>
  <c r="V136" i="31" s="1"/>
  <c r="K115" i="31"/>
  <c r="V114" i="31" s="1"/>
  <c r="K15" i="31"/>
  <c r="V14" i="31" s="1"/>
  <c r="K18" i="31"/>
  <c r="V17" i="31" s="1"/>
  <c r="K20" i="31"/>
  <c r="V19" i="31" s="1"/>
  <c r="K27" i="31"/>
  <c r="V26" i="31" s="1"/>
  <c r="K39" i="31"/>
  <c r="V38" i="31" s="1"/>
  <c r="K40" i="31"/>
  <c r="V39" i="31" s="1"/>
  <c r="K63" i="31"/>
  <c r="V62" i="31" s="1"/>
  <c r="K52" i="31"/>
  <c r="V51" i="31" s="1"/>
  <c r="K86" i="31"/>
  <c r="V85" i="31" s="1"/>
  <c r="K97" i="31"/>
  <c r="V96" i="31" s="1"/>
  <c r="K54" i="31"/>
  <c r="V53" i="31" s="1"/>
  <c r="K65" i="31"/>
  <c r="V64" i="31" s="1"/>
  <c r="K66" i="31"/>
  <c r="V65" i="31" s="1"/>
  <c r="K44" i="31"/>
  <c r="V43" i="31" s="1"/>
  <c r="K34" i="31"/>
  <c r="V33" i="31" s="1"/>
  <c r="K56" i="31"/>
  <c r="V55" i="31" s="1"/>
  <c r="K89" i="31"/>
  <c r="V88" i="31" s="1"/>
  <c r="K134" i="31"/>
  <c r="V133" i="31" s="1"/>
  <c r="K79" i="31"/>
  <c r="V78" i="31" s="1"/>
  <c r="K58" i="31"/>
  <c r="V57" i="31" s="1"/>
  <c r="K36" i="31"/>
  <c r="V35" i="31" s="1"/>
  <c r="K80" i="31"/>
  <c r="V79" i="31" s="1"/>
  <c r="K92" i="31"/>
  <c r="V91" i="31" s="1"/>
  <c r="K59" i="31"/>
  <c r="V58" i="31" s="1"/>
  <c r="K70" i="31"/>
  <c r="V69" i="31" s="1"/>
  <c r="K193" i="31"/>
  <c r="V192" i="31" s="1"/>
  <c r="K60" i="31"/>
  <c r="V59" i="31" s="1"/>
  <c r="K83" i="31"/>
  <c r="V82" i="31" s="1"/>
  <c r="K181" i="31"/>
  <c r="V180" i="31" s="1"/>
  <c r="K72" i="31"/>
  <c r="V71" i="31" s="1"/>
  <c r="K160" i="31"/>
  <c r="V159" i="31" s="1"/>
  <c r="K148" i="31"/>
  <c r="V147" i="31" s="1"/>
  <c r="K16" i="31"/>
  <c r="V15" i="31" s="1"/>
  <c r="K50" i="31"/>
  <c r="V49" i="31" s="1"/>
  <c r="K22" i="31"/>
  <c r="V21" i="31" s="1"/>
  <c r="K51" i="31"/>
  <c r="V50" i="31" s="1"/>
  <c r="K41" i="31"/>
  <c r="V40" i="31" s="1"/>
  <c r="K24" i="31"/>
  <c r="V23" i="31" s="1"/>
  <c r="K53" i="31"/>
  <c r="V52" i="31" s="1"/>
  <c r="K42" i="31"/>
  <c r="V41" i="31" s="1"/>
  <c r="K87" i="31"/>
  <c r="V86" i="31" s="1"/>
  <c r="K32" i="31"/>
  <c r="V31" i="31" s="1"/>
  <c r="K99" i="31"/>
  <c r="V98" i="31" s="1"/>
  <c r="K33" i="31"/>
  <c r="V32" i="31" s="1"/>
  <c r="K122" i="31"/>
  <c r="V121" i="31" s="1"/>
  <c r="K133" i="31"/>
  <c r="V132" i="31" s="1"/>
  <c r="K145" i="31"/>
  <c r="V144" i="31" s="1"/>
  <c r="K123" i="31"/>
  <c r="V122" i="31" s="1"/>
  <c r="K68" i="31"/>
  <c r="V67" i="31" s="1"/>
  <c r="K91" i="31"/>
  <c r="V90" i="31" s="1"/>
  <c r="K69" i="31"/>
  <c r="V68" i="31" s="1"/>
  <c r="K124" i="31"/>
  <c r="V123" i="31" s="1"/>
  <c r="K114" i="31"/>
  <c r="V113" i="31" s="1"/>
  <c r="K125" i="31"/>
  <c r="V124" i="31" s="1"/>
  <c r="K48" i="31"/>
  <c r="V47" i="31" s="1"/>
  <c r="K149" i="31"/>
  <c r="V148" i="31" s="1"/>
  <c r="K104" i="31"/>
  <c r="V103" i="31" s="1"/>
  <c r="K94" i="31"/>
  <c r="V93" i="31" s="1"/>
  <c r="K71" i="31"/>
  <c r="V70" i="31" s="1"/>
  <c r="K116" i="31"/>
  <c r="V115" i="31" s="1"/>
  <c r="K82" i="31"/>
  <c r="V81" i="31" s="1"/>
  <c r="K100" i="31"/>
  <c r="V99" i="31" s="1"/>
  <c r="K17" i="31"/>
  <c r="V16" i="31" s="1"/>
  <c r="K38" i="31"/>
  <c r="V37" i="31" s="1"/>
  <c r="K61" i="31"/>
  <c r="V60" i="31" s="1"/>
  <c r="O20" i="31"/>
  <c r="K73" i="31"/>
  <c r="V72" i="31" s="1"/>
  <c r="K62" i="31"/>
  <c r="V61" i="31" s="1"/>
  <c r="K30" i="31"/>
  <c r="V29" i="31" s="1"/>
  <c r="K85" i="31"/>
  <c r="V84" i="31" s="1"/>
  <c r="K31" i="31"/>
  <c r="V30" i="31" s="1"/>
  <c r="K76" i="31"/>
  <c r="V75" i="31" s="1"/>
  <c r="K98" i="31"/>
  <c r="V97" i="31" s="1"/>
  <c r="K121" i="31"/>
  <c r="V120" i="31" s="1"/>
  <c r="K77" i="31"/>
  <c r="V76" i="31" s="1"/>
  <c r="K55" i="31"/>
  <c r="V54" i="31" s="1"/>
  <c r="K78" i="31"/>
  <c r="V77" i="31" s="1"/>
  <c r="K90" i="31"/>
  <c r="V89" i="31" s="1"/>
  <c r="K112" i="31"/>
  <c r="V111" i="31" s="1"/>
  <c r="K57" i="31"/>
  <c r="V56" i="31" s="1"/>
  <c r="K102" i="31"/>
  <c r="V101" i="31" s="1"/>
  <c r="K146" i="31"/>
  <c r="V145" i="31" s="1"/>
  <c r="K135" i="31"/>
  <c r="V134" i="31" s="1"/>
  <c r="K169" i="31"/>
  <c r="V168" i="31" s="1"/>
  <c r="K103" i="31"/>
  <c r="V102" i="31" s="1"/>
  <c r="K158" i="31"/>
  <c r="V157" i="31" s="1"/>
  <c r="K105" i="31"/>
  <c r="V104" i="31" s="1"/>
  <c r="K182" i="31"/>
  <c r="V181" i="31" s="1"/>
  <c r="K126" i="31"/>
  <c r="V125" i="31" s="1"/>
  <c r="K171" i="31"/>
  <c r="V170" i="31" s="1"/>
  <c r="K159" i="31"/>
  <c r="V158" i="31" s="1"/>
  <c r="G12" i="31" l="1"/>
  <c r="O21" i="31"/>
  <c r="K84" i="31"/>
  <c r="V83" i="31" s="1"/>
  <c r="K205" i="31"/>
  <c r="V204" i="31" s="1"/>
  <c r="K139" i="31"/>
  <c r="V138" i="31" s="1"/>
  <c r="K117" i="31"/>
  <c r="V116" i="31" s="1"/>
  <c r="K150" i="31"/>
  <c r="V149" i="31" s="1"/>
  <c r="K183" i="31"/>
  <c r="V182" i="31" s="1"/>
  <c r="K161" i="31"/>
  <c r="V160" i="31" s="1"/>
  <c r="K106" i="31"/>
  <c r="V105" i="31" s="1"/>
  <c r="K128" i="31"/>
  <c r="V127" i="31" s="1"/>
  <c r="K172" i="31"/>
  <c r="V171" i="31" s="1"/>
  <c r="K194" i="31"/>
  <c r="V193" i="31" s="1"/>
  <c r="K95" i="31"/>
  <c r="V94" i="31" s="1"/>
  <c r="V12" i="31"/>
  <c r="K4" i="31"/>
  <c r="K5" i="31"/>
  <c r="M8" i="31" s="1"/>
  <c r="B5" i="25" s="1"/>
  <c r="O22" i="31" l="1"/>
  <c r="K96" i="31"/>
  <c r="V95" i="31" s="1"/>
  <c r="K217" i="31"/>
  <c r="V216" i="31" s="1"/>
  <c r="K195" i="31"/>
  <c r="V194" i="31" s="1"/>
  <c r="K173" i="31"/>
  <c r="V172" i="31" s="1"/>
  <c r="K151" i="31"/>
  <c r="V150" i="31" s="1"/>
  <c r="K118" i="31"/>
  <c r="V117" i="31" s="1"/>
  <c r="K140" i="31"/>
  <c r="V139" i="31" s="1"/>
  <c r="K206" i="31"/>
  <c r="V205" i="31" s="1"/>
  <c r="K184" i="31"/>
  <c r="V183" i="31" s="1"/>
  <c r="K162" i="31"/>
  <c r="V161" i="31" s="1"/>
  <c r="K129" i="31"/>
  <c r="V128" i="31" s="1"/>
  <c r="K107" i="31"/>
  <c r="V106" i="31" s="1"/>
  <c r="K6" i="31"/>
  <c r="B5" i="31" s="1"/>
  <c r="K3" i="25"/>
  <c r="O23" i="31" l="1"/>
  <c r="K108" i="31"/>
  <c r="V107" i="31" s="1"/>
  <c r="K141" i="31"/>
  <c r="V140" i="31" s="1"/>
  <c r="K119" i="31"/>
  <c r="V118" i="31" s="1"/>
  <c r="K152" i="31"/>
  <c r="V151" i="31" s="1"/>
  <c r="K174" i="31"/>
  <c r="V173" i="31" s="1"/>
  <c r="K196" i="31"/>
  <c r="V195" i="31" s="1"/>
  <c r="K218" i="31"/>
  <c r="V217" i="31" s="1"/>
  <c r="K130" i="31"/>
  <c r="V129" i="31" s="1"/>
  <c r="K163" i="31"/>
  <c r="V162" i="31" s="1"/>
  <c r="K185" i="31"/>
  <c r="V184" i="31" s="1"/>
  <c r="K207" i="31"/>
  <c r="V206" i="31" s="1"/>
  <c r="K229" i="31"/>
  <c r="V228" i="31" s="1"/>
  <c r="G9" i="25"/>
  <c r="K120" i="31" l="1"/>
  <c r="V119" i="31" s="1"/>
  <c r="K219" i="31"/>
  <c r="V218" i="31" s="1"/>
  <c r="K197" i="31"/>
  <c r="V196" i="31" s="1"/>
  <c r="K175" i="31"/>
  <c r="V174" i="31" s="1"/>
  <c r="K153" i="31"/>
  <c r="V152" i="31" s="1"/>
  <c r="K142" i="31"/>
  <c r="V141" i="31" s="1"/>
  <c r="K230" i="31"/>
  <c r="V229" i="31" s="1"/>
  <c r="K208" i="31"/>
  <c r="V207" i="31" s="1"/>
  <c r="K186" i="31"/>
  <c r="V185" i="31" s="1"/>
  <c r="K164" i="31"/>
  <c r="V163" i="31" s="1"/>
  <c r="K131" i="31"/>
  <c r="V130" i="31" s="1"/>
  <c r="K241" i="31"/>
  <c r="V240" i="31" s="1"/>
  <c r="K242" i="31"/>
  <c r="V241" i="31" s="1"/>
  <c r="B5" i="28"/>
  <c r="B5" i="66"/>
  <c r="B4" i="31"/>
  <c r="K132" i="31" l="1"/>
  <c r="V131" i="31" s="1"/>
  <c r="K143" i="31"/>
  <c r="V142" i="31" s="1"/>
  <c r="K154" i="31"/>
  <c r="V153" i="31" s="1"/>
  <c r="K176" i="31"/>
  <c r="V175" i="31" s="1"/>
  <c r="K198" i="31"/>
  <c r="V197" i="31" s="1"/>
  <c r="K220" i="31"/>
  <c r="V219" i="31" s="1"/>
  <c r="K165" i="31"/>
  <c r="V164" i="31" s="1"/>
  <c r="K187" i="31"/>
  <c r="V186" i="31" s="1"/>
  <c r="K209" i="31"/>
  <c r="V208" i="31" s="1"/>
  <c r="K231" i="31"/>
  <c r="V230" i="31" s="1"/>
  <c r="K243" i="31"/>
  <c r="V242" i="31" s="1"/>
  <c r="E15" i="25"/>
  <c r="E13" i="25"/>
  <c r="E17" i="25"/>
  <c r="E14" i="25"/>
  <c r="E16" i="25"/>
  <c r="M18" i="31" l="1"/>
  <c r="S18" i="31"/>
  <c r="S19" i="31"/>
  <c r="M21" i="31"/>
  <c r="S21" i="31"/>
  <c r="M19" i="31"/>
  <c r="M16" i="31"/>
  <c r="M17" i="31"/>
  <c r="S20" i="31"/>
  <c r="S22" i="31"/>
  <c r="S17" i="31"/>
  <c r="S23" i="31"/>
  <c r="M20" i="31"/>
  <c r="S16" i="31"/>
  <c r="K144" i="31"/>
  <c r="V143" i="31" s="1"/>
  <c r="K232" i="31"/>
  <c r="V231" i="31" s="1"/>
  <c r="K210" i="31"/>
  <c r="V209" i="31" s="1"/>
  <c r="K188" i="31"/>
  <c r="V187" i="31" s="1"/>
  <c r="K166" i="31"/>
  <c r="V165" i="31" s="1"/>
  <c r="K244" i="31"/>
  <c r="V243" i="31" s="1"/>
  <c r="K221" i="31"/>
  <c r="V220" i="31" s="1"/>
  <c r="K199" i="31"/>
  <c r="V198" i="31" s="1"/>
  <c r="K177" i="31"/>
  <c r="V176" i="31" s="1"/>
  <c r="K155" i="31"/>
  <c r="V154" i="31" s="1"/>
  <c r="V264" i="31"/>
  <c r="V252" i="31"/>
  <c r="V265" i="31"/>
  <c r="V253" i="31"/>
  <c r="E18" i="25"/>
  <c r="S25" i="31" l="1"/>
  <c r="S24" i="31"/>
  <c r="Q19" i="31"/>
  <c r="Q21" i="31"/>
  <c r="Q17" i="31"/>
  <c r="Q18" i="31"/>
  <c r="Q16" i="31"/>
  <c r="Q20" i="31"/>
  <c r="K156" i="31"/>
  <c r="V155" i="31" s="1"/>
  <c r="K178" i="31"/>
  <c r="V177" i="31" s="1"/>
  <c r="K200" i="31"/>
  <c r="V199" i="31" s="1"/>
  <c r="K222" i="31"/>
  <c r="V221" i="31" s="1"/>
  <c r="K245" i="31"/>
  <c r="V244" i="31" s="1"/>
  <c r="K167" i="31"/>
  <c r="V166" i="31" s="1"/>
  <c r="K189" i="31"/>
  <c r="V188" i="31" s="1"/>
  <c r="K211" i="31"/>
  <c r="V210" i="31" s="1"/>
  <c r="K233" i="31"/>
  <c r="V232" i="31" s="1"/>
  <c r="V266" i="31"/>
  <c r="V254" i="31"/>
  <c r="E19" i="25"/>
  <c r="S26" i="31" l="1"/>
  <c r="M22" i="31"/>
  <c r="K234" i="31"/>
  <c r="V233" i="31" s="1"/>
  <c r="K212" i="31"/>
  <c r="V211" i="31" s="1"/>
  <c r="K190" i="31"/>
  <c r="V189" i="31" s="1"/>
  <c r="K168" i="31"/>
  <c r="V167" i="31" s="1"/>
  <c r="K246" i="31"/>
  <c r="V245" i="31" s="1"/>
  <c r="K223" i="31"/>
  <c r="V222" i="31" s="1"/>
  <c r="K201" i="31"/>
  <c r="V200" i="31" s="1"/>
  <c r="K179" i="31"/>
  <c r="V178" i="31" s="1"/>
  <c r="V267" i="31"/>
  <c r="V255" i="31"/>
  <c r="E20" i="25"/>
  <c r="M23" i="31" l="1"/>
  <c r="S28" i="31"/>
  <c r="Q22" i="31"/>
  <c r="K180" i="31"/>
  <c r="V179" i="31" s="1"/>
  <c r="K191" i="31"/>
  <c r="V190" i="31" s="1"/>
  <c r="K213" i="31"/>
  <c r="V212" i="31" s="1"/>
  <c r="K235" i="31"/>
  <c r="V234" i="31" s="1"/>
  <c r="K202" i="31"/>
  <c r="V201" i="31" s="1"/>
  <c r="K224" i="31"/>
  <c r="V223" i="31" s="1"/>
  <c r="K247" i="31"/>
  <c r="V246" i="31" s="1"/>
  <c r="V268" i="31"/>
  <c r="V256" i="31"/>
  <c r="F10" i="31"/>
  <c r="E21" i="25"/>
  <c r="S29" i="31" l="1"/>
  <c r="M24" i="31"/>
  <c r="S27" i="31"/>
  <c r="Q23" i="31"/>
  <c r="K192" i="31"/>
  <c r="V191" i="31" s="1"/>
  <c r="S30" i="31" s="1"/>
  <c r="K236" i="31"/>
  <c r="V235" i="31" s="1"/>
  <c r="K214" i="31"/>
  <c r="V213" i="31" s="1"/>
  <c r="K248" i="31"/>
  <c r="V247" i="31" s="1"/>
  <c r="K225" i="31"/>
  <c r="V224" i="31" s="1"/>
  <c r="K203" i="31"/>
  <c r="V202" i="31" s="1"/>
  <c r="V269" i="31"/>
  <c r="V257" i="31"/>
  <c r="E22" i="25"/>
  <c r="F8" i="31"/>
  <c r="M25" i="31" l="1"/>
  <c r="K204" i="31"/>
  <c r="V203" i="31" s="1"/>
  <c r="K226" i="31"/>
  <c r="V225" i="31" s="1"/>
  <c r="K249" i="31"/>
  <c r="V248" i="31" s="1"/>
  <c r="K215" i="31"/>
  <c r="V214" i="31" s="1"/>
  <c r="K237" i="31"/>
  <c r="V236" i="31" s="1"/>
  <c r="V270" i="31"/>
  <c r="V258" i="31"/>
  <c r="F7" i="31"/>
  <c r="E23" i="25"/>
  <c r="M26" i="31" l="1"/>
  <c r="S31" i="31"/>
  <c r="K216" i="31"/>
  <c r="V215" i="31" s="1"/>
  <c r="K250" i="31"/>
  <c r="V249" i="31" s="1"/>
  <c r="K227" i="31"/>
  <c r="V226" i="31" s="1"/>
  <c r="K238" i="31"/>
  <c r="V237" i="31" s="1"/>
  <c r="V271" i="31"/>
  <c r="V259" i="31"/>
  <c r="E24" i="25"/>
  <c r="M27" i="31" l="1"/>
  <c r="K228" i="31"/>
  <c r="V227" i="31" s="1"/>
  <c r="K239" i="31"/>
  <c r="V238" i="31" s="1"/>
  <c r="K251" i="31"/>
  <c r="V250" i="31" s="1"/>
  <c r="V272" i="31"/>
  <c r="V260" i="31"/>
  <c r="E25" i="25"/>
  <c r="M28" i="31" l="1"/>
  <c r="K252" i="31"/>
  <c r="V251" i="31" s="1"/>
  <c r="K240" i="31"/>
  <c r="V239" i="31" s="1"/>
  <c r="V273" i="31"/>
  <c r="V261" i="31"/>
  <c r="E26" i="25"/>
  <c r="O31" i="31" l="1"/>
  <c r="O27" i="31"/>
  <c r="Q27" i="31" s="1"/>
  <c r="O28" i="31"/>
  <c r="Q28" i="31" s="1"/>
  <c r="O30" i="31"/>
  <c r="O25" i="31"/>
  <c r="O26" i="31"/>
  <c r="Q26" i="31" s="1"/>
  <c r="O29" i="31"/>
  <c r="O24" i="31"/>
  <c r="Q24" i="31" s="1"/>
  <c r="O32" i="31"/>
  <c r="O33" i="31"/>
  <c r="O34" i="31"/>
  <c r="O35" i="31"/>
  <c r="O36" i="31"/>
  <c r="M29" i="31"/>
  <c r="V274" i="31"/>
  <c r="V262" i="31"/>
  <c r="N38" i="31"/>
  <c r="E27" i="25"/>
  <c r="C10" i="31"/>
  <c r="E50" i="25" l="1"/>
  <c r="R38" i="31"/>
  <c r="P38" i="31"/>
  <c r="M30" i="31"/>
  <c r="Q29" i="31"/>
  <c r="Q25" i="31"/>
  <c r="O37" i="31"/>
  <c r="V275" i="31"/>
  <c r="V263" i="31"/>
  <c r="E29" i="25"/>
  <c r="C8" i="31"/>
  <c r="E28" i="25"/>
  <c r="C7" i="31"/>
  <c r="E54" i="25" l="1"/>
  <c r="E60" i="25"/>
  <c r="M32" i="31"/>
  <c r="Q30" i="31"/>
  <c r="M31" i="31"/>
  <c r="E30" i="25"/>
  <c r="M33" i="31" l="1"/>
  <c r="Q31" i="31"/>
  <c r="Q32" i="31"/>
  <c r="E31" i="25"/>
  <c r="E32" i="25"/>
  <c r="M34" i="31" l="1"/>
  <c r="Q33" i="31"/>
  <c r="M35" i="31"/>
  <c r="E33" i="25"/>
  <c r="M36" i="31" l="1"/>
  <c r="Q34" i="31"/>
  <c r="Q35" i="31"/>
  <c r="S32" i="31" l="1"/>
  <c r="S33" i="31"/>
  <c r="S34" i="31"/>
  <c r="S36" i="31"/>
  <c r="S35" i="31"/>
  <c r="S37" i="31"/>
  <c r="M37" i="31"/>
  <c r="Q36" i="31"/>
  <c r="Q37" i="31" l="1"/>
  <c r="FE13" i="25" l="1"/>
  <c r="FE14" i="25"/>
  <c r="FE15" i="25"/>
  <c r="FE16" i="25"/>
  <c r="FE17" i="25"/>
  <c r="FE18" i="25"/>
  <c r="FE19" i="25"/>
  <c r="FE20" i="25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FE33" i="25"/>
  <c r="FE35" i="25"/>
  <c r="FE34" i="25"/>
  <c r="BN19" i="25" l="1"/>
  <c r="BN16" i="25"/>
  <c r="BN13" i="25"/>
  <c r="BN33" i="25"/>
  <c r="BN34" i="25"/>
  <c r="BN14" i="25"/>
  <c r="BN35" i="25"/>
  <c r="BN18" i="25"/>
  <c r="BN15" i="25"/>
  <c r="BN22" i="25"/>
  <c r="BN20" i="25"/>
  <c r="BN17" i="25"/>
  <c r="BN21" i="25"/>
  <c r="BC35" i="25"/>
  <c r="BC17" i="25"/>
  <c r="BC19" i="25"/>
  <c r="BC18" i="25"/>
  <c r="BC34" i="25"/>
  <c r="BC16" i="25"/>
  <c r="BC15" i="25"/>
  <c r="BC14" i="25"/>
  <c r="BC20" i="25"/>
  <c r="BC13" i="25"/>
  <c r="BC33" i="25"/>
  <c r="BC22" i="25"/>
  <c r="BC21" i="25"/>
  <c r="EH15" i="25" l="1"/>
  <c r="AX34" i="25"/>
  <c r="AX33" i="25"/>
  <c r="AX20" i="25"/>
  <c r="AX14" i="25"/>
  <c r="AX18" i="25"/>
  <c r="AX13" i="25"/>
  <c r="AX17" i="25"/>
  <c r="AX15" i="25"/>
  <c r="AX16" i="25"/>
  <c r="AX35" i="25"/>
  <c r="DW17" i="25"/>
  <c r="EH13" i="25"/>
  <c r="EH14" i="25"/>
  <c r="EH16" i="25"/>
  <c r="EH17" i="25"/>
  <c r="EH18" i="25"/>
  <c r="EH19" i="25"/>
  <c r="EH20" i="25"/>
  <c r="EH21" i="25"/>
  <c r="EH22" i="25"/>
  <c r="DW13" i="25"/>
  <c r="DW14" i="25"/>
  <c r="DW15" i="25"/>
  <c r="DW16" i="25"/>
  <c r="DW19" i="25"/>
  <c r="DW20" i="25"/>
  <c r="DW18" i="25"/>
  <c r="DW21" i="25"/>
  <c r="DW22" i="25"/>
  <c r="AY20" i="25"/>
  <c r="AY15" i="25"/>
  <c r="AY16" i="25"/>
  <c r="AY13" i="25"/>
  <c r="AY17" i="25"/>
  <c r="AY18" i="25"/>
  <c r="AY34" i="25"/>
  <c r="AY14" i="25"/>
  <c r="AY33" i="25"/>
  <c r="AY35" i="25"/>
  <c r="BN23" i="25"/>
  <c r="DR13" i="25" l="1"/>
  <c r="DR15" i="25"/>
  <c r="DR14" i="25"/>
  <c r="DR16" i="25"/>
  <c r="DR18" i="25"/>
  <c r="DR17" i="25"/>
  <c r="EH23" i="25"/>
  <c r="DS13" i="25"/>
  <c r="DS14" i="25"/>
  <c r="DS15" i="25"/>
  <c r="DS17" i="25"/>
  <c r="DS16" i="25"/>
  <c r="DS18" i="25"/>
  <c r="BC23" i="25"/>
  <c r="DW23" i="25" l="1"/>
  <c r="BN24" i="25"/>
  <c r="BN25" i="25"/>
  <c r="BC24" i="25"/>
  <c r="DW24" i="25" s="1"/>
  <c r="AX19" i="25" l="1"/>
  <c r="AY19" i="25"/>
  <c r="EH24" i="25"/>
  <c r="EH25" i="25"/>
  <c r="BP22" i="25"/>
  <c r="BP25" i="25"/>
  <c r="BP14" i="25"/>
  <c r="BP33" i="25"/>
  <c r="BP24" i="25"/>
  <c r="BP23" i="25"/>
  <c r="BP16" i="25"/>
  <c r="BP17" i="25"/>
  <c r="BP21" i="25"/>
  <c r="BP15" i="25"/>
  <c r="BP35" i="25"/>
  <c r="BP20" i="25"/>
  <c r="BP13" i="25"/>
  <c r="BP34" i="25"/>
  <c r="BP26" i="25"/>
  <c r="BP19" i="25"/>
  <c r="BP18" i="25"/>
  <c r="AY22" i="25"/>
  <c r="AX22" i="25"/>
  <c r="BN26" i="25"/>
  <c r="EH26" i="25" s="1"/>
  <c r="BC25" i="25"/>
  <c r="EJ14" i="25" l="1"/>
  <c r="FA14" i="25" s="1"/>
  <c r="C14" i="25" s="1"/>
  <c r="EJ13" i="25"/>
  <c r="FA13" i="25" s="1"/>
  <c r="C13" i="25" s="1"/>
  <c r="EJ16" i="25"/>
  <c r="FA16" i="25" s="1"/>
  <c r="C16" i="25" s="1"/>
  <c r="EJ17" i="25"/>
  <c r="FA17" i="25" s="1"/>
  <c r="C17" i="25" s="1"/>
  <c r="EJ18" i="25"/>
  <c r="FA18" i="25" s="1"/>
  <c r="C18" i="25" s="1"/>
  <c r="EJ21" i="25"/>
  <c r="EJ20" i="25"/>
  <c r="EJ22" i="25"/>
  <c r="EJ24" i="25"/>
  <c r="EJ26" i="25"/>
  <c r="EJ19" i="25"/>
  <c r="EJ23" i="25"/>
  <c r="EJ25" i="25"/>
  <c r="DW25" i="25"/>
  <c r="DS19" i="25"/>
  <c r="DS20" i="25"/>
  <c r="EJ15" i="25"/>
  <c r="FA15" i="25" s="1"/>
  <c r="C15" i="25" s="1"/>
  <c r="DR20" i="25"/>
  <c r="DR19" i="25"/>
  <c r="AX21" i="25"/>
  <c r="AY21" i="25"/>
  <c r="DS21" i="25" s="1"/>
  <c r="BC26" i="25"/>
  <c r="DW26" i="25" s="1"/>
  <c r="D82" i="31" l="1"/>
  <c r="D78" i="31"/>
  <c r="D77" i="31"/>
  <c r="D81" i="31"/>
  <c r="D76" i="31"/>
  <c r="D75" i="31"/>
  <c r="D74" i="31"/>
  <c r="D73" i="31"/>
  <c r="D83" i="31"/>
  <c r="D80" i="31"/>
  <c r="D79" i="31"/>
  <c r="D84" i="31"/>
  <c r="D70" i="31"/>
  <c r="D68" i="31"/>
  <c r="D61" i="31"/>
  <c r="D69" i="31"/>
  <c r="D65" i="31"/>
  <c r="D64" i="31"/>
  <c r="D67" i="31"/>
  <c r="D72" i="31"/>
  <c r="D71" i="31"/>
  <c r="D66" i="31"/>
  <c r="D63" i="31"/>
  <c r="D62" i="31"/>
  <c r="D54" i="31"/>
  <c r="D53" i="31"/>
  <c r="D51" i="31"/>
  <c r="D49" i="31"/>
  <c r="D52" i="31"/>
  <c r="D50" i="31"/>
  <c r="D60" i="31"/>
  <c r="D59" i="31"/>
  <c r="D58" i="31"/>
  <c r="D56" i="31"/>
  <c r="D57" i="31"/>
  <c r="D55" i="31"/>
  <c r="D22" i="31"/>
  <c r="D21" i="31"/>
  <c r="D20" i="31"/>
  <c r="D16" i="31"/>
  <c r="D19" i="31"/>
  <c r="D15" i="31"/>
  <c r="D14" i="31"/>
  <c r="D17" i="31"/>
  <c r="D13" i="31"/>
  <c r="D24" i="31"/>
  <c r="D18" i="31"/>
  <c r="D23" i="31"/>
  <c r="D38" i="31"/>
  <c r="D47" i="31"/>
  <c r="D48" i="31"/>
  <c r="D44" i="31"/>
  <c r="D43" i="31"/>
  <c r="D42" i="31"/>
  <c r="D45" i="31"/>
  <c r="D41" i="31"/>
  <c r="D40" i="31"/>
  <c r="D46" i="31"/>
  <c r="D39" i="31"/>
  <c r="D37" i="31"/>
  <c r="D34" i="31"/>
  <c r="D29" i="31"/>
  <c r="D31" i="31"/>
  <c r="D28" i="31"/>
  <c r="D27" i="31"/>
  <c r="D26" i="31"/>
  <c r="D33" i="31"/>
  <c r="D32" i="31"/>
  <c r="D30" i="31"/>
  <c r="D25" i="31"/>
  <c r="D36" i="31"/>
  <c r="D35" i="31"/>
  <c r="FA19" i="25"/>
  <c r="C19" i="25" s="1"/>
  <c r="FA20" i="25"/>
  <c r="C20" i="25" s="1"/>
  <c r="DS22" i="25"/>
  <c r="DR22" i="25"/>
  <c r="BN27" i="25"/>
  <c r="BP27" i="25"/>
  <c r="BN28" i="25"/>
  <c r="BP28" i="25"/>
  <c r="AY23" i="25"/>
  <c r="DS23" i="25" s="1"/>
  <c r="AX23" i="25"/>
  <c r="DR21" i="25"/>
  <c r="FA21" i="25" s="1"/>
  <c r="C21" i="25" s="1"/>
  <c r="BC27" i="25"/>
  <c r="D102" i="31" l="1"/>
  <c r="D100" i="31"/>
  <c r="D99" i="31"/>
  <c r="D98" i="31"/>
  <c r="D108" i="31"/>
  <c r="D107" i="31"/>
  <c r="D106" i="31"/>
  <c r="D105" i="31"/>
  <c r="D104" i="31"/>
  <c r="D103" i="31"/>
  <c r="D101" i="31"/>
  <c r="D97" i="31"/>
  <c r="D86" i="31"/>
  <c r="D85" i="31"/>
  <c r="D93" i="31"/>
  <c r="D94" i="31"/>
  <c r="D92" i="31"/>
  <c r="D91" i="31"/>
  <c r="D90" i="31"/>
  <c r="D88" i="31"/>
  <c r="D95" i="31"/>
  <c r="D89" i="31"/>
  <c r="D87" i="31"/>
  <c r="D96" i="31"/>
  <c r="D118" i="31"/>
  <c r="D112" i="31"/>
  <c r="D117" i="31"/>
  <c r="D116" i="31"/>
  <c r="D115" i="31"/>
  <c r="D109" i="31"/>
  <c r="D110" i="31"/>
  <c r="D120" i="31"/>
  <c r="D114" i="31"/>
  <c r="D113" i="31"/>
  <c r="D111" i="31"/>
  <c r="D119" i="31"/>
  <c r="FA22" i="25"/>
  <c r="C22" i="25" s="1"/>
  <c r="EH27" i="25"/>
  <c r="EH28" i="25"/>
  <c r="DR23" i="25"/>
  <c r="FA23" i="25" s="1"/>
  <c r="C23" i="25" s="1"/>
  <c r="DW27" i="25"/>
  <c r="EJ28" i="25"/>
  <c r="EJ27" i="25"/>
  <c r="BC28" i="25"/>
  <c r="DW28" i="25" s="1"/>
  <c r="D134" i="31" l="1"/>
  <c r="D133" i="31"/>
  <c r="D142" i="31"/>
  <c r="D144" i="31"/>
  <c r="D143" i="31"/>
  <c r="D141" i="31"/>
  <c r="D140" i="31"/>
  <c r="D139" i="31"/>
  <c r="D138" i="31"/>
  <c r="D137" i="31"/>
  <c r="D136" i="31"/>
  <c r="D135" i="31"/>
  <c r="D132" i="31"/>
  <c r="D129" i="31"/>
  <c r="D128" i="31"/>
  <c r="D127" i="31"/>
  <c r="D126" i="31"/>
  <c r="D125" i="31"/>
  <c r="D124" i="31"/>
  <c r="D123" i="31"/>
  <c r="D122" i="31"/>
  <c r="D130" i="31"/>
  <c r="D121" i="31"/>
  <c r="D131" i="31"/>
  <c r="AX25" i="25"/>
  <c r="AY25" i="25"/>
  <c r="BN29" i="25"/>
  <c r="EH29" i="25" s="1"/>
  <c r="BP29" i="25"/>
  <c r="AX24" i="25"/>
  <c r="AY24" i="25"/>
  <c r="BC29" i="25"/>
  <c r="DW29" i="25" s="1"/>
  <c r="BC31" i="25"/>
  <c r="DS25" i="25" l="1"/>
  <c r="DS24" i="25"/>
  <c r="DR25" i="25"/>
  <c r="DR24" i="25"/>
  <c r="EJ29" i="25"/>
  <c r="BC30" i="25"/>
  <c r="DW30" i="25" s="1"/>
  <c r="DW31" i="25" l="1"/>
  <c r="FA24" i="25"/>
  <c r="C24" i="25" s="1"/>
  <c r="AX26" i="25"/>
  <c r="AY26" i="25"/>
  <c r="AY27" i="25"/>
  <c r="AX27" i="25"/>
  <c r="FA25" i="25"/>
  <c r="C25" i="25" s="1"/>
  <c r="BC32" i="25"/>
  <c r="D166" i="31" l="1"/>
  <c r="D165" i="31"/>
  <c r="D164" i="31"/>
  <c r="D162" i="31"/>
  <c r="D161" i="31"/>
  <c r="D160" i="31"/>
  <c r="D159" i="31"/>
  <c r="D158" i="31"/>
  <c r="D157" i="31"/>
  <c r="D163" i="31"/>
  <c r="D168" i="31"/>
  <c r="D167" i="31"/>
  <c r="D150" i="31"/>
  <c r="D148" i="31"/>
  <c r="D147" i="31"/>
  <c r="D146" i="31"/>
  <c r="D145" i="31"/>
  <c r="D156" i="31"/>
  <c r="D155" i="31"/>
  <c r="D154" i="31"/>
  <c r="D152" i="31"/>
  <c r="D153" i="31"/>
  <c r="D151" i="31"/>
  <c r="D149" i="31"/>
  <c r="DR27" i="25"/>
  <c r="DS27" i="25"/>
  <c r="FA27" i="25" s="1"/>
  <c r="C27" i="25" s="1"/>
  <c r="DS26" i="25"/>
  <c r="DR26" i="25"/>
  <c r="DW33" i="25"/>
  <c r="DW34" i="25"/>
  <c r="DW32" i="25"/>
  <c r="DW35" i="25"/>
  <c r="D182" i="31" l="1"/>
  <c r="D181" i="31"/>
  <c r="D192" i="31"/>
  <c r="D191" i="31"/>
  <c r="D190" i="31"/>
  <c r="D189" i="31"/>
  <c r="D188" i="31"/>
  <c r="D187" i="31"/>
  <c r="D186" i="31"/>
  <c r="D184" i="31"/>
  <c r="D185" i="31"/>
  <c r="D183" i="31"/>
  <c r="AY28" i="25"/>
  <c r="DS28" i="25" s="1"/>
  <c r="AX28" i="25"/>
  <c r="DR28" i="25" s="1"/>
  <c r="FA26" i="25"/>
  <c r="C26" i="25" s="1"/>
  <c r="D178" i="31" l="1"/>
  <c r="D177" i="31"/>
  <c r="D176" i="31"/>
  <c r="D175" i="31"/>
  <c r="D174" i="31"/>
  <c r="D173" i="31"/>
  <c r="D172" i="31"/>
  <c r="D171" i="31"/>
  <c r="D170" i="31"/>
  <c r="D169" i="31"/>
  <c r="D179" i="31"/>
  <c r="D180" i="31"/>
  <c r="AX31" i="25"/>
  <c r="AY31" i="25"/>
  <c r="AY29" i="25"/>
  <c r="DS29" i="25" s="1"/>
  <c r="AX29" i="25"/>
  <c r="DR29" i="25" s="1"/>
  <c r="FA28" i="25"/>
  <c r="C28" i="25" s="1"/>
  <c r="D198" i="31" l="1"/>
  <c r="D195" i="31"/>
  <c r="D197" i="31"/>
  <c r="D196" i="31"/>
  <c r="D194" i="31"/>
  <c r="D193" i="31"/>
  <c r="D204" i="31"/>
  <c r="D203" i="31"/>
  <c r="D202" i="31"/>
  <c r="D201" i="31"/>
  <c r="D200" i="31"/>
  <c r="D199" i="31"/>
  <c r="FA29" i="25"/>
  <c r="C29" i="25" s="1"/>
  <c r="AX30" i="25"/>
  <c r="DR30" i="25" s="1"/>
  <c r="AY30" i="25"/>
  <c r="DS30" i="25" s="1"/>
  <c r="D214" i="31" l="1"/>
  <c r="D213" i="31"/>
  <c r="D212" i="31"/>
  <c r="D211" i="31"/>
  <c r="D210" i="31"/>
  <c r="D209" i="31"/>
  <c r="D208" i="31"/>
  <c r="D207" i="31"/>
  <c r="D206" i="31"/>
  <c r="D205" i="31"/>
  <c r="D216" i="31"/>
  <c r="D215" i="31"/>
  <c r="DR31" i="25"/>
  <c r="AX32" i="25"/>
  <c r="AY32" i="25"/>
  <c r="DS31" i="25"/>
  <c r="DS34" i="25" l="1"/>
  <c r="DS33" i="25"/>
  <c r="DS35" i="25"/>
  <c r="DS32" i="25"/>
  <c r="DR32" i="25"/>
  <c r="DR35" i="25"/>
  <c r="FA35" i="25" s="1"/>
  <c r="DR34" i="25"/>
  <c r="FA34" i="25" s="1"/>
  <c r="DR33" i="25"/>
  <c r="BN31" i="25" l="1"/>
  <c r="BP31" i="25"/>
  <c r="BN30" i="25" l="1"/>
  <c r="EH30" i="25" s="1"/>
  <c r="BP30" i="25"/>
  <c r="EH31" i="25" l="1"/>
  <c r="BN32" i="25"/>
  <c r="BP32" i="25"/>
  <c r="EJ35" i="25"/>
  <c r="EJ30" i="25"/>
  <c r="EJ33" i="25"/>
  <c r="EJ34" i="25"/>
  <c r="EJ31" i="25"/>
  <c r="FA31" i="25" s="1"/>
  <c r="C31" i="25" s="1"/>
  <c r="EJ32" i="25"/>
  <c r="FA30" i="25"/>
  <c r="C30" i="25" s="1"/>
  <c r="D230" i="31" l="1"/>
  <c r="D240" i="31"/>
  <c r="D239" i="31"/>
  <c r="D238" i="31"/>
  <c r="D237" i="31"/>
  <c r="D236" i="31"/>
  <c r="D235" i="31"/>
  <c r="D234" i="31"/>
  <c r="D232" i="31"/>
  <c r="D233" i="31"/>
  <c r="D231" i="31"/>
  <c r="D229" i="31"/>
  <c r="D228" i="31"/>
  <c r="D227" i="31"/>
  <c r="D226" i="31"/>
  <c r="D225" i="31"/>
  <c r="D224" i="31"/>
  <c r="D223" i="31"/>
  <c r="D222" i="31"/>
  <c r="D221" i="31"/>
  <c r="D220" i="31"/>
  <c r="D219" i="31"/>
  <c r="D218" i="31"/>
  <c r="D217" i="31"/>
  <c r="EH33" i="25"/>
  <c r="FA33" i="25" s="1"/>
  <c r="C33" i="25" s="1"/>
  <c r="EH34" i="25"/>
  <c r="EH32" i="25"/>
  <c r="FA32" i="25" s="1"/>
  <c r="C32" i="25" s="1"/>
  <c r="EH35" i="25"/>
  <c r="D246" i="31" l="1"/>
  <c r="D245" i="31"/>
  <c r="E245" i="31" s="1"/>
  <c r="G245" i="31" s="1"/>
  <c r="D244" i="31"/>
  <c r="E244" i="31" s="1"/>
  <c r="G244" i="31" s="1"/>
  <c r="D243" i="31"/>
  <c r="E243" i="31" s="1"/>
  <c r="G243" i="31" s="1"/>
  <c r="D242" i="31"/>
  <c r="E242" i="31" s="1"/>
  <c r="G242" i="31" s="1"/>
  <c r="D241" i="31"/>
  <c r="D252" i="31"/>
  <c r="E252" i="31" s="1"/>
  <c r="G252" i="31" s="1"/>
  <c r="D251" i="31"/>
  <c r="E251" i="31" s="1"/>
  <c r="G251" i="31" s="1"/>
  <c r="D250" i="31"/>
  <c r="E250" i="31" s="1"/>
  <c r="G250" i="31" s="1"/>
  <c r="D249" i="31"/>
  <c r="E249" i="31" s="1"/>
  <c r="G249" i="31" s="1"/>
  <c r="D248" i="31"/>
  <c r="E248" i="31" s="1"/>
  <c r="G248" i="31" s="1"/>
  <c r="D247" i="31"/>
  <c r="E247" i="31" s="1"/>
  <c r="G247" i="31" s="1"/>
  <c r="E35" i="31"/>
  <c r="G35" i="31" s="1"/>
  <c r="E34" i="31"/>
  <c r="G34" i="31" s="1"/>
  <c r="E33" i="31"/>
  <c r="G33" i="31" s="1"/>
  <c r="E26" i="31"/>
  <c r="G26" i="31" s="1"/>
  <c r="E27" i="31"/>
  <c r="G27" i="31" s="1"/>
  <c r="E36" i="31"/>
  <c r="G36" i="31" s="1"/>
  <c r="E28" i="31"/>
  <c r="G28" i="31" s="1"/>
  <c r="E29" i="31"/>
  <c r="G29" i="31" s="1"/>
  <c r="E31" i="31"/>
  <c r="G31" i="31" s="1"/>
  <c r="E32" i="31"/>
  <c r="G32" i="31" s="1"/>
  <c r="E203" i="31"/>
  <c r="G203" i="31" s="1"/>
  <c r="E200" i="31"/>
  <c r="G200" i="31" s="1"/>
  <c r="E197" i="31"/>
  <c r="G197" i="31" s="1"/>
  <c r="E202" i="31"/>
  <c r="G202" i="31" s="1"/>
  <c r="E195" i="31"/>
  <c r="G195" i="31" s="1"/>
  <c r="E201" i="31"/>
  <c r="G201" i="31" s="1"/>
  <c r="E204" i="31"/>
  <c r="G204" i="31" s="1"/>
  <c r="E199" i="31"/>
  <c r="G199" i="31" s="1"/>
  <c r="E194" i="31"/>
  <c r="G194" i="31" s="1"/>
  <c r="E196" i="31"/>
  <c r="G196" i="31" s="1"/>
  <c r="E176" i="31"/>
  <c r="G176" i="31" s="1"/>
  <c r="E171" i="31"/>
  <c r="G171" i="31" s="1"/>
  <c r="E180" i="31"/>
  <c r="G180" i="31" s="1"/>
  <c r="E172" i="31"/>
  <c r="G172" i="31" s="1"/>
  <c r="E178" i="31"/>
  <c r="G178" i="31" s="1"/>
  <c r="E177" i="31"/>
  <c r="G177" i="31" s="1"/>
  <c r="E179" i="31"/>
  <c r="G179" i="31" s="1"/>
  <c r="E170" i="31"/>
  <c r="G170" i="31" s="1"/>
  <c r="E173" i="31"/>
  <c r="G173" i="31" s="1"/>
  <c r="E175" i="31"/>
  <c r="G175" i="31" s="1"/>
  <c r="E208" i="31"/>
  <c r="G208" i="31" s="1"/>
  <c r="E207" i="31"/>
  <c r="G207" i="31" s="1"/>
  <c r="E213" i="31"/>
  <c r="G213" i="31" s="1"/>
  <c r="E215" i="31"/>
  <c r="G215" i="31" s="1"/>
  <c r="E211" i="31"/>
  <c r="G211" i="31" s="1"/>
  <c r="E206" i="31"/>
  <c r="G206" i="31" s="1"/>
  <c r="E214" i="31"/>
  <c r="G214" i="31" s="1"/>
  <c r="E209" i="31"/>
  <c r="G209" i="31" s="1"/>
  <c r="E212" i="31"/>
  <c r="G212" i="31" s="1"/>
  <c r="E216" i="31"/>
  <c r="G216" i="31" s="1"/>
  <c r="E56" i="31"/>
  <c r="G56" i="31" s="1"/>
  <c r="E53" i="31"/>
  <c r="G53" i="31" s="1"/>
  <c r="E58" i="31"/>
  <c r="G58" i="31" s="1"/>
  <c r="E59" i="31"/>
  <c r="G59" i="31" s="1"/>
  <c r="E52" i="31"/>
  <c r="G52" i="31" s="1"/>
  <c r="E55" i="31"/>
  <c r="G55" i="31" s="1"/>
  <c r="E60" i="31"/>
  <c r="G60" i="31" s="1"/>
  <c r="E51" i="31"/>
  <c r="G51" i="31" s="1"/>
  <c r="E50" i="31"/>
  <c r="G50" i="31" s="1"/>
  <c r="E57" i="31"/>
  <c r="G57" i="31" s="1"/>
  <c r="E143" i="31"/>
  <c r="G143" i="31" s="1"/>
  <c r="E134" i="31"/>
  <c r="G134" i="31" s="1"/>
  <c r="E144" i="31"/>
  <c r="G144" i="31" s="1"/>
  <c r="E136" i="31"/>
  <c r="G136" i="31" s="1"/>
  <c r="E140" i="31"/>
  <c r="G140" i="31" s="1"/>
  <c r="E142" i="31"/>
  <c r="G142" i="31" s="1"/>
  <c r="E141" i="31"/>
  <c r="G141" i="31" s="1"/>
  <c r="E137" i="31"/>
  <c r="G137" i="31" s="1"/>
  <c r="E135" i="31"/>
  <c r="G135" i="31" s="1"/>
  <c r="E139" i="31"/>
  <c r="G139" i="31" s="1"/>
  <c r="E117" i="31"/>
  <c r="G117" i="31" s="1"/>
  <c r="E110" i="31"/>
  <c r="G110" i="31" s="1"/>
  <c r="E116" i="31"/>
  <c r="G116" i="31" s="1"/>
  <c r="E118" i="31"/>
  <c r="G118" i="31" s="1"/>
  <c r="E115" i="31"/>
  <c r="G115" i="31" s="1"/>
  <c r="E113" i="31"/>
  <c r="G113" i="31" s="1"/>
  <c r="E112" i="31"/>
  <c r="G112" i="31" s="1"/>
  <c r="E120" i="31"/>
  <c r="G120" i="31" s="1"/>
  <c r="E119" i="31"/>
  <c r="G119" i="31" s="1"/>
  <c r="E111" i="31"/>
  <c r="G111" i="31" s="1"/>
  <c r="E105" i="31"/>
  <c r="G105" i="31" s="1"/>
  <c r="E104" i="31"/>
  <c r="G104" i="31" s="1"/>
  <c r="E106" i="31"/>
  <c r="G106" i="31" s="1"/>
  <c r="E101" i="31"/>
  <c r="G101" i="31" s="1"/>
  <c r="E100" i="31"/>
  <c r="G100" i="31" s="1"/>
  <c r="E99" i="31"/>
  <c r="G99" i="31" s="1"/>
  <c r="E98" i="31"/>
  <c r="G98" i="31" s="1"/>
  <c r="E103" i="31"/>
  <c r="G103" i="31" s="1"/>
  <c r="E108" i="31"/>
  <c r="G108" i="31" s="1"/>
  <c r="E107" i="31"/>
  <c r="G107" i="31" s="1"/>
  <c r="E22" i="31"/>
  <c r="G22" i="31" s="1"/>
  <c r="E14" i="31"/>
  <c r="G14" i="31" s="1"/>
  <c r="E21" i="31"/>
  <c r="G21" i="31" s="1"/>
  <c r="E20" i="31"/>
  <c r="G20" i="31" s="1"/>
  <c r="E19" i="31"/>
  <c r="G19" i="31" s="1"/>
  <c r="E17" i="31"/>
  <c r="G17" i="31" s="1"/>
  <c r="E16" i="31"/>
  <c r="G16" i="31" s="1"/>
  <c r="E24" i="31"/>
  <c r="G24" i="31" s="1"/>
  <c r="E23" i="31"/>
  <c r="G23" i="31" s="1"/>
  <c r="E15" i="31"/>
  <c r="G15" i="31" s="1"/>
  <c r="E41" i="31"/>
  <c r="G41" i="31" s="1"/>
  <c r="E45" i="31"/>
  <c r="G45" i="31" s="1"/>
  <c r="E46" i="31"/>
  <c r="G46" i="31" s="1"/>
  <c r="E39" i="31"/>
  <c r="G39" i="31" s="1"/>
  <c r="E48" i="31"/>
  <c r="G48" i="31" s="1"/>
  <c r="E43" i="31"/>
  <c r="G43" i="31" s="1"/>
  <c r="E38" i="31"/>
  <c r="G38" i="31" s="1"/>
  <c r="E44" i="31"/>
  <c r="G44" i="31" s="1"/>
  <c r="E47" i="31"/>
  <c r="G47" i="31" s="1"/>
  <c r="E40" i="31"/>
  <c r="G40" i="31" s="1"/>
  <c r="E65" i="31"/>
  <c r="G65" i="31" s="1"/>
  <c r="E63" i="31"/>
  <c r="G63" i="31" s="1"/>
  <c r="E67" i="31"/>
  <c r="G67" i="31" s="1"/>
  <c r="E69" i="31"/>
  <c r="G69" i="31" s="1"/>
  <c r="E70" i="31"/>
  <c r="G70" i="31" s="1"/>
  <c r="E72" i="31"/>
  <c r="G72" i="31" s="1"/>
  <c r="E62" i="31"/>
  <c r="G62" i="31" s="1"/>
  <c r="E68" i="31"/>
  <c r="G68" i="31" s="1"/>
  <c r="E64" i="31"/>
  <c r="G64" i="31" s="1"/>
  <c r="E71" i="31"/>
  <c r="G71" i="31" s="1"/>
  <c r="E188" i="31"/>
  <c r="G188" i="31" s="1"/>
  <c r="E187" i="31"/>
  <c r="G187" i="31" s="1"/>
  <c r="E192" i="31"/>
  <c r="G192" i="31" s="1"/>
  <c r="E182" i="31"/>
  <c r="G182" i="31" s="1"/>
  <c r="E183" i="31"/>
  <c r="G183" i="31" s="1"/>
  <c r="E189" i="31"/>
  <c r="G189" i="31" s="1"/>
  <c r="E185" i="31"/>
  <c r="G185" i="31" s="1"/>
  <c r="E184" i="31"/>
  <c r="G184" i="31" s="1"/>
  <c r="E191" i="31"/>
  <c r="G191" i="31" s="1"/>
  <c r="E190" i="31"/>
  <c r="G190" i="31" s="1"/>
  <c r="E239" i="31"/>
  <c r="G239" i="31" s="1"/>
  <c r="E230" i="31"/>
  <c r="G230" i="31" s="1"/>
  <c r="E235" i="31"/>
  <c r="G235" i="31" s="1"/>
  <c r="E233" i="31"/>
  <c r="G233" i="31" s="1"/>
  <c r="E240" i="31"/>
  <c r="G240" i="31" s="1"/>
  <c r="E237" i="31"/>
  <c r="G237" i="31" s="1"/>
  <c r="E236" i="31"/>
  <c r="G236" i="31" s="1"/>
  <c r="E238" i="31"/>
  <c r="G238" i="31" s="1"/>
  <c r="E232" i="31"/>
  <c r="G232" i="31" s="1"/>
  <c r="E231" i="31"/>
  <c r="G231" i="31" s="1"/>
  <c r="E166" i="31"/>
  <c r="G166" i="31" s="1"/>
  <c r="E160" i="31"/>
  <c r="G160" i="31" s="1"/>
  <c r="E168" i="31"/>
  <c r="G168" i="31" s="1"/>
  <c r="E161" i="31"/>
  <c r="G161" i="31" s="1"/>
  <c r="E159" i="31"/>
  <c r="G159" i="31" s="1"/>
  <c r="E158" i="31"/>
  <c r="G158" i="31" s="1"/>
  <c r="E163" i="31"/>
  <c r="G163" i="31" s="1"/>
  <c r="E165" i="31"/>
  <c r="G165" i="31" s="1"/>
  <c r="E167" i="31"/>
  <c r="G167" i="31" s="1"/>
  <c r="E164" i="31"/>
  <c r="G164" i="31" s="1"/>
  <c r="E156" i="31"/>
  <c r="G156" i="31" s="1"/>
  <c r="E154" i="31"/>
  <c r="G154" i="31" s="1"/>
  <c r="E148" i="31"/>
  <c r="G148" i="31" s="1"/>
  <c r="E153" i="31"/>
  <c r="G153" i="31" s="1"/>
  <c r="E151" i="31"/>
  <c r="G151" i="31" s="1"/>
  <c r="E152" i="31"/>
  <c r="G152" i="31" s="1"/>
  <c r="E147" i="31"/>
  <c r="G147" i="31" s="1"/>
  <c r="E149" i="31"/>
  <c r="G149" i="31" s="1"/>
  <c r="E155" i="31"/>
  <c r="G155" i="31" s="1"/>
  <c r="E146" i="31"/>
  <c r="G146" i="31" s="1"/>
  <c r="E129" i="31"/>
  <c r="G129" i="31" s="1"/>
  <c r="E125" i="31"/>
  <c r="G125" i="31" s="1"/>
  <c r="E124" i="31"/>
  <c r="G124" i="31" s="1"/>
  <c r="E128" i="31"/>
  <c r="G128" i="31" s="1"/>
  <c r="E130" i="31"/>
  <c r="G130" i="31" s="1"/>
  <c r="E122" i="31"/>
  <c r="G122" i="31" s="1"/>
  <c r="E127" i="31"/>
  <c r="G127" i="31" s="1"/>
  <c r="E123" i="31"/>
  <c r="G123" i="31" s="1"/>
  <c r="E132" i="31"/>
  <c r="G132" i="31" s="1"/>
  <c r="E131" i="31"/>
  <c r="G131" i="31" s="1"/>
  <c r="E226" i="31"/>
  <c r="G226" i="31" s="1"/>
  <c r="E221" i="31"/>
  <c r="G221" i="31" s="1"/>
  <c r="E220" i="31"/>
  <c r="G220" i="31" s="1"/>
  <c r="E224" i="31"/>
  <c r="G224" i="31" s="1"/>
  <c r="E218" i="31"/>
  <c r="G218" i="31" s="1"/>
  <c r="E219" i="31"/>
  <c r="G219" i="31" s="1"/>
  <c r="E225" i="31"/>
  <c r="G225" i="31" s="1"/>
  <c r="E227" i="31"/>
  <c r="G227" i="31" s="1"/>
  <c r="E223" i="31"/>
  <c r="G223" i="31" s="1"/>
  <c r="E228" i="31"/>
  <c r="G228" i="31" s="1"/>
  <c r="E82" i="31"/>
  <c r="G82" i="31" s="1"/>
  <c r="E76" i="31"/>
  <c r="G76" i="31" s="1"/>
  <c r="E75" i="31"/>
  <c r="G75" i="31" s="1"/>
  <c r="E81" i="31"/>
  <c r="G81" i="31" s="1"/>
  <c r="E74" i="31"/>
  <c r="G74" i="31" s="1"/>
  <c r="E80" i="31"/>
  <c r="G80" i="31" s="1"/>
  <c r="E77" i="31"/>
  <c r="G77" i="31" s="1"/>
  <c r="E84" i="31"/>
  <c r="G84" i="31" s="1"/>
  <c r="E79" i="31"/>
  <c r="G79" i="31" s="1"/>
  <c r="E83" i="31"/>
  <c r="G83" i="31" s="1"/>
  <c r="E95" i="31"/>
  <c r="G95" i="31" s="1"/>
  <c r="E96" i="31"/>
  <c r="G96" i="31" s="1"/>
  <c r="E87" i="31"/>
  <c r="G87" i="31" s="1"/>
  <c r="E88" i="31"/>
  <c r="G88" i="31" s="1"/>
  <c r="E94" i="31"/>
  <c r="G94" i="31" s="1"/>
  <c r="E92" i="31"/>
  <c r="G92" i="31" s="1"/>
  <c r="E93" i="31"/>
  <c r="G93" i="31" s="1"/>
  <c r="E89" i="31"/>
  <c r="G89" i="31" s="1"/>
  <c r="E86" i="31"/>
  <c r="G86" i="31" s="1"/>
  <c r="E91" i="31"/>
  <c r="G91" i="31" s="1"/>
  <c r="D10" i="31"/>
  <c r="D7" i="31"/>
  <c r="D8" i="31"/>
  <c r="G7" i="31" l="1"/>
  <c r="G60" i="25" s="1"/>
  <c r="C59" i="25"/>
  <c r="C49" i="25"/>
  <c r="G10" i="31"/>
  <c r="G50" i="25" s="1"/>
  <c r="I80" i="25" s="1"/>
  <c r="G8" i="31"/>
  <c r="G55" i="25" s="1"/>
  <c r="C54" i="25"/>
  <c r="E121" i="31"/>
  <c r="N25" i="31"/>
  <c r="E150" i="31"/>
  <c r="G150" i="31" s="1"/>
  <c r="U27" i="31"/>
  <c r="E181" i="31"/>
  <c r="N30" i="31"/>
  <c r="E102" i="31"/>
  <c r="G102" i="31" s="1"/>
  <c r="U23" i="31"/>
  <c r="E205" i="31"/>
  <c r="N32" i="31"/>
  <c r="E246" i="31"/>
  <c r="G246" i="31" s="1"/>
  <c r="U35" i="31"/>
  <c r="E217" i="31"/>
  <c r="N33" i="31"/>
  <c r="E229" i="31"/>
  <c r="N34" i="31"/>
  <c r="E97" i="31"/>
  <c r="N23" i="31"/>
  <c r="E54" i="31"/>
  <c r="G54" i="31" s="1"/>
  <c r="U19" i="31"/>
  <c r="N36" i="31"/>
  <c r="E198" i="31"/>
  <c r="G198" i="31" s="1"/>
  <c r="U31" i="31"/>
  <c r="E234" i="31"/>
  <c r="G234" i="31" s="1"/>
  <c r="U34" i="31"/>
  <c r="E61" i="31"/>
  <c r="N20" i="31"/>
  <c r="E162" i="31"/>
  <c r="G162" i="31" s="1"/>
  <c r="U28" i="31"/>
  <c r="E169" i="31"/>
  <c r="N29" i="31"/>
  <c r="E78" i="31"/>
  <c r="G78" i="31" s="1"/>
  <c r="U21" i="31"/>
  <c r="E241" i="31"/>
  <c r="N35" i="31"/>
  <c r="E157" i="31"/>
  <c r="N28" i="31"/>
  <c r="E42" i="31"/>
  <c r="G42" i="31" s="1"/>
  <c r="U18" i="31"/>
  <c r="E133" i="31"/>
  <c r="N26" i="31"/>
  <c r="E109" i="31"/>
  <c r="N24" i="31"/>
  <c r="E90" i="31"/>
  <c r="G90" i="31" s="1"/>
  <c r="U22" i="31"/>
  <c r="E73" i="31"/>
  <c r="N21" i="31"/>
  <c r="E37" i="31"/>
  <c r="N18" i="31"/>
  <c r="E174" i="31"/>
  <c r="G174" i="31" s="1"/>
  <c r="U29" i="31"/>
  <c r="E85" i="31"/>
  <c r="N22" i="31"/>
  <c r="E66" i="31"/>
  <c r="G66" i="31" s="1"/>
  <c r="U20" i="31"/>
  <c r="E138" i="31"/>
  <c r="G138" i="31" s="1"/>
  <c r="U26" i="31"/>
  <c r="U37" i="31"/>
  <c r="E222" i="31"/>
  <c r="G222" i="31" s="1"/>
  <c r="U33" i="31"/>
  <c r="N37" i="31"/>
  <c r="E30" i="31"/>
  <c r="G30" i="31" s="1"/>
  <c r="U17" i="31"/>
  <c r="E13" i="31"/>
  <c r="N16" i="31"/>
  <c r="E18" i="31"/>
  <c r="G18" i="31" s="1"/>
  <c r="U16" i="31"/>
  <c r="E126" i="31"/>
  <c r="G126" i="31" s="1"/>
  <c r="U25" i="31"/>
  <c r="E193" i="31"/>
  <c r="N31" i="31"/>
  <c r="E186" i="31"/>
  <c r="G186" i="31" s="1"/>
  <c r="U30" i="31"/>
  <c r="E210" i="31"/>
  <c r="G210" i="31" s="1"/>
  <c r="U32" i="31"/>
  <c r="E49" i="31"/>
  <c r="N19" i="31"/>
  <c r="E145" i="31"/>
  <c r="N27" i="31"/>
  <c r="E114" i="31"/>
  <c r="G114" i="31" s="1"/>
  <c r="U24" i="31"/>
  <c r="U36" i="31"/>
  <c r="E25" i="31"/>
  <c r="N17" i="31"/>
  <c r="G31" i="25"/>
  <c r="G14" i="25"/>
  <c r="G24" i="25"/>
  <c r="G20" i="25"/>
  <c r="E7" i="31"/>
  <c r="G33" i="25"/>
  <c r="G29" i="25"/>
  <c r="G25" i="25"/>
  <c r="G30" i="25"/>
  <c r="G15" i="25"/>
  <c r="G17" i="25"/>
  <c r="G23" i="25"/>
  <c r="G13" i="25"/>
  <c r="G26" i="25"/>
  <c r="G16" i="25"/>
  <c r="E8" i="31"/>
  <c r="G18" i="25"/>
  <c r="G32" i="25"/>
  <c r="G22" i="25"/>
  <c r="E10" i="31"/>
  <c r="G21" i="25"/>
  <c r="G28" i="25"/>
  <c r="G27" i="25"/>
  <c r="G19" i="25"/>
  <c r="I79" i="25" l="1"/>
  <c r="P26" i="31"/>
  <c r="R26" i="31"/>
  <c r="R32" i="31"/>
  <c r="P32" i="31"/>
  <c r="R31" i="31"/>
  <c r="P31" i="31"/>
  <c r="G193" i="31"/>
  <c r="G133" i="31"/>
  <c r="G205" i="31"/>
  <c r="P17" i="31"/>
  <c r="R17" i="31"/>
  <c r="G25" i="31"/>
  <c r="R22" i="31"/>
  <c r="P22" i="31"/>
  <c r="R36" i="31"/>
  <c r="P36" i="31"/>
  <c r="R30" i="31"/>
  <c r="P30" i="31"/>
  <c r="P28" i="31"/>
  <c r="R28" i="31"/>
  <c r="G85" i="31"/>
  <c r="G157" i="31"/>
  <c r="G181" i="31"/>
  <c r="R16" i="31"/>
  <c r="P16" i="31"/>
  <c r="R35" i="31"/>
  <c r="P35" i="31"/>
  <c r="G13" i="31"/>
  <c r="G241" i="31"/>
  <c r="R23" i="31"/>
  <c r="P23" i="31"/>
  <c r="P25" i="31"/>
  <c r="R25" i="31"/>
  <c r="R27" i="31"/>
  <c r="P27" i="31"/>
  <c r="R18" i="31"/>
  <c r="P18" i="31"/>
  <c r="G145" i="31"/>
  <c r="G37" i="31"/>
  <c r="G97" i="31"/>
  <c r="G121" i="31"/>
  <c r="P19" i="31"/>
  <c r="R19" i="31"/>
  <c r="R37" i="31"/>
  <c r="P37" i="31"/>
  <c r="R21" i="31"/>
  <c r="P21" i="31"/>
  <c r="R29" i="31"/>
  <c r="P29" i="31"/>
  <c r="R34" i="31"/>
  <c r="P34" i="31"/>
  <c r="G49" i="31"/>
  <c r="G73" i="31"/>
  <c r="G169" i="31"/>
  <c r="G229" i="31"/>
  <c r="P33" i="31"/>
  <c r="R33" i="31"/>
  <c r="G217" i="31"/>
  <c r="R24" i="31"/>
  <c r="P24" i="31"/>
  <c r="R20" i="31"/>
  <c r="P20" i="31"/>
  <c r="G109" i="31"/>
  <c r="G61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Alpay, Ebru (PacifiCorp)</author>
  </authors>
  <commentList>
    <comment ref="E126" authorId="0" shapeId="0" xr:uid="{2E669724-10E1-447F-80A2-C6E71D02F7BA}">
      <text>
        <r>
          <rPr>
            <b/>
            <sz val="9"/>
            <color indexed="81"/>
            <rFont val="Tahoma"/>
            <family val="2"/>
          </rPr>
          <t>Corrected Build Cost Escalation Factors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<sst xmlns="http://schemas.openxmlformats.org/spreadsheetml/2006/main" count="3633" uniqueCount="340">
  <si>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</si>
  <si>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</si>
  <si>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</si>
  <si>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</si>
  <si>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</si>
  <si>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</si>
  <si>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</si>
  <si>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</si>
  <si>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</si>
  <si>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</si>
  <si>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</si>
  <si>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</si>
  <si>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</si>
  <si>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</si>
  <si>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</si>
  <si>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</si>
  <si>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</si>
  <si>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</si>
  <si>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</si>
  <si>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</si>
  <si>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</si>
  <si>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</si>
  <si>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</si>
  <si>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</si>
  <si>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</si>
  <si>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</si>
  <si>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</si>
  <si>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</si>
  <si>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</si>
  <si>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</si>
  <si>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</si>
  <si>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</si>
  <si>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</si>
  <si>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</si>
  <si>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</si>
  <si>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</si>
  <si>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</si>
  <si>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</si>
  <si>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</si>
  <si>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</si>
  <si>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</si>
  <si>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</si>
  <si>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</si>
  <si>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</si>
  <si>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</si>
  <si>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</si>
  <si>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</si>
  <si>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</si>
  <si>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</si>
  <si>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</si>
  <si>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</si>
  <si>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</si>
  <si>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</si>
  <si>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</si>
  <si>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</si>
  <si>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</si>
  <si>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</si>
  <si>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</si>
  <si>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</si>
  <si>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</si>
  <si>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</si>
  <si>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</si>
  <si>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</si>
  <si>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Cost and Input Assumptions</t>
  </si>
  <si>
    <t xml:space="preserve">  Fixed O&amp;M, plus on-going capital cost</t>
  </si>
  <si>
    <t xml:space="preserve">  Variable O&amp;M</t>
  </si>
  <si>
    <t xml:space="preserve">  Tax Credit $/MWh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</si>
  <si>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</si>
  <si>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</si>
  <si>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</si>
  <si>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</si>
  <si>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</si>
  <si>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</si>
  <si>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</si>
  <si>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</si>
  <si>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</si>
  <si>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</si>
  <si>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</si>
  <si>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</si>
  <si>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</si>
  <si>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</si>
  <si>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</si>
  <si>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</si>
  <si>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</si>
  <si>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</si>
  <si>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</si>
  <si>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</si>
  <si>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</si>
  <si>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Wheeling ($ MWh)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</si>
  <si>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</si>
  <si>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</si>
  <si>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</si>
  <si>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</si>
  <si>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</si>
  <si>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</si>
  <si>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</si>
  <si>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</si>
  <si>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</si>
  <si>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</si>
  <si>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</si>
  <si>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</si>
  <si>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</si>
  <si>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</si>
  <si>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</si>
  <si>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</si>
  <si>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</si>
  <si>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</si>
  <si>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</si>
  <si>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</si>
  <si>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</si>
  <si>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</si>
  <si>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</si>
  <si>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</si>
  <si>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</si>
  <si>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</si>
  <si>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</si>
  <si>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</si>
  <si>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</si>
  <si>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</si>
  <si>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</si>
  <si>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</si>
  <si>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</si>
  <si>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</si>
  <si>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</si>
  <si>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</si>
  <si>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</si>
  <si>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</si>
  <si>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</si>
  <si>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</si>
  <si>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</si>
  <si>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</si>
  <si>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</si>
  <si>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</si>
  <si>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</si>
  <si>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</si>
  <si>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15 Year Starting 2026</t>
  </si>
  <si>
    <t>15 Year Starting 2027</t>
  </si>
  <si>
    <t>PTC Variables</t>
  </si>
  <si>
    <t>FO&amp;M Charge</t>
  </si>
  <si>
    <t>INC Walla Walla - WA &gt; Yakima 2030</t>
  </si>
  <si>
    <t xml:space="preserve"> Interconnect (MW)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</si>
  <si>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</si>
  <si>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</si>
  <si>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</si>
  <si>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</si>
  <si>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</si>
  <si>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</si>
  <si>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</si>
  <si>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</si>
  <si>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</si>
  <si>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</si>
  <si>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</si>
  <si>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</si>
  <si>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</si>
  <si>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</si>
  <si>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</si>
  <si>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</si>
  <si>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</si>
  <si>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</si>
  <si>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</si>
  <si>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</si>
  <si>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</si>
  <si>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</si>
  <si>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</si>
  <si>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</si>
  <si>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</si>
  <si>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</si>
  <si>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</si>
  <si>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</si>
  <si>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</si>
  <si>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</si>
  <si>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</si>
  <si>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</si>
  <si>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</si>
  <si>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</si>
  <si>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</si>
  <si>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</si>
  <si>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</si>
  <si>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</si>
  <si>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</si>
  <si>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</si>
  <si>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Granularity_Adj</t>
  </si>
  <si>
    <t>+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</si>
  <si>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</si>
  <si>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</si>
  <si>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</si>
  <si>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</si>
  <si>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</si>
  <si>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</si>
  <si>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</si>
  <si>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H:\2025 IRP\03. Assumptions\12. New Resources (SSR)\RESD SSR Database 2025 v6 20240923 Modifiers Expanded.xlsx - Cost Forecasts Tab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</si>
  <si>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</si>
  <si>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</si>
  <si>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</si>
  <si>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</si>
  <si>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</si>
  <si>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</si>
  <si>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NUC.PX.NTN._.NTC.Adv_Reactor</t>
  </si>
  <si>
    <t>VO&amp;M Charge</t>
  </si>
  <si>
    <t>New Nuclear</t>
  </si>
  <si>
    <t>NUC.PX.NTN._.PTC.Adv_Reactor</t>
  </si>
  <si>
    <t>PV_.PX.COR._.NTC.Utility_Scale</t>
  </si>
  <si>
    <t>PV_.PX.SUM._.NTC.Utility_Scale</t>
  </si>
  <si>
    <t>PV_.PX.WMV._.NTC.Utility_Scale</t>
  </si>
  <si>
    <t>PV_.PX.WWA._.NTC.Utility_Scale</t>
  </si>
  <si>
    <t>PV_.PX.WWA._.PTC.Utility_Scale</t>
  </si>
  <si>
    <t>PV_.PX.YAK._.NTC.Utility_Scale</t>
  </si>
  <si>
    <t>WD_.PX.DJW._.NTC.Utility_Scale</t>
  </si>
  <si>
    <t>WD_.PX.WMV._.NTC.Utility_Scale</t>
  </si>
  <si>
    <t>WD_.PX.WYC._.NTC.Small_Scale</t>
  </si>
  <si>
    <t>WD_.PX.WYE._.NTC.Small_Scale</t>
  </si>
  <si>
    <t>WD_.PX.WYE._.NTC.Utility_Scale</t>
  </si>
  <si>
    <t>BAT.PX.NTN._.___.ADV Nuclear Naughton</t>
  </si>
  <si>
    <t>New Nuclear Storage</t>
  </si>
  <si>
    <t>MW Built</t>
  </si>
  <si>
    <t>CON Willamette Valley Gen &gt; Willamette Valley 2027</t>
  </si>
  <si>
    <t>Lines</t>
  </si>
  <si>
    <t>https://brkenergy.sharepoint.com/:x:/r/sites/2025IRP/Shared%20Documents/03.%20Assumptions/Transmission/PLEXOS%20Transmission%20Expansion%20Options%20Inputs.xlsx?d=wfc26fdb1d5124ac9b72c021a277ee418&amp;csf=1&amp;web=1&amp;e=c5zIcw</t>
  </si>
  <si>
    <t>Lines - Interconnect (CON)</t>
  </si>
  <si>
    <t>CON Central OR Gen &gt; Central OR 2026</t>
  </si>
  <si>
    <t>CON Central OR Gen &gt; Central OR 2033 2C18 ERIS</t>
  </si>
  <si>
    <t>CON Portland North Coast Gen &gt; Portland North Coast 2027</t>
  </si>
  <si>
    <t>CON Portland North Coast Gen &gt; Portland North Coast 2037 Dixonville</t>
  </si>
  <si>
    <t>CON Southern OR Gen &gt; Southern OR 2031 1C12</t>
  </si>
  <si>
    <t>CON Southern OR Gen &gt; Southern OR 2031 1CA13</t>
  </si>
  <si>
    <t>CON Southern OR Gen &gt; Southern OR 2033 2C20</t>
  </si>
  <si>
    <t>CON Southern OR Gen &gt; Southern OR 2033 OSW</t>
  </si>
  <si>
    <t>CON Walla Walla Gen &gt; Walla Walla - WA 2028</t>
  </si>
  <si>
    <t>CON Willamette Valley Gen &gt; Willamette Valley 2028</t>
  </si>
  <si>
    <t>CON Willamette Valley Gen &gt; Willamette Valley 2037 Dixonville</t>
  </si>
  <si>
    <t>CON Yakima Gen &gt; Yakima 2027</t>
  </si>
  <si>
    <t>CON Yakima Gen &gt; Yakima 2037 Lebanon</t>
  </si>
  <si>
    <t>Lines - Incremental (INC)</t>
  </si>
  <si>
    <t>INC B2H2 Hemingway&gt;Longhorn - 2033</t>
  </si>
  <si>
    <t>INC BorahPop &gt; Hemingway 2037 Segment E</t>
  </si>
  <si>
    <t>INC Bridger &gt; BorahPop 2032</t>
  </si>
  <si>
    <t>INC Bridger &gt; BorahPop 2035 D3.2</t>
  </si>
  <si>
    <t>INC Bridger &gt; Wyoming East 2032 D2.2</t>
  </si>
  <si>
    <t>INC Central OR &gt; Willamette Valley 2037</t>
  </si>
  <si>
    <t>INC Goshen &gt; NUT 2035 1b</t>
  </si>
  <si>
    <t>INC Goshen &gt; NUT 2035 1c</t>
  </si>
  <si>
    <t>INC NUT &gt; Goshen 2029</t>
  </si>
  <si>
    <t>INC NUT &gt; Wasatch Front 2029</t>
  </si>
  <si>
    <t>INC NUT &gt; Wasatch Front 2030 2C7</t>
  </si>
  <si>
    <t>INC NUT &gt; Wasatch Front 2030 2C7 3C6</t>
  </si>
  <si>
    <t>INC Portland North Coast &gt; Willamette Valley 2032</t>
  </si>
  <si>
    <t>INC Portland North Coast &gt; Willamette Valley 2037</t>
  </si>
  <si>
    <t>INC Portland North Coast &gt; Yakima 2029</t>
  </si>
  <si>
    <t>INC Southern OR &gt; Central OR 2032 Snow Goose</t>
  </si>
  <si>
    <t>INC Summer Lake &gt; Central OR 2030</t>
  </si>
  <si>
    <t>INC Summer Lake &gt; Hemingway 2028</t>
  </si>
  <si>
    <t>INC Utah South &gt; Wasatch Front 2026</t>
  </si>
  <si>
    <t>INC Utah South &gt; Wasatch Front 2028</t>
  </si>
  <si>
    <t>INC Utah South &gt; Wasatch Front 2028B</t>
  </si>
  <si>
    <t>INC Utah South &gt; Wasatch Front 2029</t>
  </si>
  <si>
    <t>INC Utah South &gt; Wasatch Front 2035</t>
  </si>
  <si>
    <t>INC Walla Walla - WA &gt; Central OR 2034 Maverick</t>
  </si>
  <si>
    <t>INC Willamette Valley &gt; Central OR 2032</t>
  </si>
  <si>
    <t>INC Willamette Valley &gt; Southern OR 2036</t>
  </si>
  <si>
    <t>INC Wyoming East &gt; BorahPop 2035 D3.3</t>
  </si>
  <si>
    <t>INC Wyoming East &gt; Bridger 2032</t>
  </si>
  <si>
    <t>INC Wyoming East &gt; Clover 2035 GWS2</t>
  </si>
  <si>
    <t>INC Yakima &gt; Central OR 2032</t>
  </si>
  <si>
    <t>Discount Rate - 2025 IRP</t>
  </si>
  <si>
    <t>Inflation rate</t>
  </si>
  <si>
    <t>From</t>
  </si>
  <si>
    <t>To</t>
  </si>
  <si>
    <t>Build Investment $/kW</t>
  </si>
  <si>
    <t>($ 000)</t>
  </si>
  <si>
    <t xml:space="preserve">WMV Cumulative Gen Built </t>
  </si>
  <si>
    <t>2025 IRP Transmission Costs</t>
  </si>
  <si>
    <t>Real Levelized Build Investment ($ 000)</t>
  </si>
  <si>
    <t>Real Levelized Build Investment $ 000</t>
  </si>
  <si>
    <t>WMV Gen Built</t>
  </si>
  <si>
    <t>PV_.PX.WMV._.PTC.Utility_Scale2032</t>
  </si>
  <si>
    <t>PV_.PX.WMV._.PTC.Utility_Scale2036</t>
  </si>
  <si>
    <t>lookup</t>
  </si>
  <si>
    <t>WD_.PX.DJW._.PTC.Utility_Scale2028</t>
  </si>
  <si>
    <t>WD_.PX.DJW._.PTC.Utility_Scale2029</t>
  </si>
  <si>
    <t>WD_.PX.WMV._.PTC.Utility_Scale2032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</si>
  <si>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</si>
  <si>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</si>
  <si>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</si>
  <si>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</si>
  <si>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Nominal 15 year Levelized</t>
  </si>
  <si>
    <t>Nominal 30 year Levelized</t>
  </si>
  <si>
    <t>15 uear nominal levelized</t>
  </si>
  <si>
    <t>GSC.PX.BDG._.___.Frame</t>
  </si>
  <si>
    <t>New Gas</t>
  </si>
  <si>
    <t>H:\2023 IRP\3 - Assumptions\12 - New Resources (SSR)\[23 IRP Nat Gas_2023 02 10.xlsx]</t>
  </si>
  <si>
    <t>CC at COD</t>
  </si>
  <si>
    <t>15 Year Starting 2028</t>
  </si>
  <si>
    <t>llokup</t>
  </si>
  <si>
    <t>mapping to CC_LOLP</t>
  </si>
  <si>
    <t>PV_.PX.YAK._.PTC.Utility_Scale2032</t>
  </si>
  <si>
    <t>Cluster 2/3 - Willamette Valley - Fry-Full Circle 230 kV</t>
  </si>
  <si>
    <t>Utah Allocated</t>
  </si>
  <si>
    <t>laST Plexos Model Year</t>
  </si>
  <si>
    <t>Resource type</t>
  </si>
  <si>
    <t>Degradation for Adj beyond 2046</t>
  </si>
  <si>
    <t>Avoided Cost Resource</t>
  </si>
  <si>
    <t>THM_QF_UTN_QF_Sch38_UT</t>
  </si>
  <si>
    <t xml:space="preserve"> Export (MW)</t>
  </si>
  <si>
    <t xml:space="preserve"> Import (MW)</t>
  </si>
  <si>
    <t>Build Investment ($m)</t>
  </si>
  <si>
    <t xml:space="preserve"> Build (%)</t>
  </si>
  <si>
    <t>Rebuild existing Cameron - Sigurd 138 kV</t>
  </si>
  <si>
    <t>Utah South</t>
  </si>
  <si>
    <t>Wasatch Front</t>
  </si>
  <si>
    <t>Cluster 1 Area 11 - Willamette Valley</t>
  </si>
  <si>
    <t>n/a</t>
  </si>
  <si>
    <t>Serial queue - Central Oregon</t>
  </si>
  <si>
    <t>B2H</t>
  </si>
  <si>
    <t>Hemingway</t>
  </si>
  <si>
    <t xml:space="preserve">Longhorn </t>
  </si>
  <si>
    <t>B2H - Idaho Power Asset Transfer</t>
  </si>
  <si>
    <t>Borah</t>
  </si>
  <si>
    <t>B2H - IPC PTP Eastbound</t>
  </si>
  <si>
    <t>Walla Walla</t>
  </si>
  <si>
    <t>B2H - Longhorn Load</t>
  </si>
  <si>
    <t>Longhorn</t>
  </si>
  <si>
    <t xml:space="preserve">McNary </t>
  </si>
  <si>
    <t>Cluster 2 Area 23 - Willamette Valley</t>
  </si>
  <si>
    <t>Cluster 1/2/3 - Walla Walla</t>
  </si>
  <si>
    <t>Walla Walla - Wine Country 230 kV</t>
  </si>
  <si>
    <t>Cluster 1 Area 14 - Summer Lake</t>
  </si>
  <si>
    <t>Summer Lake</t>
  </si>
  <si>
    <t>Willamette Valley</t>
  </si>
  <si>
    <t>Central OR</t>
  </si>
  <si>
    <t>Gateway South 2: Aeolus Clover #2 500 kV</t>
  </si>
  <si>
    <t>Wyoming East</t>
  </si>
  <si>
    <t>Clover</t>
  </si>
  <si>
    <t>Huntington – Clover 345 kV</t>
  </si>
  <si>
    <t>S. Lebanon-Dixonville 500 kV, Dbl-Ckt Fry-S.Lebanon 230 kV</t>
  </si>
  <si>
    <t>Southern OR</t>
  </si>
  <si>
    <t>Spanish Fork - Mercer 345 kV</t>
  </si>
  <si>
    <t>West Cedar - Three Peaks 138 kV</t>
  </si>
  <si>
    <t>Serial through Cluster 1 Area 13 - Southern Oregon</t>
  </si>
  <si>
    <t>Grand Total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</si>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</sst>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#,##0\ ;\(#,##0\)"/>
    <numFmt numFmtId="179" formatCode="&quot;$&quot;#,##0.00_)"/>
    <numFmt numFmtId="180" formatCode="#,##0.0000_);\(#,##0.0000\)"/>
    <numFmt numFmtId="181" formatCode="m/d/yyyy\ h:mm:ss"/>
    <numFmt numFmtId="182" formatCode="_(* #,##0.0000_);[Red]_(* \(#,##0.0000\);_(* &quot;-&quot;_);_(@_)"/>
    <numFmt numFmtId="183" formatCode="_(* #,##0.00000_);[Red]_(* \(#,##0.00000\);_(* &quot;-&quot;_);_(@_)"/>
    <numFmt numFmtId="184" formatCode="_(* #,##0.000_);[Red]_(* \(#,##0.000\);_(* &quot;-&quot;_);_(@_)"/>
    <numFmt numFmtId="185" formatCode="0.0000%"/>
  </numFmts>
  <fonts count="44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b/>
      <sz val="9"/>
      <name val="CS Times"/>
    </font>
    <font>
      <sz val="9"/>
      <color indexed="12"/>
      <name val="CS Times"/>
    </font>
    <font>
      <sz val="9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u/>
      <sz val="10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3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46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167" fontId="7" fillId="0" borderId="0" xfId="8" applyNumberFormat="1" applyFont="1" applyFill="1" applyAlignment="1">
      <alignment horizontal="center"/>
    </xf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6" fontId="7" fillId="0" borderId="0" xfId="24" applyNumberFormat="1" applyAlignment="1">
      <alignment horizontal="right"/>
    </xf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171" fontId="6" fillId="0" borderId="17" xfId="24" applyFont="1" applyBorder="1" applyAlignment="1">
      <alignment horizontal="centerContinuous"/>
    </xf>
    <xf numFmtId="171" fontId="7" fillId="0" borderId="17" xfId="24" applyBorder="1"/>
    <xf numFmtId="171" fontId="7" fillId="0" borderId="18" xfId="24" applyBorder="1"/>
    <xf numFmtId="171" fontId="6" fillId="0" borderId="16" xfId="24" applyFont="1" applyBorder="1" applyAlignment="1">
      <alignment horizontal="center"/>
    </xf>
    <xf numFmtId="171" fontId="6" fillId="0" borderId="17" xfId="5" applyFont="1" applyBorder="1" applyAlignment="1">
      <alignment horizontal="centerContinuous"/>
    </xf>
    <xf numFmtId="171" fontId="7" fillId="0" borderId="17" xfId="24" applyBorder="1" applyAlignment="1">
      <alignment horizontal="centerContinuous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6" fillId="0" borderId="0" xfId="24" applyNumberFormat="1" applyFont="1"/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1" fillId="0" borderId="0" xfId="0" applyNumberFormat="1" applyFont="1" applyProtection="1">
      <protection locked="0"/>
    </xf>
    <xf numFmtId="43" fontId="7" fillId="0" borderId="0" xfId="2" applyNumberFormat="1" applyFont="1" applyFill="1"/>
    <xf numFmtId="171" fontId="7" fillId="0" borderId="0" xfId="6" applyNumberFormat="1" applyFont="1" applyAlignment="1" applyProtection="1">
      <alignment horizontal="center"/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1" fontId="5" fillId="0" borderId="0" xfId="10" applyNumberFormat="1"/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9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43" fontId="7" fillId="0" borderId="0" xfId="24" applyNumberFormat="1"/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80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4" fillId="0" borderId="0" xfId="0" applyFont="1" applyAlignment="1">
      <alignment horizontal="centerContinuous"/>
    </xf>
    <xf numFmtId="171" fontId="35" fillId="0" borderId="0" xfId="0" applyFont="1" applyAlignment="1">
      <alignment horizontal="centerContinuous"/>
    </xf>
    <xf numFmtId="171" fontId="34" fillId="0" borderId="0" xfId="0" applyFont="1"/>
    <xf numFmtId="171" fontId="35" fillId="0" borderId="0" xfId="0" applyFont="1"/>
    <xf numFmtId="171" fontId="7" fillId="0" borderId="0" xfId="0" quotePrefix="1" applyFont="1" applyAlignment="1">
      <alignment horizontal="center"/>
    </xf>
    <xf numFmtId="8" fontId="36" fillId="0" borderId="0" xfId="0" applyNumberFormat="1" applyFont="1" applyAlignment="1">
      <alignment horizontal="center"/>
    </xf>
    <xf numFmtId="8" fontId="36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0" fontId="6" fillId="0" borderId="0" xfId="24" applyNumberFormat="1" applyFont="1"/>
    <xf numFmtId="171" fontId="6" fillId="0" borderId="0" xfId="0" applyFont="1"/>
    <xf numFmtId="171" fontId="37" fillId="0" borderId="0" xfId="5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3" fillId="0" borderId="0" xfId="24" applyNumberFormat="1" applyFont="1"/>
    <xf numFmtId="6" fontId="7" fillId="0" borderId="0" xfId="2" applyNumberFormat="1" applyFont="1" applyFill="1"/>
    <xf numFmtId="178" fontId="29" fillId="0" borderId="0" xfId="26" applyNumberFormat="1" applyFill="1" applyAlignment="1" applyProtection="1"/>
    <xf numFmtId="178" fontId="32" fillId="0" borderId="0" xfId="0" applyNumberFormat="1" applyFont="1"/>
    <xf numFmtId="178" fontId="30" fillId="0" borderId="0" xfId="0" applyNumberFormat="1" applyFont="1"/>
    <xf numFmtId="174" fontId="7" fillId="0" borderId="0" xfId="24" applyNumberFormat="1"/>
    <xf numFmtId="167" fontId="7" fillId="0" borderId="0" xfId="24" applyNumberFormat="1"/>
    <xf numFmtId="171" fontId="33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2" fontId="0" fillId="0" borderId="0" xfId="0" applyNumberFormat="1"/>
    <xf numFmtId="172" fontId="33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28" fillId="0" borderId="0" xfId="10" applyNumberFormat="1" applyFont="1"/>
    <xf numFmtId="173" fontId="5" fillId="0" borderId="0" xfId="10" applyNumberFormat="1"/>
    <xf numFmtId="171" fontId="17" fillId="0" borderId="0" xfId="10" applyNumberFormat="1" applyFont="1" applyAlignment="1">
      <alignment wrapText="1"/>
    </xf>
    <xf numFmtId="17" fontId="5" fillId="0" borderId="0" xfId="10" applyNumberFormat="1"/>
    <xf numFmtId="171" fontId="17" fillId="0" borderId="0" xfId="10" applyNumberFormat="1" applyFont="1"/>
    <xf numFmtId="169" fontId="5" fillId="0" borderId="0" xfId="2" applyNumberFormat="1" applyFont="1" applyFill="1"/>
    <xf numFmtId="37" fontId="5" fillId="0" borderId="0" xfId="2" applyNumberFormat="1" applyFont="1" applyFill="1"/>
    <xf numFmtId="7" fontId="5" fillId="0" borderId="0" xfId="2" applyNumberFormat="1" applyFont="1" applyFill="1"/>
    <xf numFmtId="10" fontId="5" fillId="0" borderId="0" xfId="8" applyNumberFormat="1" applyFont="1" applyFill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/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41" fontId="5" fillId="0" borderId="8" xfId="10" applyNumberFormat="1" applyBorder="1"/>
    <xf numFmtId="41" fontId="5" fillId="0" borderId="11" xfId="10" applyNumberFormat="1" applyBorder="1"/>
    <xf numFmtId="168" fontId="5" fillId="0" borderId="8" xfId="10" applyNumberFormat="1" applyBorder="1"/>
    <xf numFmtId="171" fontId="5" fillId="0" borderId="5" xfId="10" applyNumberFormat="1" applyBorder="1"/>
    <xf numFmtId="0" fontId="5" fillId="0" borderId="0" xfId="10" applyNumberFormat="1"/>
    <xf numFmtId="17" fontId="5" fillId="0" borderId="13" xfId="10" applyNumberFormat="1" applyBorder="1" applyAlignment="1">
      <alignment horizontal="center"/>
    </xf>
    <xf numFmtId="168" fontId="5" fillId="0" borderId="11" xfId="10" applyNumberFormat="1" applyBorder="1"/>
    <xf numFmtId="171" fontId="5" fillId="0" borderId="13" xfId="10" applyNumberFormat="1" applyBorder="1"/>
    <xf numFmtId="171" fontId="39" fillId="0" borderId="0" xfId="10" applyNumberFormat="1" applyFont="1"/>
    <xf numFmtId="43" fontId="5" fillId="0" borderId="0" xfId="10" applyNumberFormat="1"/>
    <xf numFmtId="172" fontId="5" fillId="0" borderId="0" xfId="10" applyNumberFormat="1"/>
    <xf numFmtId="17" fontId="5" fillId="0" borderId="6" xfId="10" applyNumberFormat="1" applyBorder="1" applyAlignment="1">
      <alignment horizontal="center"/>
    </xf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8" fillId="0" borderId="0" xfId="31" applyFont="1"/>
    <xf numFmtId="0" fontId="35" fillId="0" borderId="0" xfId="31" applyFont="1"/>
    <xf numFmtId="0" fontId="1" fillId="0" borderId="0" xfId="31"/>
    <xf numFmtId="181" fontId="1" fillId="0" borderId="0" xfId="31" applyNumberFormat="1"/>
    <xf numFmtId="181" fontId="35" fillId="0" borderId="0" xfId="31" applyNumberFormat="1" applyFont="1"/>
    <xf numFmtId="2" fontId="35" fillId="0" borderId="0" xfId="31" applyNumberFormat="1" applyFont="1"/>
    <xf numFmtId="43" fontId="35" fillId="0" borderId="0" xfId="32" applyFont="1" applyFill="1"/>
    <xf numFmtId="164" fontId="35" fillId="0" borderId="0" xfId="32" applyNumberFormat="1" applyFont="1" applyFill="1"/>
    <xf numFmtId="8" fontId="35" fillId="0" borderId="0" xfId="31" applyNumberFormat="1" applyFont="1"/>
    <xf numFmtId="181" fontId="38" fillId="0" borderId="0" xfId="31" applyNumberFormat="1" applyFont="1"/>
    <xf numFmtId="0" fontId="9" fillId="0" borderId="0" xfId="31" applyFont="1"/>
    <xf numFmtId="181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3" fontId="7" fillId="0" borderId="0" xfId="24" applyNumberFormat="1"/>
    <xf numFmtId="8" fontId="35" fillId="15" borderId="0" xfId="32" applyNumberFormat="1" applyFont="1" applyFill="1"/>
    <xf numFmtId="181" fontId="35" fillId="0" borderId="0" xfId="0" applyNumberFormat="1" applyFont="1"/>
    <xf numFmtId="8" fontId="35" fillId="0" borderId="0" xfId="0" applyNumberFormat="1" applyFont="1"/>
    <xf numFmtId="10" fontId="0" fillId="0" borderId="0" xfId="0" applyNumberFormat="1"/>
    <xf numFmtId="5" fontId="7" fillId="0" borderId="0" xfId="1" applyNumberFormat="1" applyFont="1"/>
    <xf numFmtId="5" fontId="7" fillId="0" borderId="0" xfId="1" applyNumberFormat="1" applyFont="1" applyAlignment="1">
      <alignment horizontal="right"/>
    </xf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5" fillId="0" borderId="0" xfId="0" applyNumberFormat="1" applyFont="1"/>
    <xf numFmtId="171" fontId="40" fillId="16" borderId="0" xfId="0" applyFont="1" applyFill="1"/>
    <xf numFmtId="171" fontId="40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9" fontId="41" fillId="0" borderId="0" xfId="0" applyNumberFormat="1" applyFont="1"/>
    <xf numFmtId="44" fontId="0" fillId="0" borderId="0" xfId="2" applyFont="1"/>
    <xf numFmtId="171" fontId="6" fillId="0" borderId="0" xfId="24" applyFont="1"/>
    <xf numFmtId="44" fontId="1" fillId="0" borderId="0" xfId="2" applyFont="1"/>
    <xf numFmtId="3" fontId="7" fillId="0" borderId="0" xfId="24" applyNumberFormat="1"/>
    <xf numFmtId="171" fontId="0" fillId="10" borderId="0" xfId="0" applyFill="1"/>
    <xf numFmtId="171" fontId="0" fillId="5" borderId="0" xfId="0" applyFill="1"/>
    <xf numFmtId="171" fontId="0" fillId="18" borderId="0" xfId="0" applyFill="1"/>
    <xf numFmtId="171" fontId="0" fillId="12" borderId="0" xfId="0" applyFill="1"/>
    <xf numFmtId="171" fontId="8" fillId="0" borderId="0" xfId="24" applyFont="1" applyAlignment="1">
      <alignment horizontal="center"/>
    </xf>
    <xf numFmtId="171" fontId="8" fillId="0" borderId="0" xfId="24" applyFont="1" applyAlignment="1">
      <alignment horizontal="left" vertical="top"/>
    </xf>
    <xf numFmtId="44" fontId="0" fillId="12" borderId="0" xfId="2" applyFont="1" applyFill="1"/>
    <xf numFmtId="44" fontId="1" fillId="12" borderId="0" xfId="2" applyFont="1" applyFill="1"/>
    <xf numFmtId="44" fontId="0" fillId="6" borderId="0" xfId="2" applyFont="1" applyFill="1"/>
    <xf numFmtId="44" fontId="1" fillId="6" borderId="0" xfId="2" applyFont="1" applyFill="1"/>
    <xf numFmtId="44" fontId="0" fillId="19" borderId="0" xfId="2" applyFont="1" applyFill="1"/>
    <xf numFmtId="44" fontId="1" fillId="19" borderId="0" xfId="2" applyFont="1" applyFill="1"/>
    <xf numFmtId="171" fontId="0" fillId="19" borderId="0" xfId="0" applyFill="1"/>
    <xf numFmtId="44" fontId="0" fillId="17" borderId="0" xfId="2" applyFont="1" applyFill="1"/>
    <xf numFmtId="44" fontId="1" fillId="17" borderId="0" xfId="2" applyFont="1" applyFill="1"/>
    <xf numFmtId="44" fontId="0" fillId="10" borderId="0" xfId="2" applyFont="1" applyFill="1"/>
    <xf numFmtId="44" fontId="1" fillId="10" borderId="0" xfId="2" applyFont="1" applyFill="1"/>
    <xf numFmtId="171" fontId="6" fillId="0" borderId="0" xfId="24" applyFont="1" applyAlignment="1">
      <alignment horizontal="center" wrapText="1"/>
    </xf>
    <xf numFmtId="171" fontId="6" fillId="0" borderId="0" xfId="24" applyFont="1" applyAlignment="1">
      <alignment horizontal="left" vertical="top"/>
    </xf>
    <xf numFmtId="171" fontId="6" fillId="0" borderId="0" xfId="24" applyFont="1" applyAlignment="1">
      <alignment horizontal="center"/>
    </xf>
    <xf numFmtId="0" fontId="6" fillId="0" borderId="0" xfId="24" applyNumberFormat="1" applyFont="1" applyAlignment="1">
      <alignment horizontal="center" vertical="top"/>
    </xf>
    <xf numFmtId="171" fontId="6" fillId="0" borderId="0" xfId="24" quotePrefix="1" applyFont="1" applyAlignment="1">
      <alignment horizontal="center" wrapText="1"/>
    </xf>
    <xf numFmtId="3" fontId="7" fillId="10" borderId="0" xfId="24" applyNumberFormat="1" applyFill="1"/>
    <xf numFmtId="6" fontId="7" fillId="10" borderId="0" xfId="24" applyNumberFormat="1" applyFill="1" applyAlignment="1">
      <alignment horizontal="right"/>
    </xf>
    <xf numFmtId="171" fontId="6" fillId="6" borderId="0" xfId="24" applyFont="1" applyFill="1" applyAlignment="1">
      <alignment horizontal="left" vertical="top" wrapText="1"/>
    </xf>
    <xf numFmtId="44" fontId="0" fillId="5" borderId="0" xfId="2" applyFont="1" applyFill="1"/>
    <xf numFmtId="44" fontId="1" fillId="5" borderId="0" xfId="2" applyFont="1" applyFill="1"/>
    <xf numFmtId="184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171" fontId="6" fillId="0" borderId="0" xfId="5" applyFont="1" applyAlignment="1">
      <alignment horizontal="centerContinuous"/>
    </xf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1" fontId="0" fillId="0" borderId="0" xfId="0" applyNumberFormat="1"/>
    <xf numFmtId="10" fontId="0" fillId="0" borderId="0" xfId="8" applyNumberFormat="1" applyFont="1"/>
    <xf numFmtId="10" fontId="7" fillId="12" borderId="0" xfId="8" applyNumberFormat="1" applyFont="1" applyFill="1"/>
    <xf numFmtId="167" fontId="0" fillId="10" borderId="0" xfId="8" applyNumberFormat="1" applyFont="1" applyFill="1"/>
    <xf numFmtId="5" fontId="7" fillId="0" borderId="0" xfId="1" applyNumberFormat="1" applyFont="1" applyFill="1" applyAlignment="1">
      <alignment horizontal="right"/>
    </xf>
    <xf numFmtId="8" fontId="7" fillId="13" borderId="0" xfId="24" applyNumberFormat="1" applyFill="1" applyAlignment="1">
      <alignment horizontal="right"/>
    </xf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1" fillId="6" borderId="0" xfId="31" applyFill="1"/>
    <xf numFmtId="185" fontId="5" fillId="0" borderId="0" xfId="8" applyNumberFormat="1" applyAlignment="1"/>
    <xf numFmtId="167" fontId="0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0" xfId="10" applyNumberFormat="1"/>
    <xf numFmtId="171" fontId="5" fillId="10" borderId="10" xfId="10" applyNumberFormat="1" applyFill="1" applyBorder="1"/>
    <xf numFmtId="171" fontId="28" fillId="6" borderId="5" xfId="10" applyNumberFormat="1" applyFont="1" applyFill="1" applyBorder="1"/>
    <xf numFmtId="171" fontId="5" fillId="10" borderId="0" xfId="10" applyNumberFormat="1" applyFill="1"/>
    <xf numFmtId="171" fontId="5" fillId="10" borderId="1" xfId="10" applyNumberFormat="1" applyFill="1" applyBorder="1"/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</cellXfs>
  <cellStyles count="33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DRR AC Study - Utah Valley - 53 MW 90 CF (2.28.2005)" xfId="4" xr:uid="{00000000-0005-0000-0000-000011000000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2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86"/>
  <sheetViews>
    <sheetView tabSelected="1" view="pageBreakPreview" topLeftCell="A2" zoomScaleNormal="80" zoomScaleSheetLayoutView="100" workbookViewId="0">
      <selection activeCell="C40" sqref="C40"/>
    </sheetView>
  </sheetViews>
  <sheetFormatPr defaultRowHeight="12.75"/>
  <cols>
    <col min="1" max="1" width="12.5" style="3" customWidth="1"/>
    <col min="2" max="2" width="10.8320312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3" customWidth="1"/>
    <col min="19" max="20" width="2.33203125" customWidth="1"/>
    <col min="21" max="21" width="16.33203125" customWidth="1"/>
    <col min="22" max="25" width="1.1640625" customWidth="1"/>
    <col min="26" max="26" width="1.1640625" style="46" customWidth="1"/>
    <col min="27" max="30" width="1.1640625" customWidth="1"/>
    <col min="31" max="31" width="2.33203125" customWidth="1"/>
    <col min="32" max="32" width="15.1640625" customWidth="1"/>
    <col min="33" max="33" width="2.1640625" customWidth="1"/>
    <col min="34" max="34" width="15.1640625" customWidth="1"/>
    <col min="35" max="35" width="2.83203125" customWidth="1"/>
    <col min="36" max="39" width="2.1640625" customWidth="1"/>
    <col min="40" max="40" width="2.33203125" customWidth="1"/>
    <col min="41" max="48" width="3.5" customWidth="1"/>
    <col min="50" max="51" width="10" customWidth="1"/>
    <col min="52" max="54" width="2.6640625" customWidth="1"/>
    <col min="55" max="55" width="15.33203125" customWidth="1"/>
    <col min="56" max="65" width="1.33203125" customWidth="1"/>
    <col min="66" max="66" width="15.33203125" customWidth="1"/>
    <col min="67" max="67" width="2.33203125" customWidth="1"/>
    <col min="68" max="68" width="15.33203125" customWidth="1"/>
    <col min="69" max="69" width="1.33203125" customWidth="1"/>
    <col min="70" max="84" width="2.33203125" customWidth="1"/>
    <col min="85" max="85" width="10.6640625" customWidth="1"/>
    <col min="86" max="87" width="16.1640625" customWidth="1"/>
    <col min="88" max="90" width="2.33203125" customWidth="1"/>
    <col min="91" max="91" width="16.6640625" customWidth="1"/>
    <col min="92" max="100" width="2.83203125" customWidth="1"/>
    <col min="101" max="102" width="16" customWidth="1"/>
    <col min="103" max="103" width="1.83203125" customWidth="1"/>
    <col min="104" max="105" width="16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322</v>
      </c>
      <c r="P4" s="94" t="s">
        <v>55</v>
      </c>
      <c r="Q4" s="94"/>
      <c r="R4" s="94"/>
    </row>
    <row r="5" spans="1:161" ht="15.75">
      <c r="A5"/>
      <c r="B5" s="4" t="str">
        <f ca="1">'Table 5'!M4&amp; " - "&amp;TEXT(Study_MW,"#.0")&amp;" MW and "&amp;TEXT(Study_CF,"#0%")&amp;" CF"</f>
        <v>Avoided Cost Resource - 100.0 MW and 100% CF</v>
      </c>
      <c r="C5" s="4"/>
      <c r="D5" s="4"/>
      <c r="E5" s="4"/>
      <c r="F5" s="4"/>
      <c r="G5" s="1"/>
      <c r="H5" s="33"/>
      <c r="P5" s="330">
        <v>0.25792015761805415</v>
      </c>
      <c r="Q5" s="330">
        <v>0.25792015761805415</v>
      </c>
      <c r="R5" s="330"/>
      <c r="S5" s="330"/>
      <c r="T5" s="330"/>
      <c r="U5" s="330">
        <v>0.36325285332579199</v>
      </c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>
        <v>0.10731919069805435</v>
      </c>
      <c r="AG5" s="330"/>
      <c r="AH5" s="330">
        <v>0.10731919069805435</v>
      </c>
      <c r="AI5" s="330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FD5" s="334"/>
      <c r="FE5" t="s">
        <v>78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103" customFormat="1" ht="63.75">
      <c r="B7" s="105"/>
      <c r="C7" s="322"/>
      <c r="D7" s="322"/>
      <c r="E7" s="105"/>
      <c r="F7" s="105"/>
      <c r="G7" s="105"/>
      <c r="H7" s="109"/>
      <c r="N7" s="103" t="s">
        <v>292</v>
      </c>
      <c r="P7" s="103" t="str">
        <f>CH7</f>
        <v>WD_.PX.WYE._.PTC.Utility_Scale</v>
      </c>
      <c r="Q7" s="103" t="str">
        <f t="shared" ref="Q7:AH7" si="0">CI7</f>
        <v>WD_.PX.WYE._.PTC.Utility_Scale</v>
      </c>
      <c r="U7" s="103" t="str">
        <f t="shared" si="0"/>
        <v>WD_.PX.WMV._.PTC.Utility_Scale</v>
      </c>
      <c r="AF7" s="103" t="str">
        <f t="shared" si="0"/>
        <v>PV_.PX.WMV._.PTC.Utility_Scale</v>
      </c>
      <c r="AH7" s="103" t="str">
        <f t="shared" si="0"/>
        <v>PV_.PX.WMV._.PTC.Utility_Scale</v>
      </c>
      <c r="AW7" s="112" t="s">
        <v>70</v>
      </c>
      <c r="AX7" s="103" t="str">
        <f>CH7</f>
        <v>WD_.PX.WYE._.PTC.Utility_Scale</v>
      </c>
      <c r="AY7" s="103" t="str">
        <f t="shared" ref="AY7:BP7" si="1">CI7</f>
        <v>WD_.PX.WYE._.PTC.Utility_Scale</v>
      </c>
      <c r="BC7" s="103" t="str">
        <f t="shared" si="1"/>
        <v>WD_.PX.WMV._.PTC.Utility_Scale</v>
      </c>
      <c r="BN7" s="103" t="str">
        <f t="shared" si="1"/>
        <v>PV_.PX.WMV._.PTC.Utility_Scale</v>
      </c>
      <c r="BP7" s="103" t="str">
        <f t="shared" si="1"/>
        <v>PV_.PX.WMV._.PTC.Utility_Scale</v>
      </c>
      <c r="CG7" s="103" t="s">
        <v>293</v>
      </c>
      <c r="CH7" s="103" t="s">
        <v>161</v>
      </c>
      <c r="CI7" s="103" t="s">
        <v>161</v>
      </c>
      <c r="CM7" s="103" t="str">
        <f t="shared" ref="CM7" si="2">CM8</f>
        <v>WD_.PX.WMV._.PTC.Utility_Scale</v>
      </c>
      <c r="CX7" s="103" t="str">
        <f>CX8</f>
        <v>PV_.PX.WMV._.PTC.Utility_Scale</v>
      </c>
      <c r="CZ7" s="103" t="str">
        <f>CZ8</f>
        <v>PV_.PX.WMV._.PTC.Utility_Scale</v>
      </c>
    </row>
    <row r="8" spans="1:161" s="103" customFormat="1" ht="40.700000000000003" customHeight="1">
      <c r="B8" s="105"/>
      <c r="C8" s="105"/>
      <c r="D8" s="105"/>
      <c r="E8" s="106"/>
      <c r="F8" s="107"/>
      <c r="G8" s="106" t="s">
        <v>14</v>
      </c>
      <c r="H8" s="109"/>
      <c r="I8" s="111"/>
      <c r="K8"/>
      <c r="L8"/>
      <c r="M8"/>
      <c r="P8" s="103" t="str">
        <f t="shared" ref="P8:AH9" si="3">AX8</f>
        <v>WD_.PX.DJW._.PTC.Utility_Scale</v>
      </c>
      <c r="Q8" s="103" t="str">
        <f t="shared" ref="Q8" si="4">AY8</f>
        <v>WD_.PX.DJW._.PTC.Utility_Scale</v>
      </c>
      <c r="U8" s="103" t="str">
        <f t="shared" ref="U8" si="5">BC8</f>
        <v>WD_.PX.WMV._.PTC.Utility_Scale</v>
      </c>
      <c r="AF8" s="103" t="str">
        <f t="shared" ref="AF8" si="6">BN8</f>
        <v>PV_.PX.WMV._.PTC.Utility_Scale</v>
      </c>
      <c r="AH8" s="103" t="str">
        <f t="shared" ref="AH8" si="7">BP8</f>
        <v>PV_.PX.WMV._.PTC.Utility_Scale</v>
      </c>
      <c r="AX8" s="103" t="str">
        <f>CH8</f>
        <v>WD_.PX.DJW._.PTC.Utility_Scale</v>
      </c>
      <c r="AY8" s="103" t="str">
        <f t="shared" ref="AY8:BP8" si="8">CI8</f>
        <v>WD_.PX.DJW._.PTC.Utility_Scale</v>
      </c>
      <c r="BC8" s="103" t="str">
        <f t="shared" si="8"/>
        <v>WD_.PX.WMV._.PTC.Utility_Scale</v>
      </c>
      <c r="BN8" s="103" t="str">
        <f t="shared" si="8"/>
        <v>PV_.PX.WMV._.PTC.Utility_Scale</v>
      </c>
      <c r="BP8" s="103" t="str">
        <f t="shared" si="8"/>
        <v>PV_.PX.WMV._.PTC.Utility_Scale</v>
      </c>
      <c r="CG8" s="112" t="s">
        <v>71</v>
      </c>
      <c r="CH8" s="103" t="s">
        <v>156</v>
      </c>
      <c r="CI8" s="103" t="s">
        <v>156</v>
      </c>
      <c r="CM8" s="103" t="s">
        <v>157</v>
      </c>
      <c r="CX8" s="103" t="s">
        <v>151</v>
      </c>
      <c r="CZ8" s="103" t="s">
        <v>151</v>
      </c>
      <c r="DR8" s="112" t="s">
        <v>72</v>
      </c>
      <c r="DS8" s="112"/>
      <c r="DT8" s="112"/>
      <c r="FD8" s="99" t="s">
        <v>71</v>
      </c>
      <c r="FE8" s="100" t="s">
        <v>72</v>
      </c>
    </row>
    <row r="9" spans="1:161" s="103" customFormat="1" ht="76.7" customHeight="1">
      <c r="B9" s="105"/>
      <c r="C9" s="106" t="s">
        <v>6</v>
      </c>
      <c r="D9" s="106"/>
      <c r="E9" s="106" t="s">
        <v>18</v>
      </c>
      <c r="F9" s="107"/>
      <c r="G9" s="108">
        <f ca="1">Study_CF</f>
        <v>1</v>
      </c>
      <c r="H9" s="33"/>
      <c r="K9"/>
      <c r="L9"/>
      <c r="M9"/>
      <c r="P9" s="249" t="str">
        <f t="shared" si="3"/>
        <v>WD_.PX.DJW._.PTC.Utility_Scale2028</v>
      </c>
      <c r="Q9" s="249" t="str">
        <f t="shared" si="3"/>
        <v>WD_.PX.DJW._.PTC.Utility_Scale2029</v>
      </c>
      <c r="R9" s="249"/>
      <c r="S9" s="249"/>
      <c r="T9" s="249"/>
      <c r="U9" s="249" t="str">
        <f t="shared" si="3"/>
        <v>WD_.PX.WMV._.PTC.Utility_Scale2032</v>
      </c>
      <c r="V9" s="198"/>
      <c r="W9" s="198"/>
      <c r="X9" s="198"/>
      <c r="Y9" s="198"/>
      <c r="Z9" s="198"/>
      <c r="AA9" s="198"/>
      <c r="AB9" s="198"/>
      <c r="AC9" s="198"/>
      <c r="AD9" s="198"/>
      <c r="AE9" s="198"/>
      <c r="AF9" s="198" t="str">
        <f t="shared" si="3"/>
        <v>PV_.PX.WMV._.PTC.Utility_Scale2032</v>
      </c>
      <c r="AG9" s="198"/>
      <c r="AH9" s="198" t="str">
        <f t="shared" si="3"/>
        <v>PV_.PX.WMV._.PTC.Utility_Scale2036</v>
      </c>
      <c r="AI9" s="198"/>
      <c r="AJ9" s="198"/>
      <c r="AK9" s="198"/>
      <c r="AL9" s="198"/>
      <c r="AX9" s="249" t="str">
        <f>CH9</f>
        <v>WD_.PX.DJW._.PTC.Utility_Scale2028</v>
      </c>
      <c r="AY9" s="249" t="str">
        <f t="shared" ref="AY9" si="9">CI9</f>
        <v>WD_.PX.DJW._.PTC.Utility_Scale2029</v>
      </c>
      <c r="AZ9" s="249"/>
      <c r="BA9" s="249"/>
      <c r="BB9" s="249"/>
      <c r="BC9" s="249" t="str">
        <f t="shared" ref="BC9:BP9" si="10">CM9</f>
        <v>WD_.PX.WMV._.PTC.Utility_Scale2032</v>
      </c>
      <c r="BD9" s="198"/>
      <c r="BE9" s="198"/>
      <c r="BF9" s="198"/>
      <c r="BG9" s="198"/>
      <c r="BH9" s="198"/>
      <c r="BI9" s="198"/>
      <c r="BJ9" s="198"/>
      <c r="BK9" s="198"/>
      <c r="BL9" s="198"/>
      <c r="BM9" s="198"/>
      <c r="BN9" s="198" t="str">
        <f t="shared" si="10"/>
        <v>PV_.PX.WMV._.PTC.Utility_Scale2032</v>
      </c>
      <c r="BO9" s="198"/>
      <c r="BP9" s="198" t="str">
        <f t="shared" si="10"/>
        <v>PV_.PX.WMV._.PTC.Utility_Scale2036</v>
      </c>
      <c r="BQ9" s="198"/>
      <c r="BR9" s="198"/>
      <c r="BS9" s="198"/>
      <c r="BT9" s="198"/>
      <c r="BU9" s="198"/>
      <c r="CH9" s="249" t="s">
        <v>277</v>
      </c>
      <c r="CI9" s="249" t="s">
        <v>278</v>
      </c>
      <c r="CJ9" s="249"/>
      <c r="CK9" s="249"/>
      <c r="CL9" s="249"/>
      <c r="CM9" s="249" t="s">
        <v>279</v>
      </c>
      <c r="CN9" s="198"/>
      <c r="CO9" s="198"/>
      <c r="CP9" s="198"/>
      <c r="CQ9" s="198"/>
      <c r="CR9" s="198"/>
      <c r="CS9" s="198"/>
      <c r="CT9" s="198"/>
      <c r="CU9" s="198"/>
      <c r="CV9" s="198"/>
      <c r="CW9" s="198"/>
      <c r="CX9" s="198" t="s">
        <v>274</v>
      </c>
      <c r="CY9" s="198"/>
      <c r="CZ9" s="198" t="s">
        <v>275</v>
      </c>
      <c r="DA9" s="198"/>
      <c r="DR9" s="103" t="str">
        <f t="shared" ref="DR9:ET9" si="11">CH9</f>
        <v>WD_.PX.DJW._.PTC.Utility_Scale2028</v>
      </c>
      <c r="DS9" s="103" t="str">
        <f t="shared" si="11"/>
        <v>WD_.PX.DJW._.PTC.Utility_Scale2029</v>
      </c>
      <c r="DT9" s="103">
        <f t="shared" si="11"/>
        <v>0</v>
      </c>
      <c r="DU9" s="103">
        <f t="shared" si="11"/>
        <v>0</v>
      </c>
      <c r="DV9" s="114">
        <f t="shared" si="11"/>
        <v>0</v>
      </c>
      <c r="DW9" s="103" t="str">
        <f t="shared" si="11"/>
        <v>WD_.PX.WMV._.PTC.Utility_Scale2032</v>
      </c>
      <c r="DX9" s="114">
        <f t="shared" si="11"/>
        <v>0</v>
      </c>
      <c r="DY9" s="103">
        <f t="shared" si="11"/>
        <v>0</v>
      </c>
      <c r="DZ9" s="103">
        <f t="shared" si="11"/>
        <v>0</v>
      </c>
      <c r="EA9" s="103">
        <f t="shared" si="11"/>
        <v>0</v>
      </c>
      <c r="EB9" s="103">
        <f t="shared" si="11"/>
        <v>0</v>
      </c>
      <c r="EC9" s="103">
        <f t="shared" si="11"/>
        <v>0</v>
      </c>
      <c r="ED9" s="103">
        <f t="shared" si="11"/>
        <v>0</v>
      </c>
      <c r="EE9" s="103">
        <f t="shared" si="11"/>
        <v>0</v>
      </c>
      <c r="EF9" s="103">
        <f t="shared" si="11"/>
        <v>0</v>
      </c>
      <c r="EG9" s="103">
        <f t="shared" si="11"/>
        <v>0</v>
      </c>
      <c r="EH9" s="103" t="str">
        <f t="shared" si="11"/>
        <v>PV_.PX.WMV._.PTC.Utility_Scale2032</v>
      </c>
      <c r="EI9" s="103">
        <f t="shared" si="11"/>
        <v>0</v>
      </c>
      <c r="EJ9" s="103" t="str">
        <f t="shared" si="11"/>
        <v>PV_.PX.WMV._.PTC.Utility_Scale2036</v>
      </c>
      <c r="EK9" s="103">
        <f t="shared" si="11"/>
        <v>0</v>
      </c>
      <c r="EL9" s="103">
        <f t="shared" si="11"/>
        <v>0</v>
      </c>
      <c r="EM9" s="103">
        <f t="shared" si="11"/>
        <v>0</v>
      </c>
      <c r="EN9" s="103">
        <f t="shared" si="11"/>
        <v>0</v>
      </c>
      <c r="EO9" s="103">
        <f t="shared" si="11"/>
        <v>0</v>
      </c>
      <c r="EP9" s="103">
        <f t="shared" si="11"/>
        <v>0</v>
      </c>
      <c r="EQ9" s="103">
        <f t="shared" si="11"/>
        <v>0</v>
      </c>
      <c r="ER9" s="103">
        <f t="shared" si="11"/>
        <v>0</v>
      </c>
      <c r="ES9" s="103">
        <f t="shared" si="11"/>
        <v>0</v>
      </c>
      <c r="ET9" s="103">
        <f t="shared" si="11"/>
        <v>0</v>
      </c>
      <c r="FA9" s="103" t="s">
        <v>73</v>
      </c>
      <c r="FD9" s="103" t="s">
        <v>295</v>
      </c>
      <c r="FE9" s="103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91"/>
      <c r="I10" s="196"/>
      <c r="J10" s="191"/>
      <c r="K10" s="196"/>
    </row>
    <row r="11" spans="1:161" ht="13.5">
      <c r="A11"/>
      <c r="B11" s="5"/>
      <c r="C11" s="5" t="s">
        <v>16</v>
      </c>
      <c r="D11" s="5"/>
      <c r="E11" s="252" t="s">
        <v>50</v>
      </c>
      <c r="F11" s="35"/>
      <c r="G11" s="5" t="s">
        <v>31</v>
      </c>
      <c r="H11" s="5"/>
      <c r="I11" s="5"/>
      <c r="J11" s="191"/>
      <c r="P11" t="s">
        <v>32</v>
      </c>
      <c r="Q11" t="s">
        <v>32</v>
      </c>
      <c r="U11" t="s">
        <v>32</v>
      </c>
      <c r="AF11" t="s">
        <v>32</v>
      </c>
      <c r="AH11" t="s">
        <v>32</v>
      </c>
      <c r="AX11" t="s">
        <v>32</v>
      </c>
      <c r="AY11" t="s">
        <v>32</v>
      </c>
      <c r="BC11" t="s">
        <v>32</v>
      </c>
      <c r="BN11" t="s">
        <v>32</v>
      </c>
      <c r="BP11" t="s">
        <v>32</v>
      </c>
      <c r="CH11" t="s">
        <v>74</v>
      </c>
      <c r="CI11" t="s">
        <v>74</v>
      </c>
      <c r="CM11" t="s">
        <v>74</v>
      </c>
      <c r="CX11" t="s">
        <v>74</v>
      </c>
      <c r="CZ11" t="s">
        <v>74</v>
      </c>
      <c r="DR11" t="s">
        <v>75</v>
      </c>
      <c r="DS11" t="s">
        <v>75</v>
      </c>
      <c r="DT11" t="s">
        <v>75</v>
      </c>
      <c r="DU11" t="s">
        <v>75</v>
      </c>
      <c r="DV11" t="s">
        <v>75</v>
      </c>
      <c r="DW11" t="s">
        <v>75</v>
      </c>
      <c r="DX11" t="s">
        <v>75</v>
      </c>
      <c r="DY11" t="s">
        <v>75</v>
      </c>
      <c r="DZ11" t="s">
        <v>75</v>
      </c>
      <c r="EA11" t="s">
        <v>75</v>
      </c>
      <c r="EB11" t="s">
        <v>75</v>
      </c>
      <c r="EC11" t="s">
        <v>75</v>
      </c>
      <c r="ED11" t="s">
        <v>75</v>
      </c>
      <c r="EE11" t="s">
        <v>75</v>
      </c>
      <c r="EF11" t="s">
        <v>75</v>
      </c>
      <c r="EG11" t="s">
        <v>75</v>
      </c>
      <c r="EH11" t="s">
        <v>75</v>
      </c>
      <c r="EI11" t="s">
        <v>75</v>
      </c>
      <c r="EJ11" t="s">
        <v>75</v>
      </c>
      <c r="EK11" t="s">
        <v>75</v>
      </c>
      <c r="EL11" t="s">
        <v>75</v>
      </c>
      <c r="EM11" t="s">
        <v>75</v>
      </c>
      <c r="EN11" t="s">
        <v>75</v>
      </c>
      <c r="EO11" t="s">
        <v>75</v>
      </c>
      <c r="EP11" t="s">
        <v>75</v>
      </c>
      <c r="EQ11" t="s">
        <v>75</v>
      </c>
      <c r="ER11" t="s">
        <v>75</v>
      </c>
      <c r="ES11" t="s">
        <v>75</v>
      </c>
      <c r="ET11" t="s">
        <v>75</v>
      </c>
      <c r="FA11" t="s">
        <v>75</v>
      </c>
      <c r="FD11" t="s">
        <v>74</v>
      </c>
      <c r="FE11" t="s">
        <v>75</v>
      </c>
    </row>
    <row r="12" spans="1:161">
      <c r="A12"/>
      <c r="B12" s="5"/>
      <c r="C12" s="119"/>
      <c r="D12" s="5"/>
      <c r="E12" s="5"/>
      <c r="F12" s="5"/>
      <c r="H12" s="109"/>
      <c r="I12" s="105"/>
      <c r="J12" s="103"/>
      <c r="K12" s="103"/>
      <c r="L12" s="103"/>
      <c r="M12" s="103"/>
    </row>
    <row r="13" spans="1:161">
      <c r="A13"/>
      <c r="B13" s="253">
        <f>'Table 5'!J13</f>
        <v>2026</v>
      </c>
      <c r="C13" s="8">
        <f t="shared" ref="C13:C32" si="12">(INDEX($FA:$FA,MATCH(B13,$O:$O,0),1)+INDEX($FE:$FE,MATCH(B13,$O:$O,0),1))*1000/Study_MW</f>
        <v>0</v>
      </c>
      <c r="D13" s="254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23.340518312580905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23.340518312580905</v>
      </c>
      <c r="H13" s="8"/>
      <c r="I13" s="8"/>
      <c r="J13" s="8"/>
      <c r="K13" s="8"/>
      <c r="L13" s="8"/>
      <c r="O13">
        <f t="shared" ref="O13:O32" si="13">B13</f>
        <v>2026</v>
      </c>
      <c r="P13">
        <v>0</v>
      </c>
      <c r="Q13">
        <v>0</v>
      </c>
      <c r="U13">
        <v>0</v>
      </c>
      <c r="Z13"/>
      <c r="AF13">
        <v>0</v>
      </c>
      <c r="AH13">
        <v>0</v>
      </c>
      <c r="AX13">
        <f t="shared" ref="AX13:AX35" si="14">P13/P$5</f>
        <v>0</v>
      </c>
      <c r="AY13">
        <f t="shared" ref="AY13:AY35" si="15">Q13/Q$5</f>
        <v>0</v>
      </c>
      <c r="BC13">
        <f t="shared" ref="BC13:BC35" si="16">U13/U$5</f>
        <v>0</v>
      </c>
      <c r="BN13">
        <f t="shared" ref="BN13:BN35" si="17">AF13/AF$5</f>
        <v>0</v>
      </c>
      <c r="BP13">
        <f t="shared" ref="BP13:BP35" si="18">AH13/AH$5</f>
        <v>0</v>
      </c>
      <c r="CG13" s="158">
        <f t="shared" ref="CG13:CG39" si="19">O13</f>
        <v>2026</v>
      </c>
      <c r="CH13" s="72">
        <f>INDEX(Table3Compare!$B$6:$H$32,MATCH($CG13,Table3Compare!$A$6:$A$32,0),MATCH(CH$9,Table3Compare!$B$5:$H$5,0))</f>
        <v>0</v>
      </c>
      <c r="CI13" s="72">
        <f>INDEX(Table3Compare!$B$6:$H$32,MATCH($CG13,Table3Compare!$A$6:$A$32,0),MATCH(CI$9,Table3Compare!$B$5:$H$5,0))</f>
        <v>0</v>
      </c>
      <c r="CJ13" s="72"/>
      <c r="CK13" s="72"/>
      <c r="CL13" s="72"/>
      <c r="CM13" s="72">
        <f>INDEX(Table3Compare!$B$6:$H$32,MATCH($CG13,Table3Compare!$A$6:$A$32,0),MATCH(CM$9,Table3Compare!$B$5:$H$5,0))</f>
        <v>0</v>
      </c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>
        <f>INDEX(Table3Compare!$B$6:$H$32,MATCH($CG13,Table3Compare!$A$6:$A$32,0),MATCH(CX$9,Table3Compare!$B$5:$H$5,0))</f>
        <v>0</v>
      </c>
      <c r="CY13" s="72"/>
      <c r="CZ13" s="72">
        <f>INDEX(Table3Compare!$B$6:$H$32,MATCH($CG13,Table3Compare!$A$6:$A$32,0),MATCH(CZ$9,Table3Compare!$B$5:$H$5,0))</f>
        <v>0</v>
      </c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167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5" si="20">SUM(DR13:EZ13)</f>
        <v>0</v>
      </c>
      <c r="FC13">
        <f t="shared" ref="FC13:FC35" si="21">O13</f>
        <v>2026</v>
      </c>
      <c r="FD13" s="46"/>
      <c r="FE13" s="98">
        <f>$FD$5*FD13/1000</f>
        <v>0</v>
      </c>
    </row>
    <row r="14" spans="1:161">
      <c r="A14"/>
      <c r="B14" s="253">
        <f t="shared" ref="B14:B39" si="22">B13+1</f>
        <v>2027</v>
      </c>
      <c r="C14" s="8">
        <f t="shared" si="12"/>
        <v>0</v>
      </c>
      <c r="D14" s="254"/>
      <c r="E14" s="8">
        <f t="shared" ref="E14:E27" ca="1" si="23">SUMIF(INDIRECT("'Table 5'!$J$"&amp;$K$3&amp;":$J$"&amp;$K$4),B14,INDIRECT("'Table 5'!$c$"&amp;$K$3&amp;":$c$"&amp;$K$4))/SUMIF(INDIRECT("'Table 5'!$J$"&amp;$K$3&amp;":$J$"&amp;$K$4),B14,INDIRECT("'Table 5'!$f$"&amp;$K$3&amp;":$f$"&amp;$K$4))</f>
        <v>27.396691161945199</v>
      </c>
      <c r="F14" s="33"/>
      <c r="G14" s="8">
        <f ca="1">SUMIF(INDIRECT("'Table 5'!$J$"&amp;$K$3&amp;":$J$"&amp;$K$4),B14,INDIRECT("'Table 5'!$e$"&amp;$K$3&amp;":$e$"&amp;$K$4))/SUMIF(INDIRECT("'Table 5'!$J$"&amp;$K$3&amp;":$J$"&amp;$K$4),B14,INDIRECT("'Table 5'!$f$"&amp;$K$3&amp;":$f$"&amp;$K$4))</f>
        <v>27.396691161945199</v>
      </c>
      <c r="H14" s="8"/>
      <c r="I14" s="8"/>
      <c r="J14" s="8"/>
      <c r="K14" s="8"/>
      <c r="L14" s="8"/>
      <c r="O14">
        <f t="shared" si="13"/>
        <v>2027</v>
      </c>
      <c r="P14">
        <v>0</v>
      </c>
      <c r="Q14">
        <v>0</v>
      </c>
      <c r="U14">
        <v>0</v>
      </c>
      <c r="Z14"/>
      <c r="AF14">
        <v>0</v>
      </c>
      <c r="AH14">
        <v>0</v>
      </c>
      <c r="AX14">
        <f t="shared" si="14"/>
        <v>0</v>
      </c>
      <c r="AY14">
        <f t="shared" si="15"/>
        <v>0</v>
      </c>
      <c r="BC14">
        <f t="shared" si="16"/>
        <v>0</v>
      </c>
      <c r="BN14">
        <f t="shared" si="17"/>
        <v>0</v>
      </c>
      <c r="BP14">
        <f t="shared" si="18"/>
        <v>0</v>
      </c>
      <c r="CG14" s="158">
        <f t="shared" si="19"/>
        <v>2027</v>
      </c>
      <c r="CH14" s="72">
        <f>INDEX(Table3Compare!$B$6:$H$32,MATCH($CG14,Table3Compare!$A$6:$A$32,0),MATCH(CH$9,Table3Compare!$B$5:$H$5,0))</f>
        <v>0</v>
      </c>
      <c r="CI14" s="72">
        <f>INDEX(Table3Compare!$B$6:$H$32,MATCH($CG14,Table3Compare!$A$6:$A$32,0),MATCH(CI$9,Table3Compare!$B$5:$H$5,0))</f>
        <v>0</v>
      </c>
      <c r="CJ14" s="72"/>
      <c r="CK14" s="72"/>
      <c r="CL14" s="72"/>
      <c r="CM14" s="72">
        <f>INDEX(Table3Compare!$B$6:$H$32,MATCH($CG14,Table3Compare!$A$6:$A$32,0),MATCH(CM$9,Table3Compare!$B$5:$H$5,0))</f>
        <v>0</v>
      </c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>
        <f>INDEX(Table3Compare!$B$6:$H$32,MATCH($CG14,Table3Compare!$A$6:$A$32,0),MATCH(CX$9,Table3Compare!$B$5:$H$5,0))</f>
        <v>0</v>
      </c>
      <c r="CY14" s="72"/>
      <c r="CZ14" s="72">
        <f>INDEX(Table3Compare!$B$6:$H$32,MATCH($CG14,Table3Compare!$A$6:$A$32,0),MATCH(CZ$9,Table3Compare!$B$5:$H$5,0))</f>
        <v>0</v>
      </c>
      <c r="DA14" s="72"/>
      <c r="DB14" s="72"/>
      <c r="DC14" s="72"/>
      <c r="DD14" s="72"/>
      <c r="DE14" s="72"/>
      <c r="DF14" s="167"/>
      <c r="DG14" s="167"/>
      <c r="DH14" s="72"/>
      <c r="DI14" s="167"/>
      <c r="DJ14" s="167"/>
      <c r="DK14" s="167"/>
      <c r="DL14" s="167"/>
      <c r="DM14" s="167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6"/>
      <c r="FE14" s="98">
        <f t="shared" ref="FE14:FE30" si="24">$FD$5*FD14/1000</f>
        <v>0</v>
      </c>
    </row>
    <row r="15" spans="1:161">
      <c r="A15"/>
      <c r="B15" s="253">
        <f t="shared" si="22"/>
        <v>2028</v>
      </c>
      <c r="C15" s="8">
        <f t="shared" si="12"/>
        <v>0</v>
      </c>
      <c r="D15" s="254"/>
      <c r="E15" s="8">
        <f t="shared" ca="1" si="23"/>
        <v>29.364950654570151</v>
      </c>
      <c r="F15" s="33"/>
      <c r="G15" s="8">
        <f t="shared" ref="G15:G27" ca="1" si="25">SUMIF(INDIRECT("'Table 5'!$J$"&amp;$K$3&amp;":$J$"&amp;$K$4),B15,INDIRECT("'Table 5'!$e$"&amp;$K$3&amp;":$e$"&amp;$K$4))/SUMIF(INDIRECT("'Table 5'!$J$"&amp;$K$3&amp;":$J$"&amp;$K$4),B15,INDIRECT("'Table 5'!$f$"&amp;$K$3&amp;":$f$"&amp;$K$4))</f>
        <v>29.364950654570151</v>
      </c>
      <c r="H15" s="8"/>
      <c r="I15" s="8"/>
      <c r="J15" s="8"/>
      <c r="K15" s="8"/>
      <c r="L15" s="8"/>
      <c r="O15">
        <f t="shared" si="13"/>
        <v>2028</v>
      </c>
      <c r="P15">
        <v>0</v>
      </c>
      <c r="Q15">
        <v>0</v>
      </c>
      <c r="U15">
        <v>0</v>
      </c>
      <c r="Z15"/>
      <c r="AF15">
        <v>0</v>
      </c>
      <c r="AH15">
        <v>0</v>
      </c>
      <c r="AX15">
        <f t="shared" si="14"/>
        <v>0</v>
      </c>
      <c r="AY15">
        <f t="shared" si="15"/>
        <v>0</v>
      </c>
      <c r="BC15">
        <f t="shared" si="16"/>
        <v>0</v>
      </c>
      <c r="BN15">
        <f t="shared" si="17"/>
        <v>0</v>
      </c>
      <c r="BP15">
        <f t="shared" si="18"/>
        <v>0</v>
      </c>
      <c r="CG15" s="158">
        <f t="shared" si="19"/>
        <v>2028</v>
      </c>
      <c r="CH15" s="72">
        <f>INDEX(Table3Compare!$B$6:$H$32,MATCH($CG15,Table3Compare!$A$6:$A$32,0),MATCH(CH$9,Table3Compare!$B$5:$H$5,0))</f>
        <v>122.60687306314156</v>
      </c>
      <c r="CI15" s="72">
        <f>INDEX(Table3Compare!$B$6:$H$32,MATCH($CG15,Table3Compare!$A$6:$A$32,0),MATCH(CI$9,Table3Compare!$B$5:$H$5,0))</f>
        <v>0</v>
      </c>
      <c r="CJ15" s="72"/>
      <c r="CK15" s="72"/>
      <c r="CL15" s="72"/>
      <c r="CM15" s="72">
        <f>INDEX(Table3Compare!$B$6:$H$32,MATCH($CG15,Table3Compare!$A$6:$A$32,0),MATCH(CM$9,Table3Compare!$B$5:$H$5,0))</f>
        <v>0</v>
      </c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>
        <f>INDEX(Table3Compare!$B$6:$H$32,MATCH($CG15,Table3Compare!$A$6:$A$32,0),MATCH(CX$9,Table3Compare!$B$5:$H$5,0))</f>
        <v>0</v>
      </c>
      <c r="CY15" s="72"/>
      <c r="CZ15" s="72">
        <f>INDEX(Table3Compare!$B$6:$H$32,MATCH($CG15,Table3Compare!$A$6:$A$32,0),MATCH(CZ$9,Table3Compare!$B$5:$H$5,0))</f>
        <v>0</v>
      </c>
      <c r="DA15" s="72"/>
      <c r="DB15" s="72"/>
      <c r="DC15" s="72"/>
      <c r="DD15" s="72"/>
      <c r="DE15" s="72"/>
      <c r="DF15" s="167"/>
      <c r="DG15" s="167"/>
      <c r="DH15" s="72"/>
      <c r="DI15" s="167"/>
      <c r="DJ15" s="167"/>
      <c r="DK15" s="167"/>
      <c r="DL15" s="167"/>
      <c r="DM15" s="167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2028</v>
      </c>
      <c r="FD15" s="46"/>
      <c r="FE15" s="98">
        <f t="shared" si="24"/>
        <v>0</v>
      </c>
    </row>
    <row r="16" spans="1:161">
      <c r="A16"/>
      <c r="B16" s="253">
        <f t="shared" si="22"/>
        <v>2029</v>
      </c>
      <c r="C16" s="8">
        <f t="shared" si="12"/>
        <v>0</v>
      </c>
      <c r="D16" s="254"/>
      <c r="E16" s="8">
        <f t="shared" ca="1" si="23"/>
        <v>34.069367665128588</v>
      </c>
      <c r="F16" s="33"/>
      <c r="G16" s="8">
        <f t="shared" ca="1" si="25"/>
        <v>34.069367665128588</v>
      </c>
      <c r="H16" s="8"/>
      <c r="I16" s="8"/>
      <c r="J16" s="8"/>
      <c r="K16" s="8"/>
      <c r="L16" s="8"/>
      <c r="O16">
        <f t="shared" si="13"/>
        <v>2029</v>
      </c>
      <c r="P16" s="46">
        <v>0</v>
      </c>
      <c r="Q16">
        <v>0</v>
      </c>
      <c r="U16">
        <v>0</v>
      </c>
      <c r="Z16"/>
      <c r="AF16">
        <v>0</v>
      </c>
      <c r="AH16">
        <v>0</v>
      </c>
      <c r="AX16" s="321">
        <f t="shared" si="14"/>
        <v>0</v>
      </c>
      <c r="AY16">
        <f t="shared" si="15"/>
        <v>0</v>
      </c>
      <c r="BC16">
        <f t="shared" si="16"/>
        <v>0</v>
      </c>
      <c r="BN16">
        <f t="shared" si="17"/>
        <v>0</v>
      </c>
      <c r="BP16">
        <f t="shared" si="18"/>
        <v>0</v>
      </c>
      <c r="CG16" s="158">
        <f t="shared" si="19"/>
        <v>2029</v>
      </c>
      <c r="CH16" s="72">
        <f>INDEX(Table3Compare!$B$6:$H$32,MATCH($CG16,Table3Compare!$A$6:$A$32,0),MATCH(CH$9,Table3Compare!$B$5:$H$5,0))</f>
        <v>125.27970292599355</v>
      </c>
      <c r="CI16" s="72">
        <f>INDEX(Table3Compare!$B$6:$H$32,MATCH($CG16,Table3Compare!$A$6:$A$32,0),MATCH(CI$9,Table3Compare!$B$5:$H$5,0))</f>
        <v>123.30914837857404</v>
      </c>
      <c r="CJ16" s="72"/>
      <c r="CK16" s="72"/>
      <c r="CL16" s="72"/>
      <c r="CM16" s="72">
        <f>INDEX(Table3Compare!$B$6:$H$32,MATCH($CG16,Table3Compare!$A$6:$A$32,0),MATCH(CM$9,Table3Compare!$B$5:$H$5,0))</f>
        <v>0</v>
      </c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>
        <f>INDEX(Table3Compare!$B$6:$H$32,MATCH($CG16,Table3Compare!$A$6:$A$32,0),MATCH(CX$9,Table3Compare!$B$5:$H$5,0))</f>
        <v>0</v>
      </c>
      <c r="CY16" s="72"/>
      <c r="CZ16" s="72">
        <f>INDEX(Table3Compare!$B$6:$H$32,MATCH($CG16,Table3Compare!$A$6:$A$32,0),MATCH(CZ$9,Table3Compare!$B$5:$H$5,0))</f>
        <v>0</v>
      </c>
      <c r="DA16" s="72"/>
      <c r="DB16" s="72"/>
      <c r="DC16" s="72"/>
      <c r="DD16" s="72"/>
      <c r="DE16" s="72"/>
      <c r="DF16" s="167"/>
      <c r="DG16" s="167"/>
      <c r="DH16" s="72"/>
      <c r="DI16" s="167"/>
      <c r="DJ16" s="167"/>
      <c r="DK16" s="167"/>
      <c r="DL16" s="167"/>
      <c r="DM16" s="167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6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2029</v>
      </c>
      <c r="FD16" s="46"/>
      <c r="FE16" s="98">
        <f t="shared" si="24"/>
        <v>0</v>
      </c>
    </row>
    <row r="17" spans="2:161">
      <c r="B17" s="253">
        <f t="shared" si="22"/>
        <v>2030</v>
      </c>
      <c r="C17" s="8">
        <f t="shared" si="12"/>
        <v>0</v>
      </c>
      <c r="D17" s="254"/>
      <c r="E17" s="8">
        <f t="shared" ca="1" si="23"/>
        <v>36.327270087063098</v>
      </c>
      <c r="F17" s="33"/>
      <c r="G17" s="8">
        <f t="shared" ca="1" si="25"/>
        <v>36.327270087063098</v>
      </c>
      <c r="H17" s="8"/>
      <c r="I17" s="8"/>
      <c r="J17" s="8"/>
      <c r="K17" s="8"/>
      <c r="L17" s="8"/>
      <c r="O17">
        <f t="shared" si="13"/>
        <v>2030</v>
      </c>
      <c r="P17">
        <v>0</v>
      </c>
      <c r="Q17">
        <v>0</v>
      </c>
      <c r="U17">
        <v>0</v>
      </c>
      <c r="Z17"/>
      <c r="AF17">
        <v>0</v>
      </c>
      <c r="AH17">
        <v>0</v>
      </c>
      <c r="AX17">
        <f t="shared" si="14"/>
        <v>0</v>
      </c>
      <c r="AY17">
        <f t="shared" si="15"/>
        <v>0</v>
      </c>
      <c r="BC17">
        <f t="shared" si="16"/>
        <v>0</v>
      </c>
      <c r="BN17">
        <f t="shared" si="17"/>
        <v>0</v>
      </c>
      <c r="BP17">
        <f t="shared" si="18"/>
        <v>0</v>
      </c>
      <c r="CC17" s="98"/>
      <c r="CG17" s="158">
        <f t="shared" si="19"/>
        <v>2030</v>
      </c>
      <c r="CH17" s="72">
        <f>INDEX(Table3Compare!$B$6:$H$32,MATCH($CG17,Table3Compare!$A$6:$A$32,0),MATCH(CH$9,Table3Compare!$B$5:$H$5,0))</f>
        <v>128.01080038380309</v>
      </c>
      <c r="CI17" s="72">
        <f>INDEX(Table3Compare!$B$6:$H$32,MATCH($CG17,Table3Compare!$A$6:$A$32,0),MATCH(CI$9,Table3Compare!$B$5:$H$5,0))</f>
        <v>125.99728774828759</v>
      </c>
      <c r="CJ17" s="72"/>
      <c r="CK17" s="72"/>
      <c r="CL17" s="72"/>
      <c r="CM17" s="72">
        <f>INDEX(Table3Compare!$B$6:$H$32,MATCH($CG17,Table3Compare!$A$6:$A$32,0),MATCH(CM$9,Table3Compare!$B$5:$H$5,0))</f>
        <v>0</v>
      </c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>
        <f>INDEX(Table3Compare!$B$6:$H$32,MATCH($CG17,Table3Compare!$A$6:$A$32,0),MATCH(CX$9,Table3Compare!$B$5:$H$5,0))</f>
        <v>0</v>
      </c>
      <c r="CY17" s="72"/>
      <c r="CZ17" s="72">
        <f>INDEX(Table3Compare!$B$6:$H$32,MATCH($CG17,Table3Compare!$A$6:$A$32,0),MATCH(CZ$9,Table3Compare!$B$5:$H$5,0))</f>
        <v>0</v>
      </c>
      <c r="DA17" s="72"/>
      <c r="DB17" s="72"/>
      <c r="DC17" s="72"/>
      <c r="DD17" s="72"/>
      <c r="DE17" s="72"/>
      <c r="DF17" s="167"/>
      <c r="DG17" s="167"/>
      <c r="DH17" s="72"/>
      <c r="DI17" s="167"/>
      <c r="DJ17" s="167"/>
      <c r="DK17" s="167"/>
      <c r="DL17" s="167"/>
      <c r="DM17" s="167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2030</v>
      </c>
      <c r="FD17" s="46"/>
      <c r="FE17" s="98">
        <f t="shared" si="24"/>
        <v>0</v>
      </c>
    </row>
    <row r="18" spans="2:161">
      <c r="B18" s="253">
        <f t="shared" si="22"/>
        <v>2031</v>
      </c>
      <c r="C18" s="8">
        <f t="shared" si="12"/>
        <v>0</v>
      </c>
      <c r="D18" s="254"/>
      <c r="E18" s="8">
        <f t="shared" ca="1" si="23"/>
        <v>40.272799403913872</v>
      </c>
      <c r="F18" s="33"/>
      <c r="G18" s="8">
        <f t="shared" ca="1" si="25"/>
        <v>40.272799403913872</v>
      </c>
      <c r="H18" s="8"/>
      <c r="I18" s="8"/>
      <c r="J18" s="8"/>
      <c r="K18" s="8"/>
      <c r="L18" s="8"/>
      <c r="O18">
        <f t="shared" si="13"/>
        <v>2031</v>
      </c>
      <c r="P18">
        <v>0</v>
      </c>
      <c r="Q18">
        <v>0</v>
      </c>
      <c r="U18">
        <v>0</v>
      </c>
      <c r="Z18"/>
      <c r="AF18">
        <v>0</v>
      </c>
      <c r="AH18">
        <v>0</v>
      </c>
      <c r="AX18">
        <f t="shared" si="14"/>
        <v>0</v>
      </c>
      <c r="AY18">
        <f t="shared" si="15"/>
        <v>0</v>
      </c>
      <c r="BC18">
        <f t="shared" si="16"/>
        <v>0</v>
      </c>
      <c r="BN18">
        <f t="shared" si="17"/>
        <v>0</v>
      </c>
      <c r="BP18">
        <f t="shared" si="18"/>
        <v>0</v>
      </c>
      <c r="CG18" s="158">
        <f t="shared" si="19"/>
        <v>2031</v>
      </c>
      <c r="CH18" s="72">
        <f>INDEX(Table3Compare!$B$6:$H$32,MATCH($CG18,Table3Compare!$A$6:$A$32,0),MATCH(CH$9,Table3Compare!$B$5:$H$5,0))</f>
        <v>130.80143582771603</v>
      </c>
      <c r="CI18" s="72">
        <f>INDEX(Table3Compare!$B$6:$H$32,MATCH($CG18,Table3Compare!$A$6:$A$32,0),MATCH(CI$9,Table3Compare!$B$5:$H$5,0))</f>
        <v>128.74402861681637</v>
      </c>
      <c r="CJ18" s="72"/>
      <c r="CK18" s="72"/>
      <c r="CL18" s="72"/>
      <c r="CM18" s="72">
        <f>INDEX(Table3Compare!$B$6:$H$32,MATCH($CG18,Table3Compare!$A$6:$A$32,0),MATCH(CM$9,Table3Compare!$B$5:$H$5,0))</f>
        <v>0</v>
      </c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>
        <f>INDEX(Table3Compare!$B$6:$H$32,MATCH($CG18,Table3Compare!$A$6:$A$32,0),MATCH(CX$9,Table3Compare!$B$5:$H$5,0))</f>
        <v>0</v>
      </c>
      <c r="CY18" s="72"/>
      <c r="CZ18" s="72">
        <f>INDEX(Table3Compare!$B$6:$H$32,MATCH($CG18,Table3Compare!$A$6:$A$32,0),MATCH(CZ$9,Table3Compare!$B$5:$H$5,0))</f>
        <v>0</v>
      </c>
      <c r="DA18" s="72"/>
      <c r="DB18" s="72"/>
      <c r="DC18" s="72"/>
      <c r="DD18" s="72"/>
      <c r="DE18" s="72"/>
      <c r="DF18" s="167"/>
      <c r="DG18" s="167"/>
      <c r="DH18" s="72"/>
      <c r="DI18" s="167"/>
      <c r="DJ18" s="167"/>
      <c r="DK18" s="167"/>
      <c r="DL18" s="167"/>
      <c r="DM18" s="167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0</v>
      </c>
      <c r="FC18">
        <f t="shared" si="21"/>
        <v>2031</v>
      </c>
      <c r="FD18" s="46"/>
      <c r="FE18" s="98">
        <f t="shared" si="24"/>
        <v>0</v>
      </c>
    </row>
    <row r="19" spans="2:161">
      <c r="B19" s="253">
        <f t="shared" si="22"/>
        <v>2032</v>
      </c>
      <c r="C19" s="8">
        <f t="shared" si="12"/>
        <v>0</v>
      </c>
      <c r="D19" s="254"/>
      <c r="E19" s="8">
        <f t="shared" ca="1" si="23"/>
        <v>37.984876924172205</v>
      </c>
      <c r="F19" s="33"/>
      <c r="G19" s="8">
        <f t="shared" ca="1" si="25"/>
        <v>37.984876924172205</v>
      </c>
      <c r="H19" s="8"/>
      <c r="I19" s="8"/>
      <c r="J19" s="8"/>
      <c r="K19" s="8"/>
      <c r="L19" s="8"/>
      <c r="O19">
        <f t="shared" si="13"/>
        <v>2032</v>
      </c>
      <c r="P19">
        <v>0</v>
      </c>
      <c r="Q19">
        <v>0</v>
      </c>
      <c r="U19">
        <v>0</v>
      </c>
      <c r="Z19"/>
      <c r="AF19">
        <v>0</v>
      </c>
      <c r="AH19">
        <v>0</v>
      </c>
      <c r="AX19">
        <f t="shared" si="14"/>
        <v>0</v>
      </c>
      <c r="AY19">
        <f t="shared" si="15"/>
        <v>0</v>
      </c>
      <c r="BC19">
        <f t="shared" si="16"/>
        <v>0</v>
      </c>
      <c r="BN19" s="46">
        <f t="shared" si="17"/>
        <v>0</v>
      </c>
      <c r="BP19">
        <f t="shared" si="18"/>
        <v>0</v>
      </c>
      <c r="CG19" s="158">
        <f t="shared" si="19"/>
        <v>2032</v>
      </c>
      <c r="CH19" s="72">
        <f>INDEX(Table3Compare!$B$6:$H$32,MATCH($CG19,Table3Compare!$A$6:$A$32,0),MATCH(CH$9,Table3Compare!$B$5:$H$5,0))</f>
        <v>133.6529070924762</v>
      </c>
      <c r="CI19" s="72">
        <f>INDEX(Table3Compare!$B$6:$H$32,MATCH($CG19,Table3Compare!$A$6:$A$32,0),MATCH(CI$9,Table3Compare!$B$5:$H$5,0))</f>
        <v>131.55064840494967</v>
      </c>
      <c r="CJ19" s="72"/>
      <c r="CK19" s="72"/>
      <c r="CL19" s="72"/>
      <c r="CM19" s="72">
        <f>INDEX(Table3Compare!$B$6:$H$32,MATCH($CG19,Table3Compare!$A$6:$A$32,0),MATCH(CM$9,Table3Compare!$B$5:$H$5,0))</f>
        <v>158.5684942399154</v>
      </c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>
        <f>INDEX(Table3Compare!$B$6:$H$32,MATCH($CG19,Table3Compare!$A$6:$A$32,0),MATCH(CX$9,Table3Compare!$B$5:$H$5,0))</f>
        <v>122.40853925633913</v>
      </c>
      <c r="CY19" s="72"/>
      <c r="CZ19" s="72">
        <f>INDEX(Table3Compare!$B$6:$H$32,MATCH($CG19,Table3Compare!$A$6:$A$32,0),MATCH(CZ$9,Table3Compare!$B$5:$H$5,0))</f>
        <v>0</v>
      </c>
      <c r="DA19" s="72"/>
      <c r="DB19" s="72"/>
      <c r="DC19" s="72"/>
      <c r="DD19" s="72"/>
      <c r="DE19" s="72"/>
      <c r="DF19" s="167"/>
      <c r="DG19" s="167"/>
      <c r="DH19" s="72"/>
      <c r="DI19" s="167"/>
      <c r="DJ19" s="167"/>
      <c r="DK19" s="167"/>
      <c r="DL19" s="167"/>
      <c r="DM19" s="167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0</v>
      </c>
      <c r="FC19">
        <f t="shared" si="21"/>
        <v>2032</v>
      </c>
      <c r="FD19" s="46"/>
      <c r="FE19" s="98">
        <f t="shared" si="24"/>
        <v>0</v>
      </c>
    </row>
    <row r="20" spans="2:161">
      <c r="B20" s="253">
        <f t="shared" si="22"/>
        <v>2033</v>
      </c>
      <c r="C20" s="8">
        <f t="shared" si="12"/>
        <v>0</v>
      </c>
      <c r="D20" s="254"/>
      <c r="E20" s="8">
        <f t="shared" ca="1" si="23"/>
        <v>37.385282882305503</v>
      </c>
      <c r="F20" s="33"/>
      <c r="G20" s="8">
        <f t="shared" ca="1" si="25"/>
        <v>37.385282882305503</v>
      </c>
      <c r="H20" s="8"/>
      <c r="I20" s="8"/>
      <c r="J20" s="8"/>
      <c r="K20" s="8"/>
      <c r="L20" s="8"/>
      <c r="O20">
        <f t="shared" si="13"/>
        <v>2033</v>
      </c>
      <c r="P20">
        <v>0</v>
      </c>
      <c r="Q20">
        <v>0</v>
      </c>
      <c r="U20">
        <v>0</v>
      </c>
      <c r="Z20"/>
      <c r="AF20" s="46">
        <v>0</v>
      </c>
      <c r="AH20">
        <v>0</v>
      </c>
      <c r="AX20">
        <f t="shared" si="14"/>
        <v>0</v>
      </c>
      <c r="AY20">
        <f t="shared" si="15"/>
        <v>0</v>
      </c>
      <c r="BC20">
        <f t="shared" si="16"/>
        <v>0</v>
      </c>
      <c r="BN20" s="46">
        <f t="shared" si="17"/>
        <v>0</v>
      </c>
      <c r="BP20">
        <f t="shared" si="18"/>
        <v>0</v>
      </c>
      <c r="CG20" s="158">
        <f t="shared" si="19"/>
        <v>2033</v>
      </c>
      <c r="CH20" s="72">
        <f>INDEX(Table3Compare!$B$6:$H$32,MATCH($CG20,Table3Compare!$A$6:$A$32,0),MATCH(CH$9,Table3Compare!$B$5:$H$5,0))</f>
        <v>136.56654046868928</v>
      </c>
      <c r="CI20" s="72">
        <f>INDEX(Table3Compare!$B$6:$H$32,MATCH($CG20,Table3Compare!$A$6:$A$32,0),MATCH(CI$9,Table3Compare!$B$5:$H$5,0))</f>
        <v>134.41845254174956</v>
      </c>
      <c r="CJ20" s="72"/>
      <c r="CK20" s="72"/>
      <c r="CL20" s="72"/>
      <c r="CM20" s="72">
        <f>INDEX(Table3Compare!$B$6:$H$32,MATCH($CG20,Table3Compare!$A$6:$A$32,0),MATCH(CM$9,Table3Compare!$B$5:$H$5,0))</f>
        <v>162.02528741624042</v>
      </c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>
        <f>INDEX(Table3Compare!$B$6:$H$32,MATCH($CG20,Table3Compare!$A$6:$A$32,0),MATCH(CX$9,Table3Compare!$B$5:$H$5,0))</f>
        <v>125.07704541359004</v>
      </c>
      <c r="CY20" s="72"/>
      <c r="CZ20" s="72">
        <f>INDEX(Table3Compare!$B$6:$H$32,MATCH($CG20,Table3Compare!$A$6:$A$32,0),MATCH(CZ$9,Table3Compare!$B$5:$H$5,0))</f>
        <v>0</v>
      </c>
      <c r="DA20" s="72"/>
      <c r="DB20" s="72"/>
      <c r="DC20" s="72"/>
      <c r="DD20" s="72"/>
      <c r="DE20" s="72"/>
      <c r="DF20" s="167"/>
      <c r="DG20" s="167"/>
      <c r="DH20" s="72"/>
      <c r="DI20" s="167"/>
      <c r="DJ20" s="167"/>
      <c r="DK20" s="167"/>
      <c r="DL20" s="167"/>
      <c r="DM20" s="167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0</v>
      </c>
      <c r="FC20">
        <f t="shared" si="21"/>
        <v>2033</v>
      </c>
      <c r="FD20" s="333">
        <f>'Table 3 TransCost'!T17</f>
        <v>19.102049794900221</v>
      </c>
      <c r="FE20" s="98">
        <f t="shared" si="24"/>
        <v>0</v>
      </c>
    </row>
    <row r="21" spans="2:161">
      <c r="B21" s="253">
        <f t="shared" si="22"/>
        <v>2034</v>
      </c>
      <c r="C21" s="8">
        <f t="shared" si="12"/>
        <v>0</v>
      </c>
      <c r="D21" s="254"/>
      <c r="E21" s="8">
        <f t="shared" ca="1" si="23"/>
        <v>38.271370617886276</v>
      </c>
      <c r="F21" s="33"/>
      <c r="G21" s="8">
        <f t="shared" ca="1" si="25"/>
        <v>38.271370617886276</v>
      </c>
      <c r="H21" s="8"/>
      <c r="I21" s="8"/>
      <c r="J21" s="8"/>
      <c r="K21" s="8"/>
      <c r="L21" s="8"/>
      <c r="O21">
        <f t="shared" si="13"/>
        <v>2034</v>
      </c>
      <c r="P21">
        <v>0</v>
      </c>
      <c r="Q21">
        <v>0</v>
      </c>
      <c r="U21">
        <v>0</v>
      </c>
      <c r="Z21"/>
      <c r="AF21">
        <v>0</v>
      </c>
      <c r="AH21">
        <v>0</v>
      </c>
      <c r="AX21">
        <f t="shared" si="14"/>
        <v>0</v>
      </c>
      <c r="AY21">
        <f t="shared" si="15"/>
        <v>0</v>
      </c>
      <c r="BC21">
        <f t="shared" si="16"/>
        <v>0</v>
      </c>
      <c r="BN21">
        <f t="shared" si="17"/>
        <v>0</v>
      </c>
      <c r="BP21">
        <f t="shared" si="18"/>
        <v>0</v>
      </c>
      <c r="CG21" s="158">
        <f t="shared" si="19"/>
        <v>2034</v>
      </c>
      <c r="CH21" s="72">
        <f>INDEX(Table3Compare!$B$6:$H$32,MATCH($CG21,Table3Compare!$A$6:$A$32,0),MATCH(CH$9,Table3Compare!$B$5:$H$5,0))</f>
        <v>139.54369115271797</v>
      </c>
      <c r="CI21" s="72">
        <f>INDEX(Table3Compare!$B$6:$H$32,MATCH($CG21,Table3Compare!$A$6:$A$32,0),MATCH(CI$9,Table3Compare!$B$5:$H$5,0))</f>
        <v>137.34877490736955</v>
      </c>
      <c r="CJ21" s="72"/>
      <c r="CK21" s="72"/>
      <c r="CL21" s="72"/>
      <c r="CM21" s="72">
        <f>INDEX(Table3Compare!$B$6:$H$32,MATCH($CG21,Table3Compare!$A$6:$A$32,0),MATCH(CM$9,Table3Compare!$B$5:$H$5,0))</f>
        <v>165.55743880270538</v>
      </c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>
        <f>INDEX(Table3Compare!$B$6:$H$32,MATCH($CG21,Table3Compare!$A$6:$A$32,0),MATCH(CX$9,Table3Compare!$B$5:$H$5,0))</f>
        <v>127.80372509685208</v>
      </c>
      <c r="CY21" s="72"/>
      <c r="CZ21" s="72">
        <f>INDEX(Table3Compare!$B$6:$H$32,MATCH($CG21,Table3Compare!$A$6:$A$32,0),MATCH(CZ$9,Table3Compare!$B$5:$H$5,0))</f>
        <v>0</v>
      </c>
      <c r="DA21" s="72"/>
      <c r="DB21" s="72"/>
      <c r="DC21" s="72"/>
      <c r="DD21" s="72"/>
      <c r="DE21" s="72"/>
      <c r="DF21" s="167"/>
      <c r="DG21" s="167"/>
      <c r="DH21" s="72"/>
      <c r="DI21" s="167"/>
      <c r="DJ21" s="167"/>
      <c r="DK21" s="167"/>
      <c r="DL21" s="167"/>
      <c r="DM21" s="167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0</v>
      </c>
      <c r="FC21">
        <f t="shared" si="21"/>
        <v>2034</v>
      </c>
      <c r="FD21" s="71" cm="1">
        <f t="array" ref="FD21">FD20*INDEX('2025 IRP Assumptions'!$E$275:$E$298,'Table 3 PV_.PX.WMV._.PTC.2032'!$B21-2023,1)/INDEX('2025 IRP Assumptions'!$E$275:$E$298,'Table 3 PV_.PX.WMV._.PTC.2032'!$B21-2023-1,1)</f>
        <v>19.518474475536049</v>
      </c>
      <c r="FE21" s="98">
        <f t="shared" si="24"/>
        <v>0</v>
      </c>
    </row>
    <row r="22" spans="2:161">
      <c r="B22" s="253">
        <f t="shared" si="22"/>
        <v>2035</v>
      </c>
      <c r="C22" s="8">
        <f t="shared" si="12"/>
        <v>0</v>
      </c>
      <c r="D22" s="254"/>
      <c r="E22" s="8">
        <f t="shared" ca="1" si="23"/>
        <v>39.926265626021632</v>
      </c>
      <c r="F22" s="33"/>
      <c r="G22" s="8">
        <f t="shared" ca="1" si="25"/>
        <v>39.926265626021632</v>
      </c>
      <c r="H22" s="8"/>
      <c r="I22" s="8"/>
      <c r="J22" s="8"/>
      <c r="K22" s="8"/>
      <c r="L22" s="8"/>
      <c r="O22">
        <f t="shared" si="13"/>
        <v>2035</v>
      </c>
      <c r="P22">
        <v>0</v>
      </c>
      <c r="Q22">
        <v>0</v>
      </c>
      <c r="U22">
        <v>0</v>
      </c>
      <c r="Z22"/>
      <c r="AF22">
        <v>0</v>
      </c>
      <c r="AH22">
        <v>0</v>
      </c>
      <c r="AX22">
        <f t="shared" si="14"/>
        <v>0</v>
      </c>
      <c r="AY22">
        <f t="shared" si="15"/>
        <v>0</v>
      </c>
      <c r="BC22">
        <f t="shared" si="16"/>
        <v>0</v>
      </c>
      <c r="BN22">
        <f t="shared" si="17"/>
        <v>0</v>
      </c>
      <c r="BP22">
        <f t="shared" si="18"/>
        <v>0</v>
      </c>
      <c r="CG22" s="158">
        <f t="shared" si="19"/>
        <v>2035</v>
      </c>
      <c r="CH22" s="72">
        <f>INDEX(Table3Compare!$B$6:$H$32,MATCH($CG22,Table3Compare!$A$6:$A$32,0),MATCH(CH$9,Table3Compare!$B$5:$H$5,0))</f>
        <v>142.58574358410306</v>
      </c>
      <c r="CI22" s="72">
        <f>INDEX(Table3Compare!$B$6:$H$32,MATCH($CG22,Table3Compare!$A$6:$A$32,0),MATCH(CI$9,Table3Compare!$B$5:$H$5,0))</f>
        <v>140.34297816516823</v>
      </c>
      <c r="CJ22" s="72"/>
      <c r="CK22" s="72"/>
      <c r="CL22" s="72"/>
      <c r="CM22" s="72">
        <f>INDEX(Table3Compare!$B$6:$H$32,MATCH($CG22,Table3Compare!$A$6:$A$32,0),MATCH(CM$9,Table3Compare!$B$5:$H$5,0))</f>
        <v>169.16659092619676</v>
      </c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>
        <f>INDEX(Table3Compare!$B$6:$H$32,MATCH($CG22,Table3Compare!$A$6:$A$32,0),MATCH(CX$9,Table3Compare!$B$5:$H$5,0))</f>
        <v>130.58984627122646</v>
      </c>
      <c r="CY22" s="72"/>
      <c r="CZ22" s="72">
        <f>INDEX(Table3Compare!$B$6:$H$32,MATCH($CG22,Table3Compare!$A$6:$A$32,0),MATCH(CZ$9,Table3Compare!$B$5:$H$5,0))</f>
        <v>0</v>
      </c>
      <c r="DA22" s="72"/>
      <c r="DB22" s="72"/>
      <c r="DC22" s="72"/>
      <c r="DD22" s="72"/>
      <c r="DE22" s="72"/>
      <c r="DF22" s="167"/>
      <c r="DG22" s="167"/>
      <c r="DH22" s="72"/>
      <c r="DI22" s="167"/>
      <c r="DJ22" s="167"/>
      <c r="DK22" s="167"/>
      <c r="DL22" s="167"/>
      <c r="DM22" s="167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0</v>
      </c>
      <c r="FC22">
        <f t="shared" si="21"/>
        <v>2035</v>
      </c>
      <c r="FD22" s="71" cm="1">
        <f t="array" ref="FD22">FD21*INDEX('2025 IRP Assumptions'!$E$275:$E$298,'Table 3 PV_.PX.WMV._.PTC.2032'!$B22-2023,1)/INDEX('2025 IRP Assumptions'!$E$275:$E$298,'Table 3 PV_.PX.WMV._.PTC.2032'!$B22-2023-1,1)</f>
        <v>19.943977219241305</v>
      </c>
      <c r="FE22" s="98">
        <f t="shared" si="24"/>
        <v>0</v>
      </c>
    </row>
    <row r="23" spans="2:161">
      <c r="B23" s="253">
        <f t="shared" si="22"/>
        <v>2036</v>
      </c>
      <c r="C23" s="8">
        <f t="shared" si="12"/>
        <v>0</v>
      </c>
      <c r="D23" s="254"/>
      <c r="E23" s="8">
        <f t="shared" ca="1" si="23"/>
        <v>23.924768122224865</v>
      </c>
      <c r="F23" s="33"/>
      <c r="G23" s="8">
        <f t="shared" ca="1" si="25"/>
        <v>23.924768122224865</v>
      </c>
      <c r="H23" s="8"/>
      <c r="I23" s="8"/>
      <c r="J23" s="8"/>
      <c r="K23" s="8"/>
      <c r="L23" s="8"/>
      <c r="O23">
        <f t="shared" si="13"/>
        <v>2036</v>
      </c>
      <c r="P23">
        <v>0</v>
      </c>
      <c r="Q23">
        <v>0</v>
      </c>
      <c r="U23">
        <v>0</v>
      </c>
      <c r="Z23"/>
      <c r="AF23">
        <v>0</v>
      </c>
      <c r="AH23">
        <v>0</v>
      </c>
      <c r="AX23">
        <f t="shared" si="14"/>
        <v>0</v>
      </c>
      <c r="AY23">
        <f t="shared" si="15"/>
        <v>0</v>
      </c>
      <c r="BC23">
        <f t="shared" si="16"/>
        <v>0</v>
      </c>
      <c r="BN23">
        <f t="shared" si="17"/>
        <v>0</v>
      </c>
      <c r="BP23">
        <f t="shared" si="18"/>
        <v>0</v>
      </c>
      <c r="CG23" s="158">
        <f t="shared" si="19"/>
        <v>2036</v>
      </c>
      <c r="CH23" s="72">
        <f>INDEX(Table3Compare!$B$6:$H$32,MATCH($CG23,Table3Compare!$A$6:$A$32,0),MATCH(CH$9,Table3Compare!$B$5:$H$5,0))</f>
        <v>145.69411279524877</v>
      </c>
      <c r="CI23" s="72">
        <f>INDEX(Table3Compare!$B$6:$H$32,MATCH($CG23,Table3Compare!$A$6:$A$32,0),MATCH(CI$9,Table3Compare!$B$5:$H$5,0))</f>
        <v>143.40245509016526</v>
      </c>
      <c r="CJ23" s="72"/>
      <c r="CK23" s="72"/>
      <c r="CL23" s="72"/>
      <c r="CM23" s="72">
        <f>INDEX(Table3Compare!$B$6:$H$32,MATCH($CG23,Table3Compare!$A$6:$A$32,0),MATCH(CM$9,Table3Compare!$B$5:$H$5,0))</f>
        <v>172.8544226095888</v>
      </c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>
        <f>INDEX(Table3Compare!$B$6:$H$32,MATCH($CG23,Table3Compare!$A$6:$A$32,0),MATCH(CX$9,Table3Compare!$B$5:$H$5,0))</f>
        <v>133.4367049208663</v>
      </c>
      <c r="CY23" s="72"/>
      <c r="CZ23" s="72">
        <f>INDEX(Table3Compare!$B$6:$H$32,MATCH($CG23,Table3Compare!$A$6:$A$32,0),MATCH(CZ$9,Table3Compare!$B$5:$H$5,0))</f>
        <v>167.09145087116482</v>
      </c>
      <c r="DA23" s="72"/>
      <c r="DB23" s="72"/>
      <c r="DC23" s="72"/>
      <c r="DD23" s="72"/>
      <c r="DE23" s="72"/>
      <c r="DF23" s="167"/>
      <c r="DG23" s="167"/>
      <c r="DH23" s="72"/>
      <c r="DI23" s="167"/>
      <c r="DJ23" s="167"/>
      <c r="DK23" s="167"/>
      <c r="DL23" s="167"/>
      <c r="DM23" s="167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0</v>
      </c>
      <c r="FC23">
        <f t="shared" si="21"/>
        <v>2036</v>
      </c>
      <c r="FD23" s="71" cm="1">
        <f t="array" ref="FD23">FD22*INDEX('2025 IRP Assumptions'!$E$275:$E$298,'Table 3 PV_.PX.WMV._.PTC.2032'!$B23-2023,1)/INDEX('2025 IRP Assumptions'!$E$275:$E$298,'Table 3 PV_.PX.WMV._.PTC.2032'!$B23-2023-1,1)</f>
        <v>20.378755916767027</v>
      </c>
      <c r="FE23" s="98">
        <f t="shared" si="24"/>
        <v>0</v>
      </c>
    </row>
    <row r="24" spans="2:161">
      <c r="B24" s="253">
        <f t="shared" si="22"/>
        <v>2037</v>
      </c>
      <c r="C24" s="8">
        <f t="shared" si="12"/>
        <v>0</v>
      </c>
      <c r="D24" s="254"/>
      <c r="E24" s="8">
        <f t="shared" ca="1" si="23"/>
        <v>27.116844565619157</v>
      </c>
      <c r="F24" s="33"/>
      <c r="G24" s="8">
        <f t="shared" ca="1" si="25"/>
        <v>27.116844565619157</v>
      </c>
      <c r="H24" s="8"/>
      <c r="I24" s="8"/>
      <c r="J24" s="8"/>
      <c r="K24" s="8"/>
      <c r="L24" s="8"/>
      <c r="O24">
        <f t="shared" si="13"/>
        <v>2037</v>
      </c>
      <c r="P24">
        <v>0</v>
      </c>
      <c r="Q24">
        <v>0</v>
      </c>
      <c r="U24">
        <v>0</v>
      </c>
      <c r="Z24"/>
      <c r="AF24">
        <v>0</v>
      </c>
      <c r="AH24">
        <v>0</v>
      </c>
      <c r="AX24">
        <f t="shared" si="14"/>
        <v>0</v>
      </c>
      <c r="AY24">
        <f t="shared" si="15"/>
        <v>0</v>
      </c>
      <c r="BC24">
        <f t="shared" si="16"/>
        <v>0</v>
      </c>
      <c r="BN24">
        <f t="shared" si="17"/>
        <v>0</v>
      </c>
      <c r="BP24">
        <f t="shared" si="18"/>
        <v>0</v>
      </c>
      <c r="CG24" s="158">
        <f t="shared" si="19"/>
        <v>2037</v>
      </c>
      <c r="CH24" s="72">
        <f>INDEX(Table3Compare!$B$6:$H$32,MATCH($CG24,Table3Compare!$A$6:$A$32,0),MATCH(CH$9,Table3Compare!$B$5:$H$5,0))</f>
        <v>148.87024441142265</v>
      </c>
      <c r="CI24" s="72">
        <f>INDEX(Table3Compare!$B$6:$H$32,MATCH($CG24,Table3Compare!$A$6:$A$32,0),MATCH(CI$9,Table3Compare!$B$5:$H$5,0))</f>
        <v>146.52862856904096</v>
      </c>
      <c r="CJ24" s="72"/>
      <c r="CK24" s="72"/>
      <c r="CL24" s="72"/>
      <c r="CM24" s="72">
        <f>INDEX(Table3Compare!$B$6:$H$32,MATCH($CG24,Table3Compare!$A$6:$A$32,0),MATCH(CM$9,Table3Compare!$B$5:$H$5,0))</f>
        <v>176.6226489717435</v>
      </c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>
        <f>INDEX(Table3Compare!$B$6:$H$32,MATCH($CG24,Table3Compare!$A$6:$A$32,0),MATCH(CX$9,Table3Compare!$B$5:$H$5,0))</f>
        <v>136.34562504897633</v>
      </c>
      <c r="CY24" s="72"/>
      <c r="CZ24" s="72">
        <f>INDEX(Table3Compare!$B$6:$H$32,MATCH($CG24,Table3Compare!$A$6:$A$32,0),MATCH(CZ$9,Table3Compare!$B$5:$H$5,0))</f>
        <v>170.73404445111339</v>
      </c>
      <c r="DA24" s="72"/>
      <c r="DB24" s="72"/>
      <c r="DC24" s="72"/>
      <c r="DD24" s="72"/>
      <c r="DE24" s="72"/>
      <c r="DF24" s="167"/>
      <c r="DG24" s="167"/>
      <c r="DH24" s="72"/>
      <c r="DI24" s="167"/>
      <c r="DJ24" s="167"/>
      <c r="DK24" s="167"/>
      <c r="DL24" s="167"/>
      <c r="DM24" s="167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0</v>
      </c>
      <c r="FC24">
        <f t="shared" si="21"/>
        <v>2037</v>
      </c>
      <c r="FD24" s="71" cm="1">
        <f t="array" ref="FD24">FD23*INDEX('2025 IRP Assumptions'!$E$275:$E$298,'Table 3 PV_.PX.WMV._.PTC.2032'!$B24-2023,1)/INDEX('2025 IRP Assumptions'!$E$275:$E$298,'Table 3 PV_.PX.WMV._.PTC.2032'!$B24-2023-1,1)</f>
        <v>20.823012800667101</v>
      </c>
      <c r="FE24" s="98">
        <f t="shared" si="24"/>
        <v>0</v>
      </c>
    </row>
    <row r="25" spans="2:161">
      <c r="B25" s="253">
        <f t="shared" si="22"/>
        <v>2038</v>
      </c>
      <c r="C25" s="8">
        <f t="shared" si="12"/>
        <v>0</v>
      </c>
      <c r="D25" s="254"/>
      <c r="E25" s="8">
        <f t="shared" ca="1" si="23"/>
        <v>29.419192399991463</v>
      </c>
      <c r="F25" s="33"/>
      <c r="G25" s="8">
        <f t="shared" ca="1" si="25"/>
        <v>29.419192399991463</v>
      </c>
      <c r="H25" s="8"/>
      <c r="I25" s="8"/>
      <c r="J25" s="8"/>
      <c r="K25" s="8"/>
      <c r="L25" s="8"/>
      <c r="O25">
        <f t="shared" si="13"/>
        <v>2038</v>
      </c>
      <c r="P25">
        <v>0</v>
      </c>
      <c r="Q25">
        <v>0</v>
      </c>
      <c r="U25">
        <v>0</v>
      </c>
      <c r="Z25"/>
      <c r="AF25">
        <v>0</v>
      </c>
      <c r="AH25">
        <v>0</v>
      </c>
      <c r="AX25">
        <f t="shared" si="14"/>
        <v>0</v>
      </c>
      <c r="AY25">
        <f t="shared" si="15"/>
        <v>0</v>
      </c>
      <c r="BC25">
        <f t="shared" si="16"/>
        <v>0</v>
      </c>
      <c r="BN25">
        <f t="shared" si="17"/>
        <v>0</v>
      </c>
      <c r="BP25">
        <f t="shared" si="18"/>
        <v>0</v>
      </c>
      <c r="CG25" s="158">
        <f t="shared" si="19"/>
        <v>2038</v>
      </c>
      <c r="CH25" s="72">
        <f>INDEX(Table3Compare!$B$6:$H$32,MATCH($CG25,Table3Compare!$A$6:$A$32,0),MATCH(CH$9,Table3Compare!$B$5:$H$5,0))</f>
        <v>152.11561577549332</v>
      </c>
      <c r="CI25" s="72">
        <f>INDEX(Table3Compare!$B$6:$H$32,MATCH($CG25,Table3Compare!$A$6:$A$32,0),MATCH(CI$9,Table3Compare!$B$5:$H$5,0))</f>
        <v>149.72295270718297</v>
      </c>
      <c r="CJ25" s="72"/>
      <c r="CK25" s="72"/>
      <c r="CL25" s="72"/>
      <c r="CM25" s="72">
        <f>INDEX(Table3Compare!$B$6:$H$32,MATCH($CG25,Table3Compare!$A$6:$A$32,0),MATCH(CM$9,Table3Compare!$B$5:$H$5,0))</f>
        <v>180.47302276192192</v>
      </c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>
        <f>INDEX(Table3Compare!$B$6:$H$32,MATCH($CG25,Table3Compare!$A$6:$A$32,0),MATCH(CX$9,Table3Compare!$B$5:$H$5,0))</f>
        <v>139.31795970792521</v>
      </c>
      <c r="CY25" s="72"/>
      <c r="CZ25" s="72">
        <f>INDEX(Table3Compare!$B$6:$H$32,MATCH($CG25,Table3Compare!$A$6:$A$32,0),MATCH(CZ$9,Table3Compare!$B$5:$H$5,0))</f>
        <v>174.45604666132198</v>
      </c>
      <c r="DA25" s="72"/>
      <c r="DB25" s="72"/>
      <c r="DC25" s="72"/>
      <c r="DD25" s="72"/>
      <c r="DE25" s="72"/>
      <c r="DF25" s="167"/>
      <c r="DG25" s="167"/>
      <c r="DH25" s="72"/>
      <c r="DI25" s="167"/>
      <c r="DJ25" s="167"/>
      <c r="DK25" s="167"/>
      <c r="DL25" s="167"/>
      <c r="DM25" s="167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0</v>
      </c>
      <c r="FC25">
        <f t="shared" si="21"/>
        <v>2038</v>
      </c>
      <c r="FD25" s="71" cm="1">
        <f t="array" ref="FD25">FD24*INDEX('2025 IRP Assumptions'!$E$275:$E$298,'Table 3 PV_.PX.WMV._.PTC.2032'!$B25-2023,1)/INDEX('2025 IRP Assumptions'!$E$275:$E$298,'Table 3 PV_.PX.WMV._.PTC.2032'!$B25-2023-1,1)</f>
        <v>21.276954476091156</v>
      </c>
      <c r="FE25" s="98">
        <f t="shared" si="24"/>
        <v>0</v>
      </c>
    </row>
    <row r="26" spans="2:161">
      <c r="B26" s="253">
        <f t="shared" si="22"/>
        <v>2039</v>
      </c>
      <c r="C26" s="8">
        <f t="shared" si="12"/>
        <v>0</v>
      </c>
      <c r="D26" s="254"/>
      <c r="E26" s="8">
        <f t="shared" ca="1" si="23"/>
        <v>31.293313265926898</v>
      </c>
      <c r="F26" s="33"/>
      <c r="G26" s="8">
        <f t="shared" ca="1" si="25"/>
        <v>31.293313265926898</v>
      </c>
      <c r="H26" s="8"/>
      <c r="I26" s="8"/>
      <c r="J26" s="8"/>
      <c r="K26" s="8"/>
      <c r="L26" s="8"/>
      <c r="O26">
        <f t="shared" si="13"/>
        <v>2039</v>
      </c>
      <c r="P26">
        <v>0</v>
      </c>
      <c r="Q26">
        <v>0</v>
      </c>
      <c r="U26">
        <v>0</v>
      </c>
      <c r="Z26"/>
      <c r="AF26">
        <v>0</v>
      </c>
      <c r="AH26">
        <v>0</v>
      </c>
      <c r="AX26">
        <f t="shared" si="14"/>
        <v>0</v>
      </c>
      <c r="AY26">
        <f t="shared" si="15"/>
        <v>0</v>
      </c>
      <c r="BC26">
        <f t="shared" si="16"/>
        <v>0</v>
      </c>
      <c r="BN26">
        <f t="shared" si="17"/>
        <v>0</v>
      </c>
      <c r="BP26">
        <f t="shared" si="18"/>
        <v>0</v>
      </c>
      <c r="CG26" s="158">
        <f t="shared" si="19"/>
        <v>2039</v>
      </c>
      <c r="CH26" s="72">
        <f>INDEX(Table3Compare!$B$6:$H$32,MATCH($CG26,Table3Compare!$A$6:$A$32,0),MATCH(CH$9,Table3Compare!$B$5:$H$5,0))</f>
        <v>155.43173617287775</v>
      </c>
      <c r="CI26" s="72">
        <f>INDEX(Table3Compare!$B$6:$H$32,MATCH($CG26,Table3Compare!$A$6:$A$32,0),MATCH(CI$9,Table3Compare!$B$5:$H$5,0))</f>
        <v>152.98691305009541</v>
      </c>
      <c r="CJ26" s="72"/>
      <c r="CK26" s="72"/>
      <c r="CL26" s="72"/>
      <c r="CM26" s="72">
        <f>INDEX(Table3Compare!$B$6:$H$32,MATCH($CG26,Table3Compare!$A$6:$A$32,0),MATCH(CM$9,Table3Compare!$B$5:$H$5,0))</f>
        <v>184.40733462666643</v>
      </c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>
        <f>INDEX(Table3Compare!$B$6:$H$32,MATCH($CG26,Table3Compare!$A$6:$A$32,0),MATCH(CX$9,Table3Compare!$B$5:$H$5,0))</f>
        <v>142.35509120526794</v>
      </c>
      <c r="CY26" s="72"/>
      <c r="CZ26" s="72">
        <f>INDEX(Table3Compare!$B$6:$H$32,MATCH($CG26,Table3Compare!$A$6:$A$32,0),MATCH(CZ$9,Table3Compare!$B$5:$H$5,0))</f>
        <v>178.25918844812242</v>
      </c>
      <c r="DA26" s="72"/>
      <c r="DB26" s="72"/>
      <c r="DC26" s="72"/>
      <c r="DD26" s="72"/>
      <c r="DE26" s="72"/>
      <c r="DF26" s="167"/>
      <c r="DG26" s="167"/>
      <c r="DH26" s="72"/>
      <c r="DI26" s="167"/>
      <c r="DJ26" s="167"/>
      <c r="DK26" s="167"/>
      <c r="DL26" s="167"/>
      <c r="DM26" s="167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0</v>
      </c>
      <c r="FC26">
        <f t="shared" si="21"/>
        <v>2039</v>
      </c>
      <c r="FD26" s="71" cm="1">
        <f t="array" ref="FD26">FD25*INDEX('2025 IRP Assumptions'!$E$275:$E$298,'Table 3 PV_.PX.WMV._.PTC.2032'!$B26-2023,1)/INDEX('2025 IRP Assumptions'!$E$275:$E$298,'Table 3 PV_.PX.WMV._.PTC.2032'!$B26-2023-1,1)</f>
        <v>21.740792090145696</v>
      </c>
      <c r="FE26" s="98">
        <f t="shared" si="24"/>
        <v>0</v>
      </c>
    </row>
    <row r="27" spans="2:161">
      <c r="B27" s="253">
        <f t="shared" si="22"/>
        <v>2040</v>
      </c>
      <c r="C27" s="8">
        <f t="shared" si="12"/>
        <v>0</v>
      </c>
      <c r="D27" s="254"/>
      <c r="E27" s="8">
        <f t="shared" ca="1" si="23"/>
        <v>33.281572589178595</v>
      </c>
      <c r="F27" s="33"/>
      <c r="G27" s="8">
        <f t="shared" ca="1" si="25"/>
        <v>33.281572589178595</v>
      </c>
      <c r="H27" s="8"/>
      <c r="I27" s="8"/>
      <c r="J27" s="8"/>
      <c r="K27" s="8"/>
      <c r="L27" s="8"/>
      <c r="O27">
        <f t="shared" si="13"/>
        <v>2040</v>
      </c>
      <c r="P27">
        <v>0</v>
      </c>
      <c r="Q27">
        <v>0</v>
      </c>
      <c r="U27">
        <v>0</v>
      </c>
      <c r="Z27"/>
      <c r="AF27">
        <v>0</v>
      </c>
      <c r="AH27">
        <v>0</v>
      </c>
      <c r="AX27">
        <f t="shared" si="14"/>
        <v>0</v>
      </c>
      <c r="AY27">
        <f t="shared" si="15"/>
        <v>0</v>
      </c>
      <c r="BC27">
        <f t="shared" si="16"/>
        <v>0</v>
      </c>
      <c r="BN27">
        <f t="shared" si="17"/>
        <v>0</v>
      </c>
      <c r="BP27">
        <f t="shared" si="18"/>
        <v>0</v>
      </c>
      <c r="CG27" s="158">
        <f t="shared" si="19"/>
        <v>2040</v>
      </c>
      <c r="CH27" s="72">
        <f>INDEX(Table3Compare!$B$6:$H$32,MATCH($CG27,Table3Compare!$A$6:$A$32,0),MATCH(CH$9,Table3Compare!$B$5:$H$5,0))</f>
        <v>158.82014806875296</v>
      </c>
      <c r="CI27" s="72">
        <f>INDEX(Table3Compare!$B$6:$H$32,MATCH($CG27,Table3Compare!$A$6:$A$32,0),MATCH(CI$9,Table3Compare!$B$5:$H$5,0))</f>
        <v>156.32202780114989</v>
      </c>
      <c r="CJ27" s="72"/>
      <c r="CK27" s="72"/>
      <c r="CL27" s="72"/>
      <c r="CM27" s="72">
        <f>INDEX(Table3Compare!$B$6:$H$32,MATCH($CG27,Table3Compare!$A$6:$A$32,0),MATCH(CM$9,Table3Compare!$B$5:$H$5,0))</f>
        <v>188.42741457765308</v>
      </c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>
        <f>INDEX(Table3Compare!$B$6:$H$32,MATCH($CG27,Table3Compare!$A$6:$A$32,0),MATCH(CX$9,Table3Compare!$B$5:$H$5,0))</f>
        <v>145.4584322368693</v>
      </c>
      <c r="CY27" s="72"/>
      <c r="CZ27" s="72">
        <f>INDEX(Table3Compare!$B$6:$H$32,MATCH($CG27,Table3Compare!$A$6:$A$32,0),MATCH(CZ$9,Table3Compare!$B$5:$H$5,0))</f>
        <v>182.14523881054561</v>
      </c>
      <c r="DA27" s="72"/>
      <c r="DB27" s="72"/>
      <c r="DC27" s="72"/>
      <c r="DD27" s="72"/>
      <c r="DE27" s="72"/>
      <c r="DF27" s="167"/>
      <c r="DG27" s="167"/>
      <c r="DH27" s="72"/>
      <c r="DI27" s="167"/>
      <c r="DJ27" s="167"/>
      <c r="DK27" s="167"/>
      <c r="DL27" s="167"/>
      <c r="DM27" s="167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0</v>
      </c>
      <c r="FC27">
        <f t="shared" si="21"/>
        <v>2040</v>
      </c>
      <c r="FD27" s="71" cm="1">
        <f t="array" ref="FD27">FD26*INDEX('2025 IRP Assumptions'!$E$275:$E$298,'Table 3 PV_.PX.WMV._.PTC.2032'!$B27-2023,1)/INDEX('2025 IRP Assumptions'!$E$275:$E$298,'Table 3 PV_.PX.WMV._.PTC.2032'!$B27-2023-1,1)</f>
        <v>22.214741347290545</v>
      </c>
      <c r="FE27" s="98">
        <f t="shared" si="24"/>
        <v>0</v>
      </c>
    </row>
    <row r="28" spans="2:161">
      <c r="B28" s="253">
        <f t="shared" si="22"/>
        <v>2041</v>
      </c>
      <c r="C28" s="8">
        <f t="shared" si="12"/>
        <v>0</v>
      </c>
      <c r="D28" s="254"/>
      <c r="E28" s="8">
        <f t="shared" ref="E28:E31" ca="1" si="26">SUMIF(INDIRECT("'Table 5'!$J$"&amp;$K$3&amp;":$J$"&amp;$K$4),B28,INDIRECT("'Table 5'!$c$"&amp;$K$3&amp;":$c$"&amp;$K$4))/SUMIF(INDIRECT("'Table 5'!$J$"&amp;$K$3&amp;":$J$"&amp;$K$4),B28,INDIRECT("'Table 5'!$f$"&amp;$K$3&amp;":$f$"&amp;$K$4))</f>
        <v>37.219893604906133</v>
      </c>
      <c r="F28" s="33"/>
      <c r="G28" s="8">
        <f t="shared" ref="G28:G31" ca="1" si="27">SUMIF(INDIRECT("'Table 5'!$J$"&amp;$K$3&amp;":$J$"&amp;$K$4),B28,INDIRECT("'Table 5'!$e$"&amp;$K$3&amp;":$e$"&amp;$K$4))/SUMIF(INDIRECT("'Table 5'!$J$"&amp;$K$3&amp;":$J$"&amp;$K$4),B28,INDIRECT("'Table 5'!$f$"&amp;$K$3&amp;":$f$"&amp;$K$4))</f>
        <v>37.219893604906133</v>
      </c>
      <c r="H28" s="33"/>
      <c r="I28" s="8"/>
      <c r="J28" s="8"/>
      <c r="K28" s="8"/>
      <c r="L28" s="8"/>
      <c r="M28" s="46"/>
      <c r="O28">
        <f t="shared" si="13"/>
        <v>2041</v>
      </c>
      <c r="P28">
        <v>0</v>
      </c>
      <c r="Q28">
        <v>0</v>
      </c>
      <c r="U28">
        <v>0</v>
      </c>
      <c r="Z28"/>
      <c r="AF28">
        <v>0</v>
      </c>
      <c r="AH28">
        <v>0</v>
      </c>
      <c r="AX28">
        <f t="shared" si="14"/>
        <v>0</v>
      </c>
      <c r="AY28">
        <f t="shared" si="15"/>
        <v>0</v>
      </c>
      <c r="BC28">
        <f t="shared" si="16"/>
        <v>0</v>
      </c>
      <c r="BN28">
        <f t="shared" si="17"/>
        <v>0</v>
      </c>
      <c r="BP28">
        <f t="shared" si="18"/>
        <v>0</v>
      </c>
      <c r="CG28" s="158">
        <f t="shared" si="19"/>
        <v>2041</v>
      </c>
      <c r="CH28" s="72">
        <f>INDEX(Table3Compare!$B$6:$H$32,MATCH($CG28,Table3Compare!$A$6:$A$32,0),MATCH(CH$9,Table3Compare!$B$5:$H$5,0))</f>
        <v>162.28242722052951</v>
      </c>
      <c r="CI28" s="72">
        <f>INDEX(Table3Compare!$B$6:$H$32,MATCH($CG28,Table3Compare!$A$6:$A$32,0),MATCH(CI$9,Table3Compare!$B$5:$H$5,0))</f>
        <v>159.72984793229006</v>
      </c>
      <c r="CJ28" s="72"/>
      <c r="CK28" s="72"/>
      <c r="CL28" s="72"/>
      <c r="CM28" s="72">
        <f>INDEX(Table3Compare!$B$6:$H$32,MATCH($CG28,Table3Compare!$A$6:$A$32,0),MATCH(CM$9,Table3Compare!$B$5:$H$5,0))</f>
        <v>192.53513212513292</v>
      </c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>
        <f>INDEX(Table3Compare!$B$6:$H$32,MATCH($CG28,Table3Compare!$A$6:$A$32,0),MATCH(CX$9,Table3Compare!$B$5:$H$5,0))</f>
        <v>148.62942598991503</v>
      </c>
      <c r="CY28" s="72"/>
      <c r="CZ28" s="72">
        <f>INDEX(Table3Compare!$B$6:$H$32,MATCH($CG28,Table3Compare!$A$6:$A$32,0),MATCH(CZ$9,Table3Compare!$B$5:$H$5,0))</f>
        <v>186.11600492931359</v>
      </c>
      <c r="DA28" s="72"/>
      <c r="DB28" s="72"/>
      <c r="DC28" s="72"/>
      <c r="DD28" s="72"/>
      <c r="DE28" s="72"/>
      <c r="DF28" s="167"/>
      <c r="DG28" s="167"/>
      <c r="DH28" s="72"/>
      <c r="DI28" s="167"/>
      <c r="DJ28" s="167"/>
      <c r="DK28" s="167"/>
      <c r="DL28" s="167"/>
      <c r="DM28" s="167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0</v>
      </c>
      <c r="FC28">
        <f t="shared" si="21"/>
        <v>2041</v>
      </c>
      <c r="FD28" s="71" cm="1">
        <f t="array" ref="FD28">FD27*INDEX('2025 IRP Assumptions'!$E$275:$E$298,'Table 3 PV_.PX.WMV._.PTC.2032'!$B28-2023,1)/INDEX('2025 IRP Assumptions'!$E$275:$E$298,'Table 3 PV_.PX.WMV._.PTC.2032'!$B28-2023-1,1)</f>
        <v>22.699022709492887</v>
      </c>
      <c r="FE28" s="98">
        <f t="shared" si="24"/>
        <v>0</v>
      </c>
    </row>
    <row r="29" spans="2:161">
      <c r="B29" s="253">
        <f t="shared" si="22"/>
        <v>2042</v>
      </c>
      <c r="C29" s="8">
        <f t="shared" si="12"/>
        <v>0</v>
      </c>
      <c r="D29" s="254"/>
      <c r="E29" s="8">
        <f t="shared" ca="1" si="26"/>
        <v>47.625037816234304</v>
      </c>
      <c r="F29" s="33"/>
      <c r="G29" s="8">
        <f t="shared" ca="1" si="27"/>
        <v>47.625037816234304</v>
      </c>
      <c r="H29" s="33"/>
      <c r="I29" s="8"/>
      <c r="J29" s="8"/>
      <c r="K29" s="8"/>
      <c r="L29" s="8"/>
      <c r="M29" s="98"/>
      <c r="O29">
        <f t="shared" si="13"/>
        <v>2042</v>
      </c>
      <c r="P29">
        <v>0</v>
      </c>
      <c r="Q29">
        <v>0</v>
      </c>
      <c r="U29">
        <v>0</v>
      </c>
      <c r="Z29"/>
      <c r="AF29">
        <v>0</v>
      </c>
      <c r="AH29">
        <v>0</v>
      </c>
      <c r="AX29">
        <f t="shared" si="14"/>
        <v>0</v>
      </c>
      <c r="AY29">
        <f t="shared" si="15"/>
        <v>0</v>
      </c>
      <c r="BC29">
        <f t="shared" si="16"/>
        <v>0</v>
      </c>
      <c r="BN29">
        <f t="shared" si="17"/>
        <v>0</v>
      </c>
      <c r="BP29">
        <f t="shared" si="18"/>
        <v>0</v>
      </c>
      <c r="CG29" s="158">
        <f t="shared" si="19"/>
        <v>2042</v>
      </c>
      <c r="CH29" s="72">
        <f>INDEX(Table3Compare!$B$6:$H$32,MATCH($CG29,Table3Compare!$A$6:$A$32,0),MATCH(CH$9,Table3Compare!$B$5:$H$5,0))</f>
        <v>165.82018414001064</v>
      </c>
      <c r="CI29" s="72">
        <f>INDEX(Table3Compare!$B$6:$H$32,MATCH($CG29,Table3Compare!$A$6:$A$32,0),MATCH(CI$9,Table3Compare!$B$5:$H$5,0))</f>
        <v>163.21195862319203</v>
      </c>
      <c r="CJ29" s="72"/>
      <c r="CK29" s="72"/>
      <c r="CL29" s="72"/>
      <c r="CM29" s="72">
        <f>INDEX(Table3Compare!$B$6:$H$32,MATCH($CG29,Table3Compare!$A$6:$A$32,0),MATCH(CM$9,Table3Compare!$B$5:$H$5,0))</f>
        <v>196.73239801266666</v>
      </c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>
        <f>INDEX(Table3Compare!$B$6:$H$32,MATCH($CG29,Table3Compare!$A$6:$A$32,0),MATCH(CX$9,Table3Compare!$B$5:$H$5,0))</f>
        <v>151.86954748205781</v>
      </c>
      <c r="CY29" s="72"/>
      <c r="CZ29" s="72">
        <f>INDEX(Table3Compare!$B$6:$H$32,MATCH($CG29,Table3Compare!$A$6:$A$32,0),MATCH(CZ$9,Table3Compare!$B$5:$H$5,0))</f>
        <v>190.17333384373819</v>
      </c>
      <c r="DA29" s="72"/>
      <c r="DB29" s="72"/>
      <c r="DC29" s="72"/>
      <c r="DD29" s="72"/>
      <c r="DE29" s="72"/>
      <c r="DF29" s="167"/>
      <c r="DG29" s="167"/>
      <c r="DH29" s="72"/>
      <c r="DI29" s="167"/>
      <c r="DJ29" s="167"/>
      <c r="DK29" s="167"/>
      <c r="DL29" s="167"/>
      <c r="DM29" s="167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0</v>
      </c>
      <c r="FC29">
        <f t="shared" si="21"/>
        <v>2042</v>
      </c>
      <c r="FD29" s="71" cm="1">
        <f t="array" ref="FD29">FD28*INDEX('2025 IRP Assumptions'!$E$275:$E$298,'Table 3 PV_.PX.WMV._.PTC.2032'!$B29-2023,1)/INDEX('2025 IRP Assumptions'!$E$275:$E$298,'Table 3 PV_.PX.WMV._.PTC.2032'!$B29-2023-1,1)</f>
        <v>23.193861411623729</v>
      </c>
      <c r="FE29" s="98">
        <f t="shared" si="24"/>
        <v>0</v>
      </c>
    </row>
    <row r="30" spans="2:161">
      <c r="B30" s="253">
        <f t="shared" si="22"/>
        <v>2043</v>
      </c>
      <c r="C30" s="8">
        <f t="shared" si="12"/>
        <v>0</v>
      </c>
      <c r="D30" s="254"/>
      <c r="E30" s="8">
        <f t="shared" ca="1" si="26"/>
        <v>49.452874315754116</v>
      </c>
      <c r="F30" s="33"/>
      <c r="G30" s="8">
        <f t="shared" ca="1" si="27"/>
        <v>49.452874315754116</v>
      </c>
      <c r="H30" s="33"/>
      <c r="I30" s="8"/>
      <c r="J30" s="8"/>
      <c r="K30" s="8"/>
      <c r="L30" s="8"/>
      <c r="M30" s="98"/>
      <c r="O30">
        <f t="shared" si="13"/>
        <v>2043</v>
      </c>
      <c r="P30">
        <v>0</v>
      </c>
      <c r="Q30">
        <v>0</v>
      </c>
      <c r="U30">
        <v>0</v>
      </c>
      <c r="Z30"/>
      <c r="AF30">
        <v>0</v>
      </c>
      <c r="AH30">
        <v>0</v>
      </c>
      <c r="AX30">
        <f t="shared" si="14"/>
        <v>0</v>
      </c>
      <c r="AY30">
        <f t="shared" si="15"/>
        <v>0</v>
      </c>
      <c r="BC30">
        <f t="shared" si="16"/>
        <v>0</v>
      </c>
      <c r="BN30">
        <f t="shared" si="17"/>
        <v>0</v>
      </c>
      <c r="BP30">
        <f t="shared" si="18"/>
        <v>0</v>
      </c>
      <c r="CG30" s="158">
        <f t="shared" si="19"/>
        <v>2043</v>
      </c>
      <c r="CH30" s="72">
        <f>INDEX(Table3Compare!$B$6:$H$32,MATCH($CG30,Table3Compare!$A$6:$A$32,0),MATCH(CH$9,Table3Compare!$B$5:$H$5,0))</f>
        <v>169.43506420586584</v>
      </c>
      <c r="CI30" s="72">
        <f>INDEX(Table3Compare!$B$6:$H$32,MATCH($CG30,Table3Compare!$A$6:$A$32,0),MATCH(CI$9,Table3Compare!$B$5:$H$5,0))</f>
        <v>166.7699793719689</v>
      </c>
      <c r="CJ30" s="72"/>
      <c r="CK30" s="72"/>
      <c r="CL30" s="72"/>
      <c r="CM30" s="72">
        <f>INDEX(Table3Compare!$B$6:$H$32,MATCH($CG30,Table3Compare!$A$6:$A$32,0),MATCH(CM$9,Table3Compare!$B$5:$H$5,0))</f>
        <v>201.02116435056558</v>
      </c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>
        <f>INDEX(Table3Compare!$B$6:$H$32,MATCH($CG30,Table3Compare!$A$6:$A$32,0),MATCH(CX$9,Table3Compare!$B$5:$H$5,0))</f>
        <v>155.18030366442821</v>
      </c>
      <c r="CY30" s="72"/>
      <c r="CZ30" s="72">
        <f>INDEX(Table3Compare!$B$6:$H$32,MATCH($CG30,Table3Compare!$A$6:$A$32,0),MATCH(CZ$9,Table3Compare!$B$5:$H$5,0))</f>
        <v>194.31911258071329</v>
      </c>
      <c r="DA30" s="72"/>
      <c r="DB30" s="72"/>
      <c r="DC30" s="72"/>
      <c r="DD30" s="72"/>
      <c r="DE30" s="72"/>
      <c r="DF30" s="167"/>
      <c r="DG30" s="167"/>
      <c r="DH30" s="72"/>
      <c r="DI30" s="167"/>
      <c r="DJ30" s="167"/>
      <c r="DK30" s="167"/>
      <c r="DL30" s="167"/>
      <c r="DM30" s="167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0</v>
      </c>
      <c r="FC30">
        <f t="shared" si="21"/>
        <v>2043</v>
      </c>
      <c r="FD30" s="71" cm="1">
        <f t="array" ref="FD30">FD29*INDEX('2025 IRP Assumptions'!$E$275:$E$298,'Table 3 PV_.PX.WMV._.PTC.2032'!$B30-2023,1)/INDEX('2025 IRP Assumptions'!$E$275:$E$298,'Table 3 PV_.PX.WMV._.PTC.2032'!$B30-2023-1,1)</f>
        <v>23.699487584629612</v>
      </c>
      <c r="FE30" s="98">
        <f t="shared" si="24"/>
        <v>0</v>
      </c>
    </row>
    <row r="31" spans="2:161">
      <c r="B31" s="253">
        <f t="shared" si="22"/>
        <v>2044</v>
      </c>
      <c r="C31" s="8">
        <f t="shared" si="12"/>
        <v>0</v>
      </c>
      <c r="D31" s="254"/>
      <c r="E31" s="8">
        <f t="shared" ca="1" si="26"/>
        <v>50.719104781075153</v>
      </c>
      <c r="F31" s="33"/>
      <c r="G31" s="8">
        <f t="shared" ca="1" si="27"/>
        <v>50.719104781075153</v>
      </c>
      <c r="H31" s="33"/>
      <c r="I31" s="8"/>
      <c r="J31" s="8"/>
      <c r="K31" s="8"/>
      <c r="L31" s="8"/>
      <c r="M31" s="98"/>
      <c r="O31">
        <f t="shared" si="13"/>
        <v>2044</v>
      </c>
      <c r="P31">
        <v>0</v>
      </c>
      <c r="Q31">
        <v>0</v>
      </c>
      <c r="U31">
        <v>0</v>
      </c>
      <c r="Z31"/>
      <c r="AF31">
        <v>0</v>
      </c>
      <c r="AH31">
        <v>0</v>
      </c>
      <c r="AX31">
        <f t="shared" si="14"/>
        <v>0</v>
      </c>
      <c r="AY31">
        <f t="shared" si="15"/>
        <v>0</v>
      </c>
      <c r="BC31">
        <f t="shared" si="16"/>
        <v>0</v>
      </c>
      <c r="BN31">
        <f t="shared" si="17"/>
        <v>0</v>
      </c>
      <c r="BP31">
        <f t="shared" si="18"/>
        <v>0</v>
      </c>
      <c r="CG31" s="158">
        <f t="shared" si="19"/>
        <v>2044</v>
      </c>
      <c r="CH31" s="72">
        <f>INDEX(Table3Compare!$B$6:$H$32,MATCH($CG31,Table3Compare!$A$6:$A$32,0),MATCH(CH$9,Table3Compare!$B$5:$H$5,0))</f>
        <v>173.12874856342106</v>
      </c>
      <c r="CI31" s="72">
        <f>INDEX(Table3Compare!$B$6:$H$32,MATCH($CG31,Table3Compare!$A$6:$A$32,0),MATCH(CI$9,Table3Compare!$B$5:$H$5,0))</f>
        <v>170.40556488080787</v>
      </c>
      <c r="CJ31" s="72"/>
      <c r="CK31" s="72"/>
      <c r="CL31" s="72"/>
      <c r="CM31" s="72">
        <f>INDEX(Table3Compare!$B$6:$H$32,MATCH($CG31,Table3Compare!$A$6:$A$32,0),MATCH(CM$9,Table3Compare!$B$5:$H$5,0))</f>
        <v>205.40342568342086</v>
      </c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>
        <f>INDEX(Table3Compare!$B$6:$H$32,MATCH($CG31,Table3Compare!$A$6:$A$32,0),MATCH(CX$9,Table3Compare!$B$5:$H$5,0))</f>
        <v>158.56323424572474</v>
      </c>
      <c r="CY31" s="72"/>
      <c r="CZ31" s="72">
        <f>INDEX(Table3Compare!$B$6:$H$32,MATCH($CG31,Table3Compare!$A$6:$A$32,0),MATCH(CZ$9,Table3Compare!$B$5:$H$5,0))</f>
        <v>198.55526918665237</v>
      </c>
      <c r="DA31" s="72"/>
      <c r="DB31" s="72"/>
      <c r="DC31" s="72"/>
      <c r="DD31" s="72"/>
      <c r="DE31" s="72"/>
      <c r="DF31" s="167"/>
      <c r="DG31" s="167"/>
      <c r="DH31" s="72"/>
      <c r="DI31" s="167"/>
      <c r="DJ31" s="167"/>
      <c r="DK31" s="167"/>
      <c r="DL31" s="167"/>
      <c r="DM31" s="167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0</v>
      </c>
      <c r="FC31">
        <f t="shared" si="21"/>
        <v>2044</v>
      </c>
      <c r="FD31" s="71" cm="1">
        <f t="array" ref="FD31">FD30*INDEX('2025 IRP Assumptions'!$E$275:$E$298,'Table 3 PV_.PX.WMV._.PTC.2032'!$B31-2023,1)/INDEX('2025 IRP Assumptions'!$E$275:$E$298,'Table 3 PV_.PX.WMV._.PTC.2032'!$B31-2023-1,1)</f>
        <v>24.216136424893708</v>
      </c>
      <c r="FE31" s="98">
        <f t="shared" ref="FE31:FE32" si="28">$FD$5*FD31/1000</f>
        <v>0</v>
      </c>
    </row>
    <row r="32" spans="2:161">
      <c r="B32" s="253">
        <f t="shared" si="22"/>
        <v>2045</v>
      </c>
      <c r="C32" s="8">
        <f t="shared" si="12"/>
        <v>0</v>
      </c>
      <c r="D32" s="254"/>
      <c r="E32" s="8">
        <f t="shared" ref="E32" ca="1" si="29">SUMIF(INDIRECT("'Table 5'!$J$"&amp;$K$3&amp;":$J$"&amp;$K$4),B32,INDIRECT("'Table 5'!$c$"&amp;$K$3&amp;":$c$"&amp;$K$4))/SUMIF(INDIRECT("'Table 5'!$J$"&amp;$K$3&amp;":$J$"&amp;$K$4),B32,INDIRECT("'Table 5'!$f$"&amp;$K$3&amp;":$f$"&amp;$K$4))</f>
        <v>52.227906499898793</v>
      </c>
      <c r="F32" s="33"/>
      <c r="G32" s="8">
        <f t="shared" ref="G32" ca="1" si="30">SUMIF(INDIRECT("'Table 5'!$J$"&amp;$K$3&amp;":$J$"&amp;$K$4),B32,INDIRECT("'Table 5'!$e$"&amp;$K$3&amp;":$e$"&amp;$K$4))/SUMIF(INDIRECT("'Table 5'!$J$"&amp;$K$3&amp;":$J$"&amp;$K$4),B32,INDIRECT("'Table 5'!$f$"&amp;$K$3&amp;":$f$"&amp;$K$4))</f>
        <v>52.227906499898793</v>
      </c>
      <c r="H32" s="33"/>
      <c r="I32" s="8"/>
      <c r="J32" s="8"/>
      <c r="K32" s="8"/>
      <c r="L32" s="8"/>
      <c r="M32" s="98"/>
      <c r="O32">
        <f t="shared" si="13"/>
        <v>2045</v>
      </c>
      <c r="P32">
        <v>0</v>
      </c>
      <c r="Q32">
        <v>0</v>
      </c>
      <c r="U32">
        <v>0</v>
      </c>
      <c r="Z32"/>
      <c r="AF32">
        <v>0</v>
      </c>
      <c r="AH32">
        <v>0</v>
      </c>
      <c r="AX32">
        <f t="shared" si="14"/>
        <v>0</v>
      </c>
      <c r="AY32">
        <f t="shared" si="15"/>
        <v>0</v>
      </c>
      <c r="BC32">
        <f t="shared" si="16"/>
        <v>0</v>
      </c>
      <c r="BN32">
        <f t="shared" si="17"/>
        <v>0</v>
      </c>
      <c r="BP32">
        <f t="shared" si="18"/>
        <v>0</v>
      </c>
      <c r="CG32" s="158">
        <f t="shared" si="19"/>
        <v>2045</v>
      </c>
      <c r="CH32" s="72">
        <f>INDEX(Table3Compare!$B$6:$H$32,MATCH($CG32,Table3Compare!$A$6:$A$32,0),MATCH(CH$9,Table3Compare!$B$5:$H$5,0))</f>
        <v>176.90295536187003</v>
      </c>
      <c r="CI32" s="72">
        <f>INDEX(Table3Compare!$B$6:$H$32,MATCH($CG32,Table3Compare!$A$6:$A$32,0),MATCH(CI$9,Table3Compare!$B$5:$H$5,0))</f>
        <v>174.12040627372122</v>
      </c>
      <c r="CJ32" s="72"/>
      <c r="CK32" s="72"/>
      <c r="CL32" s="72"/>
      <c r="CM32" s="72">
        <f>INDEX(Table3Compare!$B$6:$H$32,MATCH($CG32,Table3Compare!$A$6:$A$32,0),MATCH(CM$9,Table3Compare!$B$5:$H$5,0))</f>
        <v>209.88122045795592</v>
      </c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>
        <f>INDEX(Table3Compare!$B$6:$H$32,MATCH($CG32,Table3Compare!$A$6:$A$32,0),MATCH(CX$9,Table3Compare!$B$5:$H$5,0))</f>
        <v>162.01991282533709</v>
      </c>
      <c r="CY32" s="72"/>
      <c r="CZ32" s="72">
        <f>INDEX(Table3Compare!$B$6:$H$32,MATCH($CG32,Table3Compare!$A$6:$A$32,0),MATCH(CZ$9,Table3Compare!$B$5:$H$5,0))</f>
        <v>202.88377414640269</v>
      </c>
      <c r="DA32" s="72"/>
      <c r="DB32" s="72"/>
      <c r="DC32" s="72"/>
      <c r="DD32" s="72"/>
      <c r="DE32" s="72"/>
      <c r="DF32" s="167"/>
      <c r="DG32" s="167"/>
      <c r="DH32" s="72"/>
      <c r="DI32" s="167"/>
      <c r="DJ32" s="167"/>
      <c r="DK32" s="167"/>
      <c r="DL32" s="167"/>
      <c r="DM32" s="167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0</v>
      </c>
      <c r="FC32">
        <f t="shared" si="21"/>
        <v>2045</v>
      </c>
      <c r="FD32" s="71" cm="1">
        <f t="array" ref="FD32">FD31*INDEX('2025 IRP Assumptions'!$E$275:$E$298,'Table 3 PV_.PX.WMV._.PTC.2032'!$B32-2023,1)/INDEX('2025 IRP Assumptions'!$E$275:$E$298,'Table 3 PV_.PX.WMV._.PTC.2032'!$B32-2023-1,1)</f>
        <v>24.744048194235834</v>
      </c>
      <c r="FE32" s="98">
        <f t="shared" si="28"/>
        <v>0</v>
      </c>
    </row>
    <row r="33" spans="1:161" hidden="1">
      <c r="B33" s="253">
        <f t="shared" si="22"/>
        <v>2046</v>
      </c>
      <c r="C33" s="8" t="e">
        <f>(INDEX($FA:$FA,MATCH(B33,$O:$O,0),1)+INDEX($FE:$FE,MATCH(B33,$O:$O,0),1))*1000/Study_MW</f>
        <v>#N/A</v>
      </c>
      <c r="D33" s="254"/>
      <c r="E33" s="8" t="e">
        <f t="shared" ref="E33" ca="1" si="31">SUMIF(INDIRECT("'Table 5'!$J$"&amp;$K$3&amp;":$J$"&amp;$K$4),B33,INDIRECT("'Table 5'!$c$"&amp;$K$3&amp;":$c$"&amp;$K$4))/SUMIF(INDIRECT("'Table 5'!$J$"&amp;$K$3&amp;":$J$"&amp;$K$4),B33,INDIRECT("'Table 5'!$f$"&amp;$K$3&amp;":$f$"&amp;$K$4))</f>
        <v>#DIV/0!</v>
      </c>
      <c r="F33" s="33"/>
      <c r="G33" s="8" t="e">
        <f t="shared" ref="G33" ca="1" si="32">SUMIF(INDIRECT("'Table 5'!$J$"&amp;$K$3&amp;":$J$"&amp;$K$4),B33,INDIRECT("'Table 5'!$e$"&amp;$K$3&amp;":$e$"&amp;$K$4))/SUMIF(INDIRECT("'Table 5'!$J$"&amp;$K$3&amp;":$J$"&amp;$K$4),B33,INDIRECT("'Table 5'!$f$"&amp;$K$3&amp;":$f$"&amp;$K$4))</f>
        <v>#DIV/0!</v>
      </c>
      <c r="H33" s="33"/>
      <c r="I33" s="8"/>
      <c r="J33" s="98"/>
      <c r="K33" s="8"/>
      <c r="L33" s="8"/>
      <c r="M33" s="98"/>
      <c r="O33">
        <f t="shared" ref="O33" si="33">B33</f>
        <v>2046</v>
      </c>
      <c r="P33" t="e">
        <v>#N/A</v>
      </c>
      <c r="Q33" t="e">
        <v>#N/A</v>
      </c>
      <c r="U33" t="e">
        <v>#N/A</v>
      </c>
      <c r="Z33"/>
      <c r="AF33" t="e">
        <v>#N/A</v>
      </c>
      <c r="AH33" t="e">
        <v>#N/A</v>
      </c>
      <c r="AX33" t="e">
        <f t="shared" si="14"/>
        <v>#N/A</v>
      </c>
      <c r="AY33" t="e">
        <f t="shared" si="15"/>
        <v>#N/A</v>
      </c>
      <c r="BC33" t="e">
        <f t="shared" si="16"/>
        <v>#N/A</v>
      </c>
      <c r="BN33" t="e">
        <f t="shared" si="17"/>
        <v>#N/A</v>
      </c>
      <c r="BP33" t="e">
        <f t="shared" si="18"/>
        <v>#N/A</v>
      </c>
      <c r="CG33" s="158">
        <f t="shared" si="19"/>
        <v>2046</v>
      </c>
      <c r="CH33" s="72">
        <f>INDEX(Table3Compare!$B$6:$H$32,MATCH($CG33,Table3Compare!$A$6:$A$32,0),MATCH(CH$9,Table3Compare!$B$5:$H$5,0))</f>
        <v>180.7594397542743</v>
      </c>
      <c r="CI33" s="72">
        <f>INDEX(Table3Compare!$B$6:$H$32,MATCH($CG33,Table3Compare!$A$6:$A$32,0),MATCH(CI$9,Table3Compare!$B$5:$H$5,0))</f>
        <v>177.91623109654628</v>
      </c>
      <c r="CJ33" s="72"/>
      <c r="CK33" s="72"/>
      <c r="CL33" s="72"/>
      <c r="CM33" s="72">
        <f>INDEX(Table3Compare!$B$6:$H$32,MATCH($CG33,Table3Compare!$A$6:$A$32,0),MATCH(CM$9,Table3Compare!$B$5:$H$5,0))</f>
        <v>214.45663102302626</v>
      </c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>
        <f>INDEX(Table3Compare!$B$6:$H$32,MATCH($CG33,Table3Compare!$A$6:$A$32,0),MATCH(CX$9,Table3Compare!$B$5:$H$5,0))</f>
        <v>165.55194689334618</v>
      </c>
      <c r="CY33" s="72"/>
      <c r="CZ33" s="72">
        <f>INDEX(Table3Compare!$B$6:$H$32,MATCH($CG33,Table3Compare!$A$6:$A$32,0),MATCH(CZ$9,Table3Compare!$B$5:$H$5,0))</f>
        <v>207.30664038324522</v>
      </c>
      <c r="DA33" s="72"/>
      <c r="DB33" s="72"/>
      <c r="DC33" s="72"/>
      <c r="DD33" s="72"/>
      <c r="DE33" s="72"/>
      <c r="DF33" s="167"/>
      <c r="DG33" s="167"/>
      <c r="DH33" s="72"/>
      <c r="DI33" s="167"/>
      <c r="DJ33" s="167"/>
      <c r="DK33" s="167"/>
      <c r="DL33" s="167"/>
      <c r="DM33" s="167"/>
      <c r="DR33" t="e">
        <f>SUM(AX$13:AX33)*CH33/1000</f>
        <v>#N/A</v>
      </c>
      <c r="DS33" t="e">
        <f>SUM(AY$13:AY33)*CI33/1000</f>
        <v>#N/A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 t="e">
        <f>SUM(BC$13:BC33)*CM33/1000</f>
        <v>#N/A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 t="e">
        <f>SUM(BN$13:BN33)*CX33/1000</f>
        <v>#N/A</v>
      </c>
      <c r="EI33">
        <f>SUM(BO$13:BO33)*CY33/1000</f>
        <v>0</v>
      </c>
      <c r="EJ33" t="e">
        <f>SUM(BP$13:BP33)*CZ33/1000</f>
        <v>#N/A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 t="e">
        <f t="shared" si="20"/>
        <v>#N/A</v>
      </c>
      <c r="FC33">
        <f t="shared" si="21"/>
        <v>2046</v>
      </c>
      <c r="FD33" s="71" cm="1">
        <f t="array" ref="FD33">FD32*INDEX('2025 IRP Assumptions'!$E$275:$E$298,'Table 3 PV_.PX.WMV._.PTC.2032'!$B33-2023,1)/INDEX('2025 IRP Assumptions'!$E$275:$E$298,'Table 3 PV_.PX.WMV._.PTC.2032'!$B33-2023-1,1)</f>
        <v>25.283468435462936</v>
      </c>
      <c r="FE33" s="98">
        <f t="shared" ref="FE33:FE35" si="34">$FD$5*FD33/1000</f>
        <v>0</v>
      </c>
    </row>
    <row r="34" spans="1:161" hidden="1">
      <c r="B34" s="253">
        <f t="shared" si="22"/>
        <v>2047</v>
      </c>
      <c r="C34" s="8"/>
      <c r="D34" s="254"/>
      <c r="E34" s="8"/>
      <c r="F34" s="33"/>
      <c r="G34" s="8"/>
      <c r="H34" s="33"/>
      <c r="I34" s="8"/>
      <c r="J34" s="98"/>
      <c r="K34" s="8"/>
      <c r="L34" s="8"/>
      <c r="M34" s="98"/>
      <c r="O34">
        <f t="shared" ref="O34:O39" si="35">B34</f>
        <v>2047</v>
      </c>
      <c r="P34" t="e">
        <v>#N/A</v>
      </c>
      <c r="Q34" t="e">
        <v>#N/A</v>
      </c>
      <c r="U34" t="e">
        <v>#N/A</v>
      </c>
      <c r="Z34"/>
      <c r="AF34" t="e">
        <v>#N/A</v>
      </c>
      <c r="AH34" t="e">
        <v>#N/A</v>
      </c>
      <c r="AX34" t="e">
        <f t="shared" si="14"/>
        <v>#N/A</v>
      </c>
      <c r="AY34" t="e">
        <f t="shared" si="15"/>
        <v>#N/A</v>
      </c>
      <c r="BC34" t="e">
        <f t="shared" si="16"/>
        <v>#N/A</v>
      </c>
      <c r="BN34" t="e">
        <f t="shared" si="17"/>
        <v>#N/A</v>
      </c>
      <c r="BP34" t="e">
        <f t="shared" si="18"/>
        <v>#N/A</v>
      </c>
      <c r="CG34" s="158">
        <f t="shared" si="19"/>
        <v>2047</v>
      </c>
      <c r="CH34" s="72">
        <f>INDEX(Table3Compare!$B$6:$H$32,MATCH($CG34,Table3Compare!$A$6:$A$32,0),MATCH(CH$9,Table3Compare!$B$5:$H$5,0))</f>
        <v>184.69999547219604</v>
      </c>
      <c r="CI34" s="72">
        <f>INDEX(Table3Compare!$B$6:$H$32,MATCH($CG34,Table3Compare!$A$6:$A$32,0),MATCH(CI$9,Table3Compare!$B$5:$H$5,0))</f>
        <v>181.79480486681047</v>
      </c>
      <c r="CJ34" s="72"/>
      <c r="CK34" s="72"/>
      <c r="CL34" s="72"/>
      <c r="CM34" s="72">
        <f>INDEX(Table3Compare!$B$6:$H$32,MATCH($CG34,Table3Compare!$A$6:$A$32,0),MATCH(CM$9,Table3Compare!$B$5:$H$5,0))</f>
        <v>219.13178549779573</v>
      </c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>
        <f>INDEX(Table3Compare!$B$6:$H$32,MATCH($CG34,Table3Compare!$A$6:$A$32,0),MATCH(CX$9,Table3Compare!$B$5:$H$5,0))</f>
        <v>169.16097927268129</v>
      </c>
      <c r="CY34" s="72"/>
      <c r="CZ34" s="72">
        <f>INDEX(Table3Compare!$B$6:$H$32,MATCH($CG34,Table3Compare!$A$6:$A$32,0),MATCH(CZ$9,Table3Compare!$B$5:$H$5,0))</f>
        <v>211.82592506478574</v>
      </c>
      <c r="DA34" s="72"/>
      <c r="DB34" s="72"/>
      <c r="DC34" s="72"/>
      <c r="DD34" s="72"/>
      <c r="DE34" s="72"/>
      <c r="DF34" s="167"/>
      <c r="DG34" s="167"/>
      <c r="DH34" s="72"/>
      <c r="DI34" s="167"/>
      <c r="DJ34" s="167"/>
      <c r="DK34" s="167"/>
      <c r="DL34" s="167"/>
      <c r="DM34" s="167"/>
      <c r="DR34" t="e">
        <f>SUM(AX$13:AX34)*CH34/1000</f>
        <v>#N/A</v>
      </c>
      <c r="DS34" t="e">
        <f>SUM(AY$13:AY34)*CI34/1000</f>
        <v>#N/A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 t="e">
        <f>SUM(BC$13:BC34)*CM34/1000</f>
        <v>#N/A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 t="e">
        <f>SUM(BN$13:BN34)*CX34/1000</f>
        <v>#N/A</v>
      </c>
      <c r="EI34">
        <f>SUM(BO$13:BO34)*CY34/1000</f>
        <v>0</v>
      </c>
      <c r="EJ34" t="e">
        <f>SUM(BP$13:BP34)*CZ34/1000</f>
        <v>#N/A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 t="e">
        <f t="shared" si="20"/>
        <v>#N/A</v>
      </c>
      <c r="FC34">
        <f t="shared" si="21"/>
        <v>2047</v>
      </c>
      <c r="FD34" s="71" t="e" cm="1">
        <f t="array" ref="FD34">FD33*INDEX('2025 IRP Assumptions'!$E$275:$E$298,'Table 3 PV_.PX.WMV._.PTC.2032'!$B34-2023,1)/INDEX('2025 IRP Assumptions'!$E$275:$E$298,'Table 3 PV_.PX.WMV._.PTC.2032'!$B34-2023-1,1)</f>
        <v>#REF!</v>
      </c>
      <c r="FE34" s="98" t="e">
        <f t="shared" si="34"/>
        <v>#REF!</v>
      </c>
    </row>
    <row r="35" spans="1:161" hidden="1">
      <c r="B35" s="253">
        <f t="shared" si="22"/>
        <v>2048</v>
      </c>
      <c r="C35" s="8"/>
      <c r="D35" s="254"/>
      <c r="E35" s="8"/>
      <c r="F35" s="33"/>
      <c r="G35" s="8"/>
      <c r="H35" s="33"/>
      <c r="I35" s="8"/>
      <c r="J35" s="98"/>
      <c r="K35" s="8"/>
      <c r="L35" s="8"/>
      <c r="M35" s="98"/>
      <c r="O35">
        <f t="shared" si="35"/>
        <v>2048</v>
      </c>
      <c r="P35" t="e">
        <v>#N/A</v>
      </c>
      <c r="Q35" t="e">
        <v>#N/A</v>
      </c>
      <c r="U35" t="e">
        <v>#N/A</v>
      </c>
      <c r="Z35"/>
      <c r="AF35" t="e">
        <v>#N/A</v>
      </c>
      <c r="AH35" t="e">
        <v>#N/A</v>
      </c>
      <c r="AX35" t="e">
        <f t="shared" si="14"/>
        <v>#N/A</v>
      </c>
      <c r="AY35" t="e">
        <f t="shared" si="15"/>
        <v>#N/A</v>
      </c>
      <c r="BC35" t="e">
        <f t="shared" si="16"/>
        <v>#N/A</v>
      </c>
      <c r="BN35" t="e">
        <f t="shared" si="17"/>
        <v>#N/A</v>
      </c>
      <c r="BP35" t="e">
        <f t="shared" si="18"/>
        <v>#N/A</v>
      </c>
      <c r="CG35" s="158">
        <f t="shared" si="19"/>
        <v>2048</v>
      </c>
      <c r="CH35" s="72">
        <f>INDEX(Table3Compare!$B$6:$H$32,MATCH($CG35,Table3Compare!$A$6:$A$32,0),MATCH(CH$9,Table3Compare!$B$5:$H$5,0))</f>
        <v>188.72645530327031</v>
      </c>
      <c r="CI35" s="72">
        <f>INDEX(Table3Compare!$B$6:$H$32,MATCH($CG35,Table3Compare!$A$6:$A$32,0),MATCH(CI$9,Table3Compare!$B$5:$H$5,0))</f>
        <v>185.75793154379184</v>
      </c>
      <c r="CJ35" s="72"/>
      <c r="CK35" s="72"/>
      <c r="CL35" s="72"/>
      <c r="CM35" s="72">
        <f>INDEX(Table3Compare!$B$6:$H$32,MATCH($CG35,Table3Compare!$A$6:$A$32,0),MATCH(CM$9,Table3Compare!$B$5:$H$5,0))</f>
        <v>223.90885833833772</v>
      </c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>
        <f>INDEX(Table3Compare!$B$6:$H$32,MATCH($CG35,Table3Compare!$A$6:$A$32,0),MATCH(CX$9,Table3Compare!$B$5:$H$5,0))</f>
        <v>172.84868855651376</v>
      </c>
      <c r="CY35" s="72"/>
      <c r="CZ35" s="72">
        <f>INDEX(Table3Compare!$B$6:$H$32,MATCH($CG35,Table3Compare!$A$6:$A$32,0),MATCH(CZ$9,Table3Compare!$B$5:$H$5,0))</f>
        <v>216.44373015066566</v>
      </c>
      <c r="DA35" s="72"/>
      <c r="DB35" s="72"/>
      <c r="DC35" s="72"/>
      <c r="DD35" s="72"/>
      <c r="DE35" s="72"/>
      <c r="DF35" s="167"/>
      <c r="DG35" s="167"/>
      <c r="DH35" s="72"/>
      <c r="DI35" s="167"/>
      <c r="DJ35" s="167"/>
      <c r="DK35" s="167"/>
      <c r="DL35" s="167"/>
      <c r="DM35" s="167"/>
      <c r="DR35" t="e">
        <f>SUM(AX$13:AX35)*CH35/1000</f>
        <v>#N/A</v>
      </c>
      <c r="DS35" t="e">
        <f>SUM(AY$13:AY35)*CI35/1000</f>
        <v>#N/A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 t="e">
        <f>SUM(BC$13:BC35)*CM35/1000</f>
        <v>#N/A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 t="e">
        <f>SUM(BN$13:BN35)*CX35/1000</f>
        <v>#N/A</v>
      </c>
      <c r="EI35">
        <f>SUM(BO$13:BO35)*CY35/1000</f>
        <v>0</v>
      </c>
      <c r="EJ35" t="e">
        <f>SUM(BP$13:BP35)*CZ35/1000</f>
        <v>#N/A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 t="e">
        <f t="shared" si="20"/>
        <v>#N/A</v>
      </c>
      <c r="FC35">
        <f t="shared" si="21"/>
        <v>2048</v>
      </c>
      <c r="FD35" s="71" t="e" cm="1">
        <f t="array" ref="FD35">FD34*INDEX('2025 IRP Assumptions'!$E$275:$E$298,'Table 3 PV_.PX.WMV._.PTC.2032'!$B35-2023,1)/INDEX('2025 IRP Assumptions'!$E$275:$E$298,'Table 3 PV_.PX.WMV._.PTC.2032'!$B35-2023-1,1)</f>
        <v>#REF!</v>
      </c>
      <c r="FE35" s="98" t="e">
        <f t="shared" si="34"/>
        <v>#REF!</v>
      </c>
    </row>
    <row r="36" spans="1:161" hidden="1">
      <c r="B36" s="253">
        <f t="shared" si="22"/>
        <v>2049</v>
      </c>
      <c r="C36" s="8"/>
      <c r="D36" s="254"/>
      <c r="E36" s="8"/>
      <c r="F36" s="33"/>
      <c r="G36" s="8"/>
      <c r="H36" s="33"/>
      <c r="J36" s="98"/>
      <c r="K36" s="8"/>
      <c r="L36" s="8"/>
      <c r="O36">
        <f t="shared" si="35"/>
        <v>2049</v>
      </c>
      <c r="P36" t="e">
        <v>#N/A</v>
      </c>
      <c r="Q36" t="e">
        <v>#N/A</v>
      </c>
      <c r="U36" t="e">
        <v>#N/A</v>
      </c>
      <c r="Z36"/>
      <c r="AF36" t="e">
        <v>#N/A</v>
      </c>
      <c r="AH36" t="e">
        <v>#N/A</v>
      </c>
      <c r="CG36" s="158">
        <f t="shared" si="19"/>
        <v>2049</v>
      </c>
      <c r="CH36" s="72">
        <f>INDEX(Table3Compare!$B$6:$H$32,MATCH($CG36,Table3Compare!$A$6:$A$32,0),MATCH(CH$9,Table3Compare!$B$5:$H$5,0))</f>
        <v>192.84069195713124</v>
      </c>
      <c r="CI36" s="72">
        <f>INDEX(Table3Compare!$B$6:$H$32,MATCH($CG36,Table3Compare!$A$6:$A$32,0),MATCH(CI$9,Table3Compare!$B$5:$H$5,0))</f>
        <v>189.80745438082474</v>
      </c>
      <c r="CJ36" s="72"/>
      <c r="CK36" s="72"/>
      <c r="CL36" s="72"/>
      <c r="CM36" s="72">
        <f>INDEX(Table3Compare!$B$6:$H$32,MATCH($CG36,Table3Compare!$A$6:$A$32,0),MATCH(CM$9,Table3Compare!$B$5:$H$5,0))</f>
        <v>228.79007136498743</v>
      </c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>
        <f>INDEX(Table3Compare!$B$6:$H$32,MATCH($CG36,Table3Compare!$A$6:$A$32,0),MATCH(CX$9,Table3Compare!$B$5:$H$5,0))</f>
        <v>176.61678990133183</v>
      </c>
      <c r="CY36" s="72"/>
      <c r="CZ36" s="72">
        <f>INDEX(Table3Compare!$B$6:$H$32,MATCH($CG36,Table3Compare!$A$6:$A$32,0),MATCH(CZ$9,Table3Compare!$B$5:$H$5,0))</f>
        <v>221.1622033856622</v>
      </c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FD36" s="46"/>
      <c r="FE36" s="98"/>
    </row>
    <row r="37" spans="1:161" hidden="1">
      <c r="B37" s="253">
        <f t="shared" si="22"/>
        <v>2050</v>
      </c>
      <c r="C37" s="8"/>
      <c r="D37" s="254"/>
      <c r="E37" s="8"/>
      <c r="F37" s="33"/>
      <c r="G37" s="8"/>
      <c r="H37" s="33"/>
      <c r="J37" s="98"/>
      <c r="K37" s="8"/>
      <c r="L37" s="8"/>
      <c r="O37">
        <f t="shared" si="35"/>
        <v>2050</v>
      </c>
      <c r="P37" t="e">
        <v>#N/A</v>
      </c>
      <c r="Q37" t="e">
        <v>#N/A</v>
      </c>
      <c r="U37" t="e">
        <v>#N/A</v>
      </c>
      <c r="Z37"/>
      <c r="AF37" t="e">
        <v>#N/A</v>
      </c>
      <c r="AH37" t="e">
        <v>#N/A</v>
      </c>
      <c r="CG37" s="158">
        <f t="shared" si="19"/>
        <v>2050</v>
      </c>
      <c r="CH37" s="72">
        <f>INDEX(Table3Compare!$B$6:$H$32,MATCH($CG37,Table3Compare!$A$6:$A$32,0),MATCH(CH$9,Table3Compare!$B$5:$H$5,0))</f>
        <v>197.04461896848215</v>
      </c>
      <c r="CI37" s="72">
        <f>INDEX(Table3Compare!$B$6:$H$32,MATCH($CG37,Table3Compare!$A$6:$A$32,0),MATCH(CI$9,Table3Compare!$B$5:$H$5,0))</f>
        <v>193.94525681416536</v>
      </c>
      <c r="CJ37" s="72"/>
      <c r="CK37" s="72"/>
      <c r="CL37" s="72"/>
      <c r="CM37" s="72">
        <f>INDEX(Table3Compare!$B$6:$H$32,MATCH($CG37,Table3Compare!$A$6:$A$32,0),MATCH(CM$9,Table3Compare!$B$5:$H$5,0))</f>
        <v>233.77769483376233</v>
      </c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>
        <f>INDEX(Table3Compare!$B$6:$H$32,MATCH($CG37,Table3Compare!$A$6:$A$32,0),MATCH(CX$9,Table3Compare!$B$5:$H$5,0))</f>
        <v>180.46703585403435</v>
      </c>
      <c r="CY37" s="72"/>
      <c r="CZ37" s="72">
        <f>INDEX(Table3Compare!$B$6:$H$32,MATCH($CG37,Table3Compare!$A$6:$A$32,0),MATCH(CZ$9,Table3Compare!$B$5:$H$5,0))</f>
        <v>225.98353933538777</v>
      </c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FD37" s="46"/>
      <c r="FE37" s="98"/>
    </row>
    <row r="38" spans="1:161" hidden="1">
      <c r="B38" s="253">
        <f t="shared" si="22"/>
        <v>2051</v>
      </c>
      <c r="C38" s="8"/>
      <c r="D38" s="254"/>
      <c r="E38" s="8"/>
      <c r="F38" s="33"/>
      <c r="G38" s="8"/>
      <c r="H38" s="33"/>
      <c r="J38" s="98"/>
      <c r="K38" s="8"/>
      <c r="L38" s="8"/>
      <c r="O38">
        <f t="shared" si="35"/>
        <v>2051</v>
      </c>
      <c r="P38" t="e">
        <v>#N/A</v>
      </c>
      <c r="Q38" t="e">
        <v>#N/A</v>
      </c>
      <c r="U38" t="e">
        <v>#N/A</v>
      </c>
      <c r="Z38"/>
      <c r="AF38" t="e">
        <v>#N/A</v>
      </c>
      <c r="AH38" t="e">
        <v>#N/A</v>
      </c>
      <c r="CG38" s="158">
        <f t="shared" si="19"/>
        <v>2051</v>
      </c>
      <c r="CH38" s="72" t="e">
        <f>INDEX(Table3Compare!$B$6:$H$32,MATCH($CG38,Table3Compare!$A$6:$A$32,0),MATCH(CH$9,Table3Compare!$B$5:$H$5,0))</f>
        <v>#N/A</v>
      </c>
      <c r="CI38" s="72" t="e">
        <f>INDEX(Table3Compare!$B$6:$H$32,MATCH($CG38,Table3Compare!$A$6:$A$32,0),MATCH(CI$9,Table3Compare!$B$5:$H$5,0))</f>
        <v>#N/A</v>
      </c>
      <c r="CJ38" s="72"/>
      <c r="CK38" s="72"/>
      <c r="CL38" s="72"/>
      <c r="CM38" s="72" t="e">
        <f>INDEX(Table3Compare!$B$6:$H$32,MATCH($CG38,Table3Compare!$A$6:$A$32,0),MATCH(CM$9,Table3Compare!$B$5:$H$5,0))</f>
        <v>#N/A</v>
      </c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 t="e">
        <f>INDEX(Table3Compare!$B$6:$H$32,MATCH($CG38,Table3Compare!$A$6:$A$32,0),MATCH(CX$9,Table3Compare!$B$5:$H$5,0))</f>
        <v>#N/A</v>
      </c>
      <c r="CY38" s="72"/>
      <c r="CZ38" s="72" t="e">
        <f>INDEX(Table3Compare!$B$6:$H$32,MATCH($CG38,Table3Compare!$A$6:$A$32,0),MATCH(CZ$9,Table3Compare!$B$5:$H$5,0))</f>
        <v>#N/A</v>
      </c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FD38" s="46"/>
      <c r="FE38" s="98"/>
    </row>
    <row r="39" spans="1:161" hidden="1">
      <c r="B39" s="253">
        <f t="shared" si="22"/>
        <v>2052</v>
      </c>
      <c r="C39" s="8"/>
      <c r="D39" s="254"/>
      <c r="E39" s="8"/>
      <c r="F39" s="8"/>
      <c r="G39" s="8"/>
      <c r="H39" s="8"/>
      <c r="I39" s="8"/>
      <c r="J39" s="8"/>
      <c r="K39" s="8"/>
      <c r="L39" s="8"/>
      <c r="O39">
        <f t="shared" si="35"/>
        <v>2052</v>
      </c>
      <c r="P39" t="e">
        <v>#N/A</v>
      </c>
      <c r="Q39" t="e">
        <v>#N/A</v>
      </c>
      <c r="U39" t="e">
        <v>#N/A</v>
      </c>
      <c r="Z39"/>
      <c r="AF39" t="e">
        <v>#N/A</v>
      </c>
      <c r="AH39" t="e">
        <v>#N/A</v>
      </c>
      <c r="CG39" s="158">
        <f t="shared" si="19"/>
        <v>2052</v>
      </c>
      <c r="CH39" s="72" t="e">
        <f>INDEX(Table3Compare!$B$6:$H$32,MATCH($CG39,Table3Compare!$A$6:$A$32,0),MATCH(CH$9,Table3Compare!$B$5:$H$5,0))</f>
        <v>#N/A</v>
      </c>
      <c r="CI39" s="72" t="e">
        <f>INDEX(Table3Compare!$B$6:$H$32,MATCH($CG39,Table3Compare!$A$6:$A$32,0),MATCH(CI$9,Table3Compare!$B$5:$H$5,0))</f>
        <v>#N/A</v>
      </c>
      <c r="CJ39" s="72"/>
      <c r="CK39" s="72"/>
      <c r="CL39" s="72"/>
      <c r="CM39" s="72" t="e">
        <f>INDEX(Table3Compare!$B$6:$H$32,MATCH($CG39,Table3Compare!$A$6:$A$32,0),MATCH(CM$9,Table3Compare!$B$5:$H$5,0))</f>
        <v>#N/A</v>
      </c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 t="e">
        <f>INDEX(Table3Compare!$B$6:$H$32,MATCH($CG39,Table3Compare!$A$6:$A$32,0),MATCH(CX$9,Table3Compare!$B$5:$H$5,0))</f>
        <v>#N/A</v>
      </c>
      <c r="CY39" s="72"/>
      <c r="CZ39" s="72" t="e">
        <f>INDEX(Table3Compare!$B$6:$H$32,MATCH($CG39,Table3Compare!$A$6:$A$32,0),MATCH(CZ$9,Table3Compare!$B$5:$H$5,0))</f>
        <v>#N/A</v>
      </c>
      <c r="DA39" s="72"/>
      <c r="DB39" s="72"/>
      <c r="DC39" s="72"/>
      <c r="DD39" s="72"/>
      <c r="DE39" s="72"/>
      <c r="FD39" s="46"/>
      <c r="FE39" s="98"/>
    </row>
    <row r="40" spans="1:161" ht="12" customHeight="1">
      <c r="B40" s="253"/>
      <c r="C40" s="8"/>
      <c r="D40" s="254"/>
      <c r="E40" s="8"/>
      <c r="F40" s="8"/>
      <c r="G40" s="8"/>
      <c r="H40" s="8"/>
      <c r="I40" s="8"/>
      <c r="J40" s="8"/>
      <c r="K40" s="8"/>
      <c r="L40" s="8"/>
      <c r="N40" t="s">
        <v>81</v>
      </c>
      <c r="P40">
        <v>2028</v>
      </c>
      <c r="Q40">
        <v>2029</v>
      </c>
      <c r="U40">
        <v>2032</v>
      </c>
      <c r="Z40"/>
      <c r="AF40">
        <v>2032</v>
      </c>
      <c r="AH40">
        <v>2036</v>
      </c>
    </row>
    <row r="41" spans="1:161">
      <c r="A41" s="344"/>
      <c r="B41" s="344"/>
      <c r="D41" s="8"/>
      <c r="F41" s="33"/>
      <c r="H41" s="33"/>
      <c r="I41"/>
      <c r="K41" s="8"/>
      <c r="L41" s="8"/>
      <c r="N41" t="s">
        <v>93</v>
      </c>
      <c r="P41" s="110">
        <v>0</v>
      </c>
      <c r="Q41" s="110">
        <v>0</v>
      </c>
      <c r="R41" s="110"/>
      <c r="S41" s="110"/>
      <c r="T41" s="110"/>
      <c r="U41" s="110">
        <v>0</v>
      </c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>
        <v>0</v>
      </c>
      <c r="AG41" s="110"/>
      <c r="AH41" s="110">
        <v>0</v>
      </c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</row>
    <row r="42" spans="1:161">
      <c r="A42" s="101"/>
      <c r="B42" s="45"/>
      <c r="I42" t="s">
        <v>263</v>
      </c>
      <c r="K42" s="8"/>
      <c r="L42" s="8"/>
      <c r="P42" s="95"/>
      <c r="Q42" s="95"/>
      <c r="R42" s="95"/>
      <c r="W42" s="110"/>
      <c r="X42" s="110"/>
      <c r="Y42" s="110"/>
      <c r="Z42" s="250"/>
      <c r="AA42" s="110"/>
      <c r="AB42" s="110"/>
      <c r="AC42" s="110"/>
      <c r="AD42" s="110"/>
      <c r="AE42" s="110"/>
      <c r="AF42" s="110"/>
      <c r="AG42" s="110"/>
      <c r="AH42" s="110"/>
      <c r="AI42" s="110"/>
      <c r="AJ42" s="110"/>
      <c r="AK42" s="110"/>
      <c r="AL42" s="110"/>
      <c r="AM42" s="110"/>
      <c r="AN42" s="110"/>
      <c r="AO42" s="110"/>
      <c r="AP42" s="110"/>
      <c r="AQ42" s="110"/>
      <c r="AR42" s="110"/>
      <c r="AS42" s="110"/>
      <c r="AT42" s="110"/>
      <c r="AU42" s="110"/>
      <c r="AV42" s="110"/>
      <c r="AW42" s="110"/>
    </row>
    <row r="43" spans="1:161">
      <c r="B43" s="40"/>
      <c r="C43" s="8"/>
      <c r="D43" s="8"/>
      <c r="H43" s="33"/>
      <c r="I43" s="58">
        <v>6.3799999999999996E-2</v>
      </c>
    </row>
    <row r="44" spans="1:161">
      <c r="B44" s="40"/>
      <c r="E44" s="8"/>
      <c r="G44" s="102"/>
      <c r="H44" s="33"/>
    </row>
    <row r="45" spans="1:161">
      <c r="A45" s="345"/>
      <c r="B45" s="345"/>
      <c r="E45" s="8"/>
      <c r="G45" s="102"/>
      <c r="H45" s="33"/>
      <c r="I45" s="3" t="s">
        <v>264</v>
      </c>
      <c r="J45" s="278">
        <v>2.18E-2</v>
      </c>
    </row>
    <row r="46" spans="1:161" ht="13.7" customHeight="1">
      <c r="A46" s="45"/>
      <c r="B46" s="45"/>
      <c r="H46" s="33"/>
      <c r="I46"/>
    </row>
    <row r="47" spans="1:161" ht="21" customHeight="1">
      <c r="A47" s="345" t="str">
        <f>'Table 5'!A10</f>
        <v>15 Year Starting 2026</v>
      </c>
      <c r="B47" s="345"/>
      <c r="E47" s="8"/>
      <c r="G47" s="57"/>
      <c r="H47" s="33"/>
      <c r="I47"/>
    </row>
    <row r="48" spans="1:161">
      <c r="B48" s="45" t="str">
        <f>" Levelized Prices (Nominal) @ "&amp;TEXT($I$43,"0.00%")&amp;" Discount Rate (1) (3) "</f>
        <v xml:space="preserve"> Levelized Prices (Nominal) @ 6.38% Discount Rate (1) (3) </v>
      </c>
      <c r="H48" s="33"/>
      <c r="I48"/>
      <c r="M48" s="59"/>
    </row>
    <row r="49" spans="1:13">
      <c r="B49" s="40" t="s">
        <v>8</v>
      </c>
      <c r="C49" s="8">
        <f ca="1">'Table 5'!$D$10*(Study_CF*8.76)/'Table 5'!$F$10</f>
        <v>0</v>
      </c>
      <c r="D49" s="8"/>
      <c r="H49" s="33"/>
      <c r="I49"/>
    </row>
    <row r="50" spans="1:13">
      <c r="B50" s="40" t="s">
        <v>31</v>
      </c>
      <c r="E50" s="8">
        <f ca="1">'Table 5'!$C$10/'Table 5'!$F$10</f>
        <v>32.333145882812829</v>
      </c>
      <c r="G50" s="102">
        <f ca="1">'Table 5'!$G$10</f>
        <v>32.333145882812829</v>
      </c>
      <c r="H50" s="8"/>
      <c r="I50" s="8"/>
      <c r="J50" s="8"/>
      <c r="K50" s="8"/>
    </row>
    <row r="51" spans="1:13" ht="8.25" customHeight="1">
      <c r="A51" s="345"/>
      <c r="B51" s="345"/>
      <c r="E51" s="8"/>
      <c r="G51" s="57"/>
      <c r="H51" s="33"/>
    </row>
    <row r="52" spans="1:13">
      <c r="A52" s="345" t="str">
        <f>'Table 5'!A8</f>
        <v>15 Year Starting 2027</v>
      </c>
      <c r="B52" s="345"/>
      <c r="E52" s="8"/>
      <c r="G52" s="8"/>
      <c r="H52" s="33"/>
      <c r="I52"/>
      <c r="M52" s="59"/>
    </row>
    <row r="53" spans="1:13">
      <c r="B53" s="45" t="str">
        <f>" Levelized Prices (Nominal) @ "&amp;TEXT($I$43,"0.00%")&amp;" Discount Rate (1) (3) "</f>
        <v xml:space="preserve"> Levelized Prices (Nominal) @ 6.38% Discount Rate (1) (3) </v>
      </c>
      <c r="C53" s="8"/>
      <c r="E53" s="8"/>
      <c r="G53" s="102"/>
      <c r="H53" s="33"/>
      <c r="I53"/>
    </row>
    <row r="54" spans="1:13">
      <c r="B54" s="40" t="s">
        <v>8</v>
      </c>
      <c r="C54" s="8">
        <f ca="1">'Table 5'!$D$8*(Study_CF*8.76)/'Table 5'!$F$8</f>
        <v>0</v>
      </c>
      <c r="D54" s="8"/>
      <c r="E54" s="8">
        <f ca="1">'Table 5'!$C$8/'Table 5'!$F$8</f>
        <v>33.487875467336487</v>
      </c>
      <c r="H54" s="33"/>
      <c r="I54"/>
    </row>
    <row r="55" spans="1:13">
      <c r="B55" s="40" t="s">
        <v>31</v>
      </c>
      <c r="E55" s="8"/>
      <c r="G55" s="102">
        <f ca="1">'Table 5'!$G$8</f>
        <v>33.487875467336487</v>
      </c>
      <c r="H55" s="33"/>
    </row>
    <row r="56" spans="1:13">
      <c r="A56" s="345"/>
      <c r="B56" s="345"/>
      <c r="E56" s="8"/>
      <c r="G56" s="57"/>
      <c r="H56" s="33"/>
    </row>
    <row r="57" spans="1:13">
      <c r="A57" s="345" t="str">
        <f>'Table 5'!A7</f>
        <v>15 Year Starting 2028</v>
      </c>
      <c r="B57" s="345"/>
      <c r="E57" s="8"/>
      <c r="G57" s="8"/>
      <c r="H57" s="33"/>
      <c r="I57"/>
      <c r="M57" s="59"/>
    </row>
    <row r="58" spans="1:13">
      <c r="B58" s="45" t="str">
        <f>" Levelized Prices (Nominal) @ "&amp;TEXT($I$43,"0.00%")&amp;" Discount Rate (1) (3) "</f>
        <v xml:space="preserve"> Levelized Prices (Nominal) @ 6.38% Discount Rate (1) (3) </v>
      </c>
      <c r="C58" s="8"/>
      <c r="E58" s="8"/>
      <c r="G58" s="102"/>
      <c r="H58" s="33"/>
      <c r="I58"/>
    </row>
    <row r="59" spans="1:13">
      <c r="B59" s="40" t="s">
        <v>8</v>
      </c>
      <c r="C59" s="8">
        <f ca="1">'Table 5'!$D$7*(Study_CF*8.76)/'Table 5'!$F$7</f>
        <v>0</v>
      </c>
      <c r="D59" s="8"/>
      <c r="H59" s="33"/>
      <c r="I59"/>
    </row>
    <row r="60" spans="1:13">
      <c r="B60" s="40" t="s">
        <v>31</v>
      </c>
      <c r="E60" s="8">
        <f ca="1">'Table 5'!$C$7/'Table 5'!$F$7</f>
        <v>34.720701951271202</v>
      </c>
      <c r="G60" s="102">
        <f ca="1">'Table 5'!$G$7</f>
        <v>34.720701951271202</v>
      </c>
      <c r="H60" s="33"/>
    </row>
    <row r="61" spans="1:13">
      <c r="B61" s="40"/>
      <c r="C61" s="8"/>
      <c r="E61" s="8"/>
      <c r="G61" s="102"/>
      <c r="H61" s="33"/>
    </row>
    <row r="62" spans="1:13">
      <c r="B62" s="40"/>
      <c r="C62" s="8"/>
      <c r="D62" s="8"/>
      <c r="H62" s="33"/>
    </row>
    <row r="63" spans="1:13">
      <c r="B63" s="45"/>
      <c r="H63" s="33"/>
    </row>
    <row r="64" spans="1:13">
      <c r="B64" s="40"/>
      <c r="C64" s="8"/>
      <c r="D64" s="8"/>
      <c r="H64" s="33"/>
    </row>
    <row r="65" spans="1:26">
      <c r="A65" s="345"/>
      <c r="B65" s="345"/>
      <c r="E65" s="8"/>
      <c r="G65" s="57"/>
      <c r="H65" s="33"/>
    </row>
    <row r="66" spans="1:26">
      <c r="B66" s="45"/>
      <c r="H66" s="33"/>
    </row>
    <row r="67" spans="1:26">
      <c r="B67" s="40"/>
      <c r="C67" s="8"/>
      <c r="D67" s="8"/>
      <c r="H67" s="33"/>
    </row>
    <row r="68" spans="1:26">
      <c r="B68" s="40"/>
      <c r="E68" s="8"/>
      <c r="G68" s="102"/>
      <c r="H68" s="33"/>
    </row>
    <row r="69" spans="1:26">
      <c r="E69" s="34"/>
      <c r="G69" s="34"/>
      <c r="H69" s="33"/>
      <c r="I69" s="57"/>
    </row>
    <row r="70" spans="1:26">
      <c r="B70" s="41"/>
      <c r="E70" s="33"/>
      <c r="F70" s="34"/>
      <c r="G70" s="33"/>
      <c r="H70" s="33"/>
      <c r="I70" s="57"/>
    </row>
    <row r="71" spans="1:26">
      <c r="F71" s="34"/>
      <c r="H71" s="33"/>
      <c r="I71" s="57"/>
    </row>
    <row r="74" spans="1:26">
      <c r="B74" s="47"/>
    </row>
    <row r="75" spans="1:26" ht="12.75" customHeight="1">
      <c r="B75" s="47"/>
    </row>
    <row r="76" spans="1:26" ht="12.75" customHeight="1">
      <c r="B76" s="47"/>
    </row>
    <row r="77" spans="1:26">
      <c r="B77" s="9"/>
      <c r="C77" s="6"/>
      <c r="D77" s="6"/>
      <c r="E77" s="6"/>
      <c r="G77" s="6"/>
    </row>
    <row r="78" spans="1:26">
      <c r="A78"/>
      <c r="I78" t="s">
        <v>54</v>
      </c>
    </row>
    <row r="79" spans="1:26" s="44" customFormat="1">
      <c r="B79" s="9"/>
      <c r="I79" t="str">
        <f ca="1">"       Avoided Costs calculated annually are  "&amp;TEXT(PMT(Discount_Rate,COUNT($G$13:$G$27),-NPV(Discount_Rate,$G$13:$G$27)),"$0.00")&amp;"/MWH"</f>
        <v xml:space="preserve">       Avoided Costs calculated annually are  $32.40/MWH</v>
      </c>
      <c r="J79"/>
      <c r="K79"/>
      <c r="L79"/>
      <c r="M79"/>
      <c r="Z79" s="251"/>
    </row>
    <row r="80" spans="1:26" s="44" customFormat="1">
      <c r="B80" s="9"/>
      <c r="I80" s="9" t="str">
        <f ca="1">"       Avoided Costs calculated monthly are  "&amp;TEXT($G$50,"$0.00")&amp;"/MWH"</f>
        <v xml:space="preserve">       Avoided Costs calculated monthly are  $32.33/MWH</v>
      </c>
      <c r="J80"/>
      <c r="K80"/>
      <c r="Z80" s="251"/>
    </row>
    <row r="81" spans="1:13">
      <c r="A81"/>
      <c r="B81" s="42"/>
      <c r="I81" s="44"/>
      <c r="L81" s="44"/>
      <c r="M81" s="44"/>
    </row>
    <row r="82" spans="1:13">
      <c r="A82"/>
      <c r="F82" s="6"/>
    </row>
    <row r="85" spans="1:13">
      <c r="A85"/>
      <c r="J85" s="44"/>
      <c r="K85" s="44"/>
    </row>
    <row r="86" spans="1:13">
      <c r="A86"/>
      <c r="J86" s="44"/>
      <c r="K86" s="44"/>
    </row>
  </sheetData>
  <mergeCells count="8">
    <mergeCell ref="A41:B41"/>
    <mergeCell ref="A51:B51"/>
    <mergeCell ref="A65:B65"/>
    <mergeCell ref="A47:B47"/>
    <mergeCell ref="A45:B45"/>
    <mergeCell ref="A52:B52"/>
    <mergeCell ref="A56:B56"/>
    <mergeCell ref="A57:B57"/>
  </mergeCells>
  <phoneticPr fontId="10" type="noConversion"/>
  <printOptions horizontalCentered="1"/>
  <pageMargins left="0.25" right="0.25" top="0.75" bottom="0.75" header="0.3" footer="0.3"/>
  <pageSetup scale="84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">
    <pageSetUpPr fitToPage="1"/>
  </sheetPr>
  <dimension ref="A1:AK74"/>
  <sheetViews>
    <sheetView topLeftCell="C1" zoomScale="70" zoomScaleNormal="70" workbookViewId="0">
      <selection activeCell="Y21" sqref="Y21"/>
    </sheetView>
  </sheetViews>
  <sheetFormatPr defaultColWidth="9.33203125" defaultRowHeight="12.75"/>
  <cols>
    <col min="1" max="1" width="9.33203125" style="62"/>
    <col min="2" max="2" width="18.1640625" style="62" customWidth="1"/>
    <col min="3" max="3" width="12.1640625" style="62" customWidth="1"/>
    <col min="4" max="4" width="12.6640625" style="62" customWidth="1"/>
    <col min="5" max="6" width="3.33203125" style="62" customWidth="1"/>
    <col min="7" max="7" width="15.83203125" style="62" customWidth="1"/>
    <col min="8" max="8" width="16.33203125" style="62" customWidth="1"/>
    <col min="9" max="9" width="13.6640625" style="62" customWidth="1"/>
    <col min="10" max="10" width="15.5" style="62" customWidth="1"/>
    <col min="11" max="11" width="8.33203125" style="62" customWidth="1"/>
    <col min="12" max="12" width="15.83203125" style="62" customWidth="1"/>
    <col min="13" max="13" width="16.33203125" style="62" customWidth="1"/>
    <col min="14" max="15" width="15.33203125" style="62" customWidth="1"/>
    <col min="16" max="16" width="5.1640625" style="62" customWidth="1"/>
    <col min="17" max="17" width="15.83203125" style="62" customWidth="1"/>
    <col min="18" max="18" width="16.33203125" style="62" customWidth="1"/>
    <col min="19" max="19" width="18.33203125" style="62" customWidth="1"/>
    <col min="20" max="20" width="12.1640625" style="62" customWidth="1"/>
    <col min="21" max="21" width="11.83203125" style="62" customWidth="1"/>
    <col min="22" max="22" width="8.6640625" style="62" customWidth="1"/>
    <col min="23" max="23" width="16.33203125" style="62" customWidth="1"/>
    <col min="24" max="24" width="16.1640625" style="62" customWidth="1"/>
    <col min="25" max="25" width="10.1640625" style="62" customWidth="1"/>
    <col min="26" max="26" width="7.6640625" style="62" customWidth="1"/>
    <col min="27" max="28" width="14.83203125" style="62" customWidth="1"/>
    <col min="30" max="31" width="14.83203125" style="62" customWidth="1"/>
    <col min="33" max="33" width="14.33203125" style="62" customWidth="1"/>
    <col min="34" max="34" width="14.83203125" style="62" customWidth="1"/>
    <col min="35" max="35" width="11" style="62" customWidth="1"/>
    <col min="36" max="16384" width="9.33203125" style="62"/>
  </cols>
  <sheetData>
    <row r="1" spans="1:37" ht="15.75">
      <c r="G1" s="299" t="s">
        <v>53</v>
      </c>
      <c r="H1" s="61"/>
      <c r="I1" s="61"/>
      <c r="J1" s="61"/>
      <c r="K1" s="61"/>
      <c r="M1" s="61"/>
      <c r="N1" s="61"/>
      <c r="O1" s="61"/>
      <c r="P1" s="61"/>
      <c r="R1" s="61"/>
      <c r="S1" s="61"/>
      <c r="T1" s="61"/>
      <c r="U1" s="61"/>
      <c r="W1" s="61"/>
      <c r="X1" s="61"/>
      <c r="Y1" s="61"/>
    </row>
    <row r="2" spans="1:37" ht="15.75">
      <c r="G2" s="299" t="s">
        <v>270</v>
      </c>
      <c r="H2" s="61"/>
      <c r="I2" s="61"/>
      <c r="J2" s="61"/>
      <c r="K2" s="61"/>
      <c r="M2" s="61"/>
      <c r="N2" s="61"/>
      <c r="O2" s="61"/>
      <c r="P2" s="61"/>
      <c r="R2" s="61"/>
      <c r="S2" s="61"/>
      <c r="T2" s="61"/>
      <c r="U2" s="61"/>
      <c r="W2" s="61"/>
      <c r="X2" s="61"/>
      <c r="Y2" s="61"/>
    </row>
    <row r="3" spans="1:37" ht="15.75">
      <c r="H3" s="298" t="s">
        <v>87</v>
      </c>
      <c r="I3" s="314">
        <v>2027</v>
      </c>
      <c r="J3" s="61"/>
      <c r="K3" s="61"/>
      <c r="M3" s="298" t="s">
        <v>87</v>
      </c>
      <c r="N3" s="314">
        <v>2028</v>
      </c>
      <c r="O3" s="61"/>
      <c r="P3" s="61"/>
      <c r="R3" s="298" t="s">
        <v>87</v>
      </c>
      <c r="S3" s="314">
        <v>2032</v>
      </c>
      <c r="T3" s="61"/>
      <c r="U3" s="61"/>
      <c r="W3" s="298" t="s">
        <v>87</v>
      </c>
      <c r="X3" s="314">
        <v>2036</v>
      </c>
      <c r="Y3" s="61"/>
    </row>
    <row r="4" spans="1:37" ht="65.25" customHeight="1">
      <c r="G4" s="312"/>
      <c r="H4" s="318" t="str">
        <f>'2025 IRP Assumptions'!$B$398</f>
        <v>Cluster 1 Area 11 - Willamette Valley</v>
      </c>
      <c r="I4" s="291"/>
      <c r="J4" s="291"/>
      <c r="K4" s="291"/>
      <c r="M4" s="318" t="str">
        <f>'2025 IRP Assumptions'!$B$404</f>
        <v>Cluster 2 Area 23 - Willamette Valley</v>
      </c>
      <c r="N4" s="291"/>
      <c r="O4" s="291"/>
      <c r="P4" s="291"/>
      <c r="R4" s="318" t="str">
        <f>'2025 IRP Assumptions'!B409</f>
        <v>Cluster 2/3 - Willamette Valley - Fry-Full Circle 230 kV</v>
      </c>
      <c r="S4" s="291"/>
      <c r="T4" s="291"/>
      <c r="U4" s="291"/>
      <c r="W4" s="318" t="str">
        <f>'2025 IRP Assumptions'!$B$412</f>
        <v>S. Lebanon-Dixonville 500 kV, Dbl-Ckt Fry-S.Lebanon 230 kV</v>
      </c>
      <c r="X4" s="291"/>
      <c r="Y4" s="291"/>
    </row>
    <row r="5" spans="1:37" ht="90.75" customHeight="1">
      <c r="B5" s="311" t="s">
        <v>269</v>
      </c>
      <c r="C5" s="113" t="s">
        <v>273</v>
      </c>
      <c r="D5" s="291"/>
      <c r="E5" s="291"/>
      <c r="F5" s="291"/>
      <c r="G5" s="313" t="s">
        <v>0</v>
      </c>
      <c r="H5" s="311" t="s">
        <v>272</v>
      </c>
      <c r="I5" s="311" t="s">
        <v>140</v>
      </c>
      <c r="L5" s="313" t="s">
        <v>0</v>
      </c>
      <c r="M5" s="311" t="s">
        <v>272</v>
      </c>
      <c r="N5" s="311" t="s">
        <v>140</v>
      </c>
      <c r="P5" s="311"/>
      <c r="Q5" s="313" t="s">
        <v>0</v>
      </c>
      <c r="R5" s="311" t="s">
        <v>272</v>
      </c>
      <c r="S5" s="311" t="s">
        <v>140</v>
      </c>
      <c r="T5" s="311"/>
      <c r="U5" s="311"/>
      <c r="V5" s="313" t="s">
        <v>0</v>
      </c>
      <c r="W5" s="311" t="s">
        <v>272</v>
      </c>
      <c r="X5" s="311" t="s">
        <v>140</v>
      </c>
      <c r="Y5" s="311"/>
      <c r="AA5" s="311"/>
      <c r="AB5" s="311"/>
      <c r="AD5" s="311"/>
      <c r="AE5" s="311"/>
      <c r="AG5" s="113"/>
      <c r="AH5" s="113"/>
      <c r="AI5" s="113"/>
      <c r="AJ5" s="113"/>
    </row>
    <row r="6" spans="1:37" ht="24" customHeight="1">
      <c r="B6" s="315" t="s">
        <v>32</v>
      </c>
      <c r="C6" s="62" t="s">
        <v>32</v>
      </c>
      <c r="G6" s="77"/>
      <c r="H6" s="315" t="s">
        <v>268</v>
      </c>
      <c r="I6" s="315" t="s">
        <v>32</v>
      </c>
      <c r="J6" s="311" t="s">
        <v>8</v>
      </c>
      <c r="K6" s="311"/>
      <c r="L6" s="77"/>
      <c r="M6" s="315" t="s">
        <v>268</v>
      </c>
      <c r="N6" s="315" t="s">
        <v>32</v>
      </c>
      <c r="O6" s="311" t="s">
        <v>8</v>
      </c>
      <c r="P6" s="315"/>
      <c r="Q6" s="77"/>
      <c r="R6" s="315" t="s">
        <v>268</v>
      </c>
      <c r="S6" s="315" t="s">
        <v>32</v>
      </c>
      <c r="T6" s="311" t="s">
        <v>8</v>
      </c>
      <c r="U6" s="315"/>
      <c r="V6" s="77"/>
      <c r="W6" s="315" t="s">
        <v>268</v>
      </c>
      <c r="X6" s="315" t="s">
        <v>32</v>
      </c>
      <c r="Y6" s="311" t="s">
        <v>8</v>
      </c>
      <c r="AA6" s="315"/>
      <c r="AB6" s="315"/>
      <c r="AD6" s="315"/>
      <c r="AE6" s="315"/>
    </row>
    <row r="7" spans="1:37">
      <c r="B7" s="68"/>
      <c r="H7" s="68"/>
      <c r="I7" s="68"/>
      <c r="J7" s="68"/>
      <c r="K7" s="68"/>
      <c r="M7" s="68"/>
      <c r="N7" s="68"/>
      <c r="O7" s="68"/>
      <c r="P7" s="68"/>
      <c r="R7" s="68"/>
      <c r="S7" s="68"/>
      <c r="T7" s="68"/>
      <c r="U7" s="68"/>
      <c r="W7" s="68"/>
      <c r="X7" s="68"/>
      <c r="Y7" s="68"/>
      <c r="AA7" s="68"/>
      <c r="AB7" s="68"/>
      <c r="AD7" s="68"/>
      <c r="AE7" s="68"/>
    </row>
    <row r="8" spans="1:37" ht="6" customHeight="1"/>
    <row r="9" spans="1:37">
      <c r="G9" s="162"/>
      <c r="L9" s="162"/>
      <c r="Q9" s="162"/>
      <c r="V9" s="162"/>
    </row>
    <row r="10" spans="1:37">
      <c r="A10" s="69">
        <v>2025</v>
      </c>
      <c r="B10" s="293">
        <f>C10</f>
        <v>0</v>
      </c>
      <c r="C10" s="293">
        <v>0</v>
      </c>
      <c r="D10" s="69"/>
      <c r="E10" s="69"/>
      <c r="F10" s="69"/>
      <c r="G10" s="69">
        <v>2025</v>
      </c>
      <c r="H10" s="71"/>
      <c r="I10" s="293"/>
      <c r="J10" s="293"/>
      <c r="K10" s="293"/>
      <c r="L10" s="69">
        <v>2025</v>
      </c>
      <c r="M10" s="71"/>
      <c r="N10" s="293"/>
      <c r="O10" s="293"/>
      <c r="P10" s="293"/>
      <c r="Q10" s="69">
        <v>2025</v>
      </c>
      <c r="R10" s="71"/>
      <c r="S10" s="293"/>
      <c r="T10" s="293"/>
      <c r="U10" s="293"/>
      <c r="V10" s="69">
        <v>2025</v>
      </c>
      <c r="W10" s="71"/>
      <c r="X10" s="293"/>
      <c r="Y10" s="293"/>
      <c r="AA10" s="293"/>
      <c r="AB10" s="293"/>
      <c r="AD10" s="293"/>
      <c r="AE10" s="293"/>
      <c r="AG10" s="293"/>
      <c r="AH10" s="293"/>
      <c r="AI10" s="293"/>
      <c r="AJ10" s="293"/>
      <c r="AK10" s="293"/>
    </row>
    <row r="11" spans="1:37">
      <c r="A11" s="69">
        <f t="shared" ref="A11:A35" si="0">A10+1</f>
        <v>2026</v>
      </c>
      <c r="B11" s="293">
        <f t="shared" ref="B11:B35" si="1">B10+C11</f>
        <v>0</v>
      </c>
      <c r="C11" s="293">
        <v>0</v>
      </c>
      <c r="D11" s="69"/>
      <c r="E11" s="69"/>
      <c r="F11" s="69"/>
      <c r="G11" s="69">
        <f t="shared" ref="G11:G35" si="2">G10+1</f>
        <v>2026</v>
      </c>
      <c r="H11" s="71"/>
      <c r="I11" s="293"/>
      <c r="J11" s="293"/>
      <c r="K11" s="293"/>
      <c r="L11" s="69">
        <f t="shared" ref="L11:L35" si="3">L10+1</f>
        <v>2026</v>
      </c>
      <c r="M11" s="71"/>
      <c r="N11" s="293"/>
      <c r="O11" s="293"/>
      <c r="P11" s="293"/>
      <c r="Q11" s="69">
        <f t="shared" ref="Q11:Q35" si="4">Q10+1</f>
        <v>2026</v>
      </c>
      <c r="R11" s="71"/>
      <c r="S11" s="293"/>
      <c r="T11" s="293"/>
      <c r="U11" s="293"/>
      <c r="V11" s="69">
        <f t="shared" ref="V11:V35" si="5">V10+1</f>
        <v>2026</v>
      </c>
      <c r="W11" s="71"/>
      <c r="X11" s="293"/>
      <c r="Y11" s="293"/>
      <c r="AA11" s="293"/>
      <c r="AB11" s="293"/>
      <c r="AD11" s="293"/>
      <c r="AE11" s="293"/>
      <c r="AG11" s="293"/>
      <c r="AH11" s="293"/>
      <c r="AI11" s="293"/>
      <c r="AJ11" s="293"/>
      <c r="AK11" s="293"/>
    </row>
    <row r="12" spans="1:37">
      <c r="A12" s="69">
        <f t="shared" si="0"/>
        <v>2027</v>
      </c>
      <c r="B12" s="293">
        <f t="shared" si="1"/>
        <v>109.0126908</v>
      </c>
      <c r="C12" s="293">
        <v>109.0126908</v>
      </c>
      <c r="D12" s="69"/>
      <c r="E12" s="69"/>
      <c r="F12" s="69"/>
      <c r="G12" s="160">
        <f t="shared" si="2"/>
        <v>2027</v>
      </c>
      <c r="H12" s="317">
        <f>'2025 IRP Assumptions'!$K$398</f>
        <v>557.16677599999991</v>
      </c>
      <c r="I12" s="316">
        <f>'2025 IRP Assumptions'!$E$398</f>
        <v>199</v>
      </c>
      <c r="J12" s="248">
        <f>H12/$C12</f>
        <v>5.1110267246059014</v>
      </c>
      <c r="K12" s="71"/>
      <c r="L12" s="69">
        <f t="shared" si="3"/>
        <v>2027</v>
      </c>
      <c r="M12" s="71"/>
      <c r="N12" s="293"/>
      <c r="O12" s="293"/>
      <c r="P12" s="293"/>
      <c r="Q12" s="69">
        <f t="shared" si="4"/>
        <v>2027</v>
      </c>
      <c r="R12" s="71"/>
      <c r="S12" s="293"/>
      <c r="T12" s="293"/>
      <c r="U12" s="293"/>
      <c r="V12" s="69">
        <f t="shared" si="5"/>
        <v>2027</v>
      </c>
      <c r="W12" s="71"/>
      <c r="X12" s="293"/>
      <c r="Y12" s="293"/>
      <c r="AA12" s="293"/>
      <c r="AB12" s="293"/>
      <c r="AD12" s="293"/>
      <c r="AE12" s="293"/>
      <c r="AG12" s="293"/>
      <c r="AH12" s="293"/>
      <c r="AI12" s="293"/>
      <c r="AJ12" s="293"/>
      <c r="AK12" s="293"/>
    </row>
    <row r="13" spans="1:37">
      <c r="A13" s="69">
        <f t="shared" si="0"/>
        <v>2028</v>
      </c>
      <c r="B13" s="293">
        <f t="shared" si="1"/>
        <v>272.88141419999999</v>
      </c>
      <c r="C13" s="293">
        <v>163.86872339999999</v>
      </c>
      <c r="D13" s="69"/>
      <c r="E13" s="69"/>
      <c r="F13" s="69"/>
      <c r="G13" s="69">
        <f t="shared" si="2"/>
        <v>2028</v>
      </c>
      <c r="H13" s="70">
        <f t="shared" ref="H13:H35" si="6">H12*(1+Inflation)</f>
        <v>569.31301171679991</v>
      </c>
      <c r="I13" s="293">
        <f>I12</f>
        <v>199</v>
      </c>
      <c r="J13" s="248">
        <f>H13/MAX(I13,C13)</f>
        <v>2.86086940561206</v>
      </c>
      <c r="K13" s="71"/>
      <c r="L13" s="160">
        <f t="shared" si="3"/>
        <v>2028</v>
      </c>
      <c r="M13" s="317">
        <f>'2025 IRP Assumptions'!$K$404</f>
        <v>90.497897000000009</v>
      </c>
      <c r="N13" s="316">
        <f>'2025 IRP Assumptions'!$E$404</f>
        <v>393</v>
      </c>
      <c r="O13" s="248">
        <f>(M13)/MAX(N13,C13)</f>
        <v>0.23027454707379136</v>
      </c>
      <c r="P13" s="293"/>
      <c r="Q13" s="69">
        <f t="shared" si="4"/>
        <v>2028</v>
      </c>
      <c r="R13" s="71"/>
      <c r="S13" s="293"/>
      <c r="T13" s="71"/>
      <c r="U13" s="293"/>
      <c r="V13" s="69">
        <f t="shared" si="5"/>
        <v>2028</v>
      </c>
      <c r="W13" s="71"/>
      <c r="X13" s="293"/>
      <c r="Y13" s="71"/>
      <c r="AA13" s="293"/>
      <c r="AB13" s="293"/>
      <c r="AD13" s="293"/>
      <c r="AE13" s="293"/>
      <c r="AG13" s="293"/>
      <c r="AH13" s="293"/>
      <c r="AI13" s="293"/>
      <c r="AJ13" s="293"/>
      <c r="AK13" s="293"/>
    </row>
    <row r="14" spans="1:37">
      <c r="A14" s="69">
        <f t="shared" si="0"/>
        <v>2029</v>
      </c>
      <c r="B14" s="293">
        <f t="shared" si="1"/>
        <v>866.78141419999997</v>
      </c>
      <c r="C14" s="293">
        <v>593.9</v>
      </c>
      <c r="D14" s="69"/>
      <c r="E14" s="69"/>
      <c r="F14" s="69"/>
      <c r="G14" s="69">
        <f t="shared" si="2"/>
        <v>2029</v>
      </c>
      <c r="H14" s="70">
        <f t="shared" si="6"/>
        <v>581.72403537222613</v>
      </c>
      <c r="I14" s="293">
        <f t="shared" ref="I14:I35" si="7">I13</f>
        <v>199</v>
      </c>
      <c r="J14" s="332"/>
      <c r="K14" s="71"/>
      <c r="L14" s="69">
        <f t="shared" si="3"/>
        <v>2029</v>
      </c>
      <c r="M14" s="70">
        <f t="shared" ref="M14:M35" si="8">M13*(1+Inflation)</f>
        <v>92.470751154600009</v>
      </c>
      <c r="N14" s="293">
        <f>N13</f>
        <v>393</v>
      </c>
      <c r="O14" s="71"/>
      <c r="P14" s="293"/>
      <c r="Q14" s="69">
        <f t="shared" si="4"/>
        <v>2029</v>
      </c>
      <c r="R14" s="71"/>
      <c r="S14" s="293"/>
      <c r="T14" s="71"/>
      <c r="U14" s="293"/>
      <c r="V14" s="69">
        <f t="shared" si="5"/>
        <v>2029</v>
      </c>
      <c r="W14" s="71"/>
      <c r="X14" s="293"/>
      <c r="Y14" s="71"/>
      <c r="AA14" s="293"/>
      <c r="AB14" s="293"/>
      <c r="AD14" s="293"/>
      <c r="AE14" s="293"/>
      <c r="AG14" s="293"/>
      <c r="AH14" s="293"/>
      <c r="AI14" s="293"/>
      <c r="AJ14" s="293"/>
      <c r="AK14" s="293"/>
    </row>
    <row r="15" spans="1:37">
      <c r="A15" s="69">
        <f t="shared" si="0"/>
        <v>2030</v>
      </c>
      <c r="B15" s="293">
        <f t="shared" si="1"/>
        <v>1153.963528</v>
      </c>
      <c r="C15" s="293">
        <v>287.18211380000002</v>
      </c>
      <c r="D15" s="69"/>
      <c r="E15" s="69"/>
      <c r="F15" s="69"/>
      <c r="G15" s="69">
        <f t="shared" si="2"/>
        <v>2030</v>
      </c>
      <c r="H15" s="70">
        <f t="shared" si="6"/>
        <v>594.40561934334073</v>
      </c>
      <c r="I15" s="293">
        <f t="shared" si="7"/>
        <v>199</v>
      </c>
      <c r="J15" s="332"/>
      <c r="K15" s="71"/>
      <c r="L15" s="69">
        <f t="shared" si="3"/>
        <v>2030</v>
      </c>
      <c r="M15" s="70">
        <f t="shared" si="8"/>
        <v>94.486613529770295</v>
      </c>
      <c r="N15" s="293">
        <f t="shared" ref="N15:N35" si="9">N14</f>
        <v>393</v>
      </c>
      <c r="O15" s="71"/>
      <c r="P15" s="293"/>
      <c r="Q15" s="69">
        <f t="shared" si="4"/>
        <v>2030</v>
      </c>
      <c r="R15" s="71"/>
      <c r="S15" s="293"/>
      <c r="T15" s="71"/>
      <c r="U15" s="293"/>
      <c r="V15" s="69">
        <f t="shared" si="5"/>
        <v>2030</v>
      </c>
      <c r="W15" s="71"/>
      <c r="X15" s="293"/>
      <c r="Y15" s="71"/>
      <c r="AA15" s="293"/>
      <c r="AB15" s="293"/>
      <c r="AD15" s="293"/>
      <c r="AE15" s="293"/>
      <c r="AG15" s="293"/>
      <c r="AH15" s="293"/>
      <c r="AI15" s="293"/>
      <c r="AJ15" s="293"/>
      <c r="AK15" s="293"/>
    </row>
    <row r="16" spans="1:37">
      <c r="A16" s="69">
        <f t="shared" si="0"/>
        <v>2031</v>
      </c>
      <c r="B16" s="293">
        <f t="shared" si="1"/>
        <v>1187.8</v>
      </c>
      <c r="C16" s="293">
        <v>33.836472000000001</v>
      </c>
      <c r="D16" s="69"/>
      <c r="E16" s="69"/>
      <c r="F16" s="69"/>
      <c r="G16" s="69">
        <f t="shared" si="2"/>
        <v>2031</v>
      </c>
      <c r="H16" s="70">
        <f t="shared" si="6"/>
        <v>607.3636618450256</v>
      </c>
      <c r="I16" s="293">
        <f t="shared" si="7"/>
        <v>199</v>
      </c>
      <c r="J16" s="332"/>
      <c r="K16" s="71"/>
      <c r="L16" s="69">
        <f t="shared" si="3"/>
        <v>2031</v>
      </c>
      <c r="M16" s="70">
        <f t="shared" si="8"/>
        <v>96.546421704719293</v>
      </c>
      <c r="N16" s="293">
        <f t="shared" si="9"/>
        <v>393</v>
      </c>
      <c r="O16" s="71"/>
      <c r="P16" s="293"/>
      <c r="Q16" s="69">
        <f t="shared" si="4"/>
        <v>2031</v>
      </c>
      <c r="R16" s="71"/>
      <c r="S16" s="293"/>
      <c r="T16" s="71"/>
      <c r="U16" s="293"/>
      <c r="V16" s="69">
        <f t="shared" si="5"/>
        <v>2031</v>
      </c>
      <c r="W16" s="71"/>
      <c r="X16" s="293"/>
      <c r="Y16" s="71"/>
      <c r="AA16" s="293"/>
      <c r="AB16" s="293"/>
      <c r="AD16" s="293"/>
      <c r="AE16" s="293"/>
      <c r="AG16" s="293"/>
      <c r="AH16" s="293"/>
      <c r="AI16" s="293"/>
      <c r="AJ16" s="293"/>
      <c r="AK16" s="293"/>
    </row>
    <row r="17" spans="1:37">
      <c r="A17" s="69">
        <f t="shared" si="0"/>
        <v>2032</v>
      </c>
      <c r="B17" s="293">
        <f t="shared" si="1"/>
        <v>2089.8000000000002</v>
      </c>
      <c r="C17" s="293">
        <v>902</v>
      </c>
      <c r="D17" s="69"/>
      <c r="E17" s="69"/>
      <c r="F17" s="69"/>
      <c r="G17" s="69">
        <f t="shared" si="2"/>
        <v>2032</v>
      </c>
      <c r="H17" s="70">
        <f t="shared" si="6"/>
        <v>620.60418967324722</v>
      </c>
      <c r="I17" s="293">
        <f t="shared" si="7"/>
        <v>199</v>
      </c>
      <c r="J17" s="332"/>
      <c r="K17" s="71"/>
      <c r="L17" s="69">
        <f t="shared" si="3"/>
        <v>2032</v>
      </c>
      <c r="M17" s="70">
        <f t="shared" si="8"/>
        <v>98.651133697882173</v>
      </c>
      <c r="N17" s="293">
        <f t="shared" si="9"/>
        <v>393</v>
      </c>
      <c r="O17" s="71"/>
      <c r="P17" s="293"/>
      <c r="Q17" s="160">
        <f t="shared" si="4"/>
        <v>2032</v>
      </c>
      <c r="R17" s="317">
        <f>'2025 IRP Assumptions'!$K$409</f>
        <v>17230.048914999999</v>
      </c>
      <c r="S17" s="316">
        <f>'2025 IRP Assumptions'!$E$409</f>
        <v>450</v>
      </c>
      <c r="T17" s="248">
        <f>R17/$C17</f>
        <v>19.102049794900221</v>
      </c>
      <c r="U17" s="293"/>
      <c r="V17" s="69">
        <f t="shared" si="5"/>
        <v>2032</v>
      </c>
      <c r="W17" s="71"/>
      <c r="X17" s="293"/>
      <c r="Y17" s="71"/>
      <c r="AA17" s="293"/>
      <c r="AB17" s="293"/>
      <c r="AD17" s="293"/>
      <c r="AE17" s="293"/>
      <c r="AG17" s="293"/>
      <c r="AH17" s="293"/>
      <c r="AI17" s="293"/>
      <c r="AJ17" s="293"/>
      <c r="AK17" s="293"/>
    </row>
    <row r="18" spans="1:37">
      <c r="A18" s="69">
        <f t="shared" si="0"/>
        <v>2033</v>
      </c>
      <c r="B18" s="293">
        <f t="shared" si="1"/>
        <v>2089.8000000000002</v>
      </c>
      <c r="C18" s="293">
        <v>0</v>
      </c>
      <c r="D18" s="69"/>
      <c r="E18" s="69"/>
      <c r="F18" s="69"/>
      <c r="G18" s="69">
        <f t="shared" si="2"/>
        <v>2033</v>
      </c>
      <c r="H18" s="70">
        <f t="shared" si="6"/>
        <v>634.13336100812398</v>
      </c>
      <c r="I18" s="293">
        <f t="shared" si="7"/>
        <v>199</v>
      </c>
      <c r="J18" s="332"/>
      <c r="K18" s="71"/>
      <c r="L18" s="69">
        <f t="shared" si="3"/>
        <v>2033</v>
      </c>
      <c r="M18" s="70">
        <f t="shared" si="8"/>
        <v>100.801728412496</v>
      </c>
      <c r="N18" s="293">
        <f t="shared" si="9"/>
        <v>393</v>
      </c>
      <c r="O18" s="71"/>
      <c r="P18" s="293"/>
      <c r="Q18" s="69">
        <f t="shared" si="4"/>
        <v>2033</v>
      </c>
      <c r="R18" s="70">
        <f t="shared" ref="R18:R35" si="10">R17*(1+Inflation)</f>
        <v>17605.663981346999</v>
      </c>
      <c r="S18" s="293">
        <f>S17</f>
        <v>450</v>
      </c>
      <c r="T18" s="71"/>
      <c r="U18" s="293"/>
      <c r="V18" s="69">
        <f t="shared" si="5"/>
        <v>2033</v>
      </c>
      <c r="W18" s="71"/>
      <c r="X18" s="293"/>
      <c r="Y18" s="71"/>
      <c r="AA18" s="293"/>
      <c r="AB18" s="293"/>
      <c r="AD18" s="293"/>
      <c r="AE18" s="293"/>
      <c r="AG18" s="293"/>
      <c r="AH18" s="293"/>
      <c r="AI18" s="293"/>
      <c r="AJ18" s="293"/>
      <c r="AK18" s="293"/>
    </row>
    <row r="19" spans="1:37">
      <c r="A19" s="69">
        <f t="shared" si="0"/>
        <v>2034</v>
      </c>
      <c r="B19" s="293">
        <f t="shared" si="1"/>
        <v>2089.8000000000002</v>
      </c>
      <c r="C19" s="293">
        <v>0</v>
      </c>
      <c r="D19" s="69"/>
      <c r="E19" s="69"/>
      <c r="F19" s="69"/>
      <c r="G19" s="69">
        <f t="shared" si="2"/>
        <v>2034</v>
      </c>
      <c r="H19" s="70">
        <f t="shared" si="6"/>
        <v>647.95746827810115</v>
      </c>
      <c r="I19" s="293">
        <f t="shared" si="7"/>
        <v>199</v>
      </c>
      <c r="J19" s="332"/>
      <c r="K19" s="71"/>
      <c r="L19" s="69">
        <f t="shared" si="3"/>
        <v>2034</v>
      </c>
      <c r="M19" s="70">
        <f t="shared" si="8"/>
        <v>102.99920609188842</v>
      </c>
      <c r="N19" s="293">
        <f t="shared" si="9"/>
        <v>393</v>
      </c>
      <c r="O19" s="71"/>
      <c r="P19" s="293"/>
      <c r="Q19" s="69">
        <f t="shared" si="4"/>
        <v>2034</v>
      </c>
      <c r="R19" s="70">
        <f t="shared" si="10"/>
        <v>17989.467456140366</v>
      </c>
      <c r="S19" s="293">
        <f t="shared" ref="S19:S35" si="11">S18</f>
        <v>450</v>
      </c>
      <c r="T19" s="71"/>
      <c r="U19" s="293"/>
      <c r="V19" s="69">
        <f t="shared" si="5"/>
        <v>2034</v>
      </c>
      <c r="W19" s="71"/>
      <c r="X19" s="293"/>
      <c r="Y19" s="71"/>
      <c r="AA19" s="293"/>
      <c r="AB19" s="293"/>
      <c r="AD19" s="293"/>
      <c r="AE19" s="293"/>
      <c r="AG19" s="293"/>
      <c r="AH19" s="293"/>
      <c r="AI19" s="293"/>
      <c r="AJ19" s="293"/>
      <c r="AK19" s="293"/>
    </row>
    <row r="20" spans="1:37">
      <c r="A20" s="69">
        <f t="shared" si="0"/>
        <v>2035</v>
      </c>
      <c r="B20" s="293">
        <f t="shared" si="1"/>
        <v>2089.8000000000002</v>
      </c>
      <c r="C20" s="293">
        <v>0</v>
      </c>
      <c r="D20" s="69"/>
      <c r="E20" s="69"/>
      <c r="F20" s="69"/>
      <c r="G20" s="69">
        <f t="shared" si="2"/>
        <v>2035</v>
      </c>
      <c r="H20" s="70">
        <f t="shared" si="6"/>
        <v>662.08294108656378</v>
      </c>
      <c r="I20" s="293">
        <f t="shared" si="7"/>
        <v>199</v>
      </c>
      <c r="J20" s="332"/>
      <c r="K20" s="71"/>
      <c r="L20" s="69">
        <f t="shared" si="3"/>
        <v>2035</v>
      </c>
      <c r="M20" s="70">
        <f t="shared" si="8"/>
        <v>105.2445887846916</v>
      </c>
      <c r="N20" s="293">
        <f t="shared" si="9"/>
        <v>393</v>
      </c>
      <c r="O20" s="71"/>
      <c r="P20" s="293"/>
      <c r="Q20" s="69">
        <f t="shared" si="4"/>
        <v>2035</v>
      </c>
      <c r="R20" s="70">
        <f t="shared" si="10"/>
        <v>18381.637846684225</v>
      </c>
      <c r="S20" s="293">
        <f t="shared" si="11"/>
        <v>450</v>
      </c>
      <c r="T20" s="71"/>
      <c r="U20" s="293"/>
      <c r="V20" s="69">
        <f t="shared" si="5"/>
        <v>2035</v>
      </c>
      <c r="W20" s="71"/>
      <c r="X20" s="293"/>
      <c r="Y20" s="71"/>
      <c r="AA20" s="293"/>
      <c r="AB20" s="293"/>
      <c r="AD20" s="293"/>
      <c r="AE20" s="293"/>
      <c r="AG20" s="293"/>
      <c r="AH20" s="293"/>
      <c r="AI20" s="293"/>
      <c r="AJ20" s="293"/>
      <c r="AK20" s="293"/>
    </row>
    <row r="21" spans="1:37">
      <c r="A21" s="69">
        <f t="shared" si="0"/>
        <v>2036</v>
      </c>
      <c r="B21" s="293">
        <f t="shared" si="1"/>
        <v>2755.7999998</v>
      </c>
      <c r="C21" s="293">
        <v>665.99999979999996</v>
      </c>
      <c r="D21" s="69"/>
      <c r="E21" s="69"/>
      <c r="F21" s="69"/>
      <c r="G21" s="69">
        <f t="shared" si="2"/>
        <v>2036</v>
      </c>
      <c r="H21" s="70">
        <f t="shared" si="6"/>
        <v>676.51634920225092</v>
      </c>
      <c r="I21" s="293">
        <f t="shared" si="7"/>
        <v>199</v>
      </c>
      <c r="J21" s="332"/>
      <c r="K21" s="71"/>
      <c r="L21" s="69">
        <f t="shared" si="3"/>
        <v>2036</v>
      </c>
      <c r="M21" s="70">
        <f t="shared" si="8"/>
        <v>107.53892082019789</v>
      </c>
      <c r="N21" s="293">
        <f t="shared" si="9"/>
        <v>393</v>
      </c>
      <c r="O21" s="71"/>
      <c r="P21" s="293"/>
      <c r="Q21" s="69">
        <f t="shared" si="4"/>
        <v>2036</v>
      </c>
      <c r="R21" s="70">
        <f t="shared" si="10"/>
        <v>18782.357551741941</v>
      </c>
      <c r="S21" s="293">
        <f t="shared" si="11"/>
        <v>450</v>
      </c>
      <c r="T21" s="71"/>
      <c r="U21" s="293"/>
      <c r="V21" s="160">
        <f t="shared" si="5"/>
        <v>2036</v>
      </c>
      <c r="W21" s="317">
        <f>'2025 IRP Assumptions'!$K$412</f>
        <v>46579.726330999998</v>
      </c>
      <c r="X21" s="316">
        <f>'2025 IRP Assumptions'!$E$412</f>
        <v>665</v>
      </c>
      <c r="Y21" s="248">
        <f>W21/$C21</f>
        <v>69.939529046528392</v>
      </c>
      <c r="AA21" s="293"/>
      <c r="AB21" s="293"/>
      <c r="AD21" s="293"/>
      <c r="AE21" s="293"/>
      <c r="AG21" s="293"/>
      <c r="AH21" s="293"/>
      <c r="AI21" s="293"/>
      <c r="AJ21" s="293"/>
      <c r="AK21" s="293"/>
    </row>
    <row r="22" spans="1:37">
      <c r="A22" s="69">
        <f t="shared" si="0"/>
        <v>2037</v>
      </c>
      <c r="B22" s="293">
        <f t="shared" si="1"/>
        <v>2757.6999998000001</v>
      </c>
      <c r="C22" s="293">
        <v>1.9</v>
      </c>
      <c r="D22" s="69"/>
      <c r="E22" s="69"/>
      <c r="F22" s="69"/>
      <c r="G22" s="69">
        <f t="shared" si="2"/>
        <v>2037</v>
      </c>
      <c r="H22" s="70">
        <f t="shared" si="6"/>
        <v>691.26440561486004</v>
      </c>
      <c r="I22" s="293">
        <f t="shared" si="7"/>
        <v>199</v>
      </c>
      <c r="J22" s="332"/>
      <c r="K22" s="71"/>
      <c r="L22" s="69">
        <f t="shared" si="3"/>
        <v>2037</v>
      </c>
      <c r="M22" s="70">
        <f t="shared" si="8"/>
        <v>109.8832692940782</v>
      </c>
      <c r="N22" s="293">
        <f t="shared" si="9"/>
        <v>393</v>
      </c>
      <c r="O22" s="71"/>
      <c r="P22" s="293"/>
      <c r="Q22" s="69">
        <f t="shared" si="4"/>
        <v>2037</v>
      </c>
      <c r="R22" s="70">
        <f t="shared" si="10"/>
        <v>19191.812946369915</v>
      </c>
      <c r="S22" s="293">
        <f t="shared" si="11"/>
        <v>450</v>
      </c>
      <c r="T22" s="71"/>
      <c r="U22" s="293"/>
      <c r="V22" s="69">
        <f t="shared" si="5"/>
        <v>2037</v>
      </c>
      <c r="W22" s="70">
        <f t="shared" ref="W22:W35" si="12">W21*(1+Inflation)</f>
        <v>47595.1643650158</v>
      </c>
      <c r="X22" s="293">
        <f t="shared" ref="X22:X35" si="13">X21</f>
        <v>665</v>
      </c>
      <c r="Y22" s="71"/>
      <c r="AA22" s="293"/>
      <c r="AB22" s="293"/>
      <c r="AD22" s="293"/>
      <c r="AE22" s="293"/>
      <c r="AG22" s="293"/>
      <c r="AH22" s="293"/>
      <c r="AI22" s="293"/>
      <c r="AJ22" s="293"/>
      <c r="AK22" s="293"/>
    </row>
    <row r="23" spans="1:37">
      <c r="A23" s="69">
        <f t="shared" si="0"/>
        <v>2038</v>
      </c>
      <c r="B23" s="293">
        <f t="shared" si="1"/>
        <v>2757.6999998000001</v>
      </c>
      <c r="C23" s="293">
        <v>0</v>
      </c>
      <c r="D23" s="69"/>
      <c r="E23" s="69"/>
      <c r="F23" s="69"/>
      <c r="G23" s="69">
        <f t="shared" si="2"/>
        <v>2038</v>
      </c>
      <c r="H23" s="70">
        <f t="shared" si="6"/>
        <v>706.33396965726399</v>
      </c>
      <c r="I23" s="293">
        <f t="shared" si="7"/>
        <v>199</v>
      </c>
      <c r="J23" s="332"/>
      <c r="K23" s="71"/>
      <c r="L23" s="69">
        <f t="shared" si="3"/>
        <v>2038</v>
      </c>
      <c r="M23" s="70">
        <f t="shared" si="8"/>
        <v>112.27872456468911</v>
      </c>
      <c r="N23" s="293">
        <f t="shared" si="9"/>
        <v>393</v>
      </c>
      <c r="O23" s="71"/>
      <c r="P23" s="293"/>
      <c r="Q23" s="69">
        <f t="shared" si="4"/>
        <v>2038</v>
      </c>
      <c r="R23" s="70">
        <f t="shared" si="10"/>
        <v>19610.194468600781</v>
      </c>
      <c r="S23" s="293">
        <f t="shared" si="11"/>
        <v>450</v>
      </c>
      <c r="T23" s="71"/>
      <c r="U23" s="293"/>
      <c r="V23" s="69">
        <f t="shared" si="5"/>
        <v>2038</v>
      </c>
      <c r="W23" s="70">
        <f t="shared" si="12"/>
        <v>48632.738948173144</v>
      </c>
      <c r="X23" s="293">
        <f t="shared" si="13"/>
        <v>665</v>
      </c>
      <c r="Y23" s="71"/>
      <c r="AA23" s="293"/>
      <c r="AB23" s="293"/>
      <c r="AD23" s="293"/>
      <c r="AE23" s="293"/>
      <c r="AG23" s="293"/>
      <c r="AH23" s="293"/>
      <c r="AI23" s="293"/>
      <c r="AJ23" s="293"/>
      <c r="AK23" s="293"/>
    </row>
    <row r="24" spans="1:37">
      <c r="A24" s="69">
        <f t="shared" si="0"/>
        <v>2039</v>
      </c>
      <c r="B24" s="293">
        <f t="shared" si="1"/>
        <v>2757.6999998000001</v>
      </c>
      <c r="C24" s="293">
        <v>0</v>
      </c>
      <c r="D24" s="69"/>
      <c r="E24" s="69"/>
      <c r="F24" s="69"/>
      <c r="G24" s="69">
        <f t="shared" si="2"/>
        <v>2039</v>
      </c>
      <c r="H24" s="70">
        <f t="shared" si="6"/>
        <v>721.73205019579234</v>
      </c>
      <c r="I24" s="293">
        <f t="shared" si="7"/>
        <v>199</v>
      </c>
      <c r="J24" s="332"/>
      <c r="K24" s="71"/>
      <c r="L24" s="69">
        <f t="shared" si="3"/>
        <v>2039</v>
      </c>
      <c r="M24" s="70">
        <f t="shared" si="8"/>
        <v>114.72640076019934</v>
      </c>
      <c r="N24" s="293">
        <f t="shared" si="9"/>
        <v>393</v>
      </c>
      <c r="O24" s="71"/>
      <c r="P24" s="293"/>
      <c r="Q24" s="69">
        <f t="shared" si="4"/>
        <v>2039</v>
      </c>
      <c r="R24" s="70">
        <f t="shared" si="10"/>
        <v>20037.696708016279</v>
      </c>
      <c r="S24" s="293">
        <f t="shared" si="11"/>
        <v>450</v>
      </c>
      <c r="T24" s="71"/>
      <c r="U24" s="293"/>
      <c r="V24" s="69">
        <f t="shared" si="5"/>
        <v>2039</v>
      </c>
      <c r="W24" s="70">
        <f t="shared" si="12"/>
        <v>49692.93265724332</v>
      </c>
      <c r="X24" s="293">
        <f t="shared" si="13"/>
        <v>665</v>
      </c>
      <c r="Y24" s="71"/>
      <c r="AA24" s="293"/>
      <c r="AB24" s="293"/>
      <c r="AD24" s="293"/>
      <c r="AE24" s="293"/>
      <c r="AG24" s="293"/>
      <c r="AH24" s="293"/>
      <c r="AI24" s="293"/>
      <c r="AJ24" s="293"/>
      <c r="AK24" s="293"/>
    </row>
    <row r="25" spans="1:37">
      <c r="A25" s="69">
        <f t="shared" si="0"/>
        <v>2040</v>
      </c>
      <c r="B25" s="293">
        <f t="shared" si="1"/>
        <v>2757.6999998000001</v>
      </c>
      <c r="C25" s="293">
        <v>0</v>
      </c>
      <c r="D25" s="69"/>
      <c r="E25" s="69"/>
      <c r="F25" s="69"/>
      <c r="G25" s="69">
        <f t="shared" si="2"/>
        <v>2040</v>
      </c>
      <c r="H25" s="70">
        <f t="shared" si="6"/>
        <v>737.46580889006066</v>
      </c>
      <c r="I25" s="293">
        <f t="shared" si="7"/>
        <v>199</v>
      </c>
      <c r="J25" s="332"/>
      <c r="K25" s="71"/>
      <c r="L25" s="69">
        <f t="shared" si="3"/>
        <v>2040</v>
      </c>
      <c r="M25" s="70">
        <f t="shared" si="8"/>
        <v>117.22743629677169</v>
      </c>
      <c r="N25" s="293">
        <f t="shared" si="9"/>
        <v>393</v>
      </c>
      <c r="O25" s="71"/>
      <c r="P25" s="293"/>
      <c r="Q25" s="69">
        <f t="shared" si="4"/>
        <v>2040</v>
      </c>
      <c r="R25" s="70">
        <f t="shared" si="10"/>
        <v>20474.518496251036</v>
      </c>
      <c r="S25" s="293">
        <f t="shared" si="11"/>
        <v>450</v>
      </c>
      <c r="T25" s="71"/>
      <c r="U25" s="293"/>
      <c r="V25" s="69">
        <f t="shared" si="5"/>
        <v>2040</v>
      </c>
      <c r="W25" s="70">
        <f t="shared" si="12"/>
        <v>50776.238589171226</v>
      </c>
      <c r="X25" s="293">
        <f t="shared" si="13"/>
        <v>665</v>
      </c>
      <c r="Y25" s="71"/>
      <c r="AA25" s="293"/>
      <c r="AB25" s="293"/>
      <c r="AD25" s="293"/>
      <c r="AE25" s="293"/>
      <c r="AG25" s="293"/>
      <c r="AH25" s="293"/>
      <c r="AI25" s="293"/>
      <c r="AJ25" s="293"/>
      <c r="AK25" s="293"/>
    </row>
    <row r="26" spans="1:37">
      <c r="A26" s="69">
        <f t="shared" si="0"/>
        <v>2041</v>
      </c>
      <c r="B26" s="293">
        <f t="shared" si="1"/>
        <v>2757.6999998000001</v>
      </c>
      <c r="C26" s="293">
        <v>0</v>
      </c>
      <c r="D26" s="69"/>
      <c r="E26" s="69"/>
      <c r="F26" s="69"/>
      <c r="G26" s="69">
        <f t="shared" si="2"/>
        <v>2041</v>
      </c>
      <c r="H26" s="70">
        <f t="shared" si="6"/>
        <v>753.54256352386403</v>
      </c>
      <c r="I26" s="293">
        <f t="shared" si="7"/>
        <v>199</v>
      </c>
      <c r="J26" s="332"/>
      <c r="K26" s="71"/>
      <c r="L26" s="69">
        <f t="shared" si="3"/>
        <v>2041</v>
      </c>
      <c r="M26" s="70">
        <f t="shared" si="8"/>
        <v>119.78299440804132</v>
      </c>
      <c r="N26" s="293">
        <f t="shared" si="9"/>
        <v>393</v>
      </c>
      <c r="O26" s="71"/>
      <c r="P26" s="293"/>
      <c r="Q26" s="69">
        <f t="shared" si="4"/>
        <v>2041</v>
      </c>
      <c r="R26" s="70">
        <f t="shared" si="10"/>
        <v>20920.862999469307</v>
      </c>
      <c r="S26" s="293">
        <f t="shared" si="11"/>
        <v>450</v>
      </c>
      <c r="T26" s="71"/>
      <c r="U26" s="293"/>
      <c r="V26" s="69">
        <f t="shared" si="5"/>
        <v>2041</v>
      </c>
      <c r="W26" s="70">
        <f t="shared" si="12"/>
        <v>51883.160590415158</v>
      </c>
      <c r="X26" s="293">
        <f t="shared" si="13"/>
        <v>665</v>
      </c>
      <c r="Y26" s="71"/>
      <c r="AA26" s="293"/>
      <c r="AB26" s="293"/>
      <c r="AD26" s="293"/>
      <c r="AE26" s="293"/>
      <c r="AG26" s="293"/>
      <c r="AH26" s="293"/>
      <c r="AI26" s="293"/>
      <c r="AJ26" s="293"/>
      <c r="AK26" s="293"/>
    </row>
    <row r="27" spans="1:37">
      <c r="A27" s="69">
        <f t="shared" si="0"/>
        <v>2042</v>
      </c>
      <c r="B27" s="293">
        <f t="shared" si="1"/>
        <v>2757.6999998000001</v>
      </c>
      <c r="C27" s="293">
        <v>0</v>
      </c>
      <c r="D27" s="69"/>
      <c r="E27" s="69"/>
      <c r="F27" s="69"/>
      <c r="G27" s="69">
        <f t="shared" si="2"/>
        <v>2042</v>
      </c>
      <c r="H27" s="70">
        <f t="shared" si="6"/>
        <v>769.96979140868427</v>
      </c>
      <c r="I27" s="293">
        <f t="shared" si="7"/>
        <v>199</v>
      </c>
      <c r="J27" s="332"/>
      <c r="K27" s="71"/>
      <c r="L27" s="69">
        <f t="shared" si="3"/>
        <v>2042</v>
      </c>
      <c r="M27" s="70">
        <f t="shared" si="8"/>
        <v>122.39426368613663</v>
      </c>
      <c r="N27" s="293">
        <f t="shared" si="9"/>
        <v>393</v>
      </c>
      <c r="O27" s="71"/>
      <c r="P27" s="293"/>
      <c r="Q27" s="69">
        <f t="shared" si="4"/>
        <v>2042</v>
      </c>
      <c r="R27" s="70">
        <f t="shared" si="10"/>
        <v>21376.937812857741</v>
      </c>
      <c r="S27" s="293">
        <f t="shared" si="11"/>
        <v>450</v>
      </c>
      <c r="T27" s="71"/>
      <c r="U27" s="293"/>
      <c r="V27" s="69">
        <f t="shared" si="5"/>
        <v>2042</v>
      </c>
      <c r="W27" s="70">
        <f t="shared" si="12"/>
        <v>53014.213491286209</v>
      </c>
      <c r="X27" s="293">
        <f t="shared" si="13"/>
        <v>665</v>
      </c>
      <c r="Y27" s="71"/>
      <c r="AA27" s="293"/>
      <c r="AB27" s="293"/>
      <c r="AD27" s="293"/>
      <c r="AE27" s="293"/>
      <c r="AG27" s="293"/>
      <c r="AH27" s="293"/>
      <c r="AI27" s="293"/>
      <c r="AJ27" s="293"/>
      <c r="AK27" s="293"/>
    </row>
    <row r="28" spans="1:37">
      <c r="A28" s="69">
        <f t="shared" si="0"/>
        <v>2043</v>
      </c>
      <c r="B28" s="293">
        <f t="shared" si="1"/>
        <v>2757.6999998000001</v>
      </c>
      <c r="C28" s="293">
        <v>0</v>
      </c>
      <c r="D28" s="69"/>
      <c r="E28" s="69"/>
      <c r="F28" s="69"/>
      <c r="G28" s="69">
        <f t="shared" si="2"/>
        <v>2043</v>
      </c>
      <c r="H28" s="70">
        <f t="shared" si="6"/>
        <v>786.75513286139358</v>
      </c>
      <c r="I28" s="293">
        <f t="shared" si="7"/>
        <v>199</v>
      </c>
      <c r="J28" s="332"/>
      <c r="K28" s="71"/>
      <c r="L28" s="69">
        <f t="shared" si="3"/>
        <v>2043</v>
      </c>
      <c r="M28" s="70">
        <f t="shared" si="8"/>
        <v>125.0624586344944</v>
      </c>
      <c r="N28" s="293">
        <f t="shared" si="9"/>
        <v>393</v>
      </c>
      <c r="O28" s="71"/>
      <c r="P28" s="293"/>
      <c r="Q28" s="69">
        <f t="shared" si="4"/>
        <v>2043</v>
      </c>
      <c r="R28" s="70">
        <f t="shared" si="10"/>
        <v>21842.955057178042</v>
      </c>
      <c r="S28" s="293">
        <f t="shared" si="11"/>
        <v>450</v>
      </c>
      <c r="T28" s="71"/>
      <c r="U28" s="293"/>
      <c r="V28" s="69">
        <f t="shared" si="5"/>
        <v>2043</v>
      </c>
      <c r="W28" s="70">
        <f t="shared" si="12"/>
        <v>54169.923345396252</v>
      </c>
      <c r="X28" s="293">
        <f t="shared" si="13"/>
        <v>665</v>
      </c>
      <c r="Y28" s="71"/>
      <c r="AA28" s="293"/>
      <c r="AB28" s="293"/>
      <c r="AD28" s="293"/>
      <c r="AE28" s="293"/>
      <c r="AG28" s="293"/>
      <c r="AH28" s="293"/>
      <c r="AI28" s="293"/>
      <c r="AJ28" s="293"/>
      <c r="AK28" s="293"/>
    </row>
    <row r="29" spans="1:37">
      <c r="A29" s="69">
        <f t="shared" si="0"/>
        <v>2044</v>
      </c>
      <c r="B29" s="293">
        <f t="shared" si="1"/>
        <v>2757.6999998000001</v>
      </c>
      <c r="C29" s="293">
        <v>0</v>
      </c>
      <c r="D29" s="69"/>
      <c r="E29" s="69"/>
      <c r="F29" s="69"/>
      <c r="G29" s="69">
        <f t="shared" si="2"/>
        <v>2044</v>
      </c>
      <c r="H29" s="70">
        <f t="shared" si="6"/>
        <v>803.90639475777198</v>
      </c>
      <c r="I29" s="293">
        <f t="shared" si="7"/>
        <v>199</v>
      </c>
      <c r="J29" s="332"/>
      <c r="K29" s="71"/>
      <c r="L29" s="69">
        <f t="shared" si="3"/>
        <v>2044</v>
      </c>
      <c r="M29" s="70">
        <f t="shared" si="8"/>
        <v>127.78882023272639</v>
      </c>
      <c r="N29" s="293">
        <f t="shared" si="9"/>
        <v>393</v>
      </c>
      <c r="O29" s="71"/>
      <c r="P29" s="293"/>
      <c r="Q29" s="69">
        <f t="shared" si="4"/>
        <v>2044</v>
      </c>
      <c r="R29" s="70">
        <f t="shared" si="10"/>
        <v>22319.131477424526</v>
      </c>
      <c r="S29" s="293">
        <f t="shared" si="11"/>
        <v>450</v>
      </c>
      <c r="T29" s="71"/>
      <c r="U29" s="293"/>
      <c r="V29" s="69">
        <f t="shared" si="5"/>
        <v>2044</v>
      </c>
      <c r="W29" s="70">
        <f t="shared" si="12"/>
        <v>55350.82767432589</v>
      </c>
      <c r="X29" s="293">
        <f t="shared" si="13"/>
        <v>665</v>
      </c>
      <c r="Y29" s="71"/>
      <c r="AA29" s="293"/>
      <c r="AB29" s="293"/>
      <c r="AD29" s="293"/>
      <c r="AE29" s="293"/>
      <c r="AG29" s="293"/>
      <c r="AH29" s="293"/>
      <c r="AI29" s="293"/>
      <c r="AJ29" s="293"/>
      <c r="AK29" s="293"/>
    </row>
    <row r="30" spans="1:37">
      <c r="A30" s="69">
        <f t="shared" si="0"/>
        <v>2045</v>
      </c>
      <c r="B30" s="293">
        <f t="shared" si="1"/>
        <v>2757.6999998000001</v>
      </c>
      <c r="C30" s="293">
        <v>0</v>
      </c>
      <c r="D30" s="69"/>
      <c r="E30" s="69"/>
      <c r="F30" s="69"/>
      <c r="G30" s="69">
        <f t="shared" si="2"/>
        <v>2045</v>
      </c>
      <c r="H30" s="70">
        <f t="shared" si="6"/>
        <v>821.43155416349146</v>
      </c>
      <c r="I30" s="293">
        <f t="shared" si="7"/>
        <v>199</v>
      </c>
      <c r="J30" s="332"/>
      <c r="K30" s="71"/>
      <c r="L30" s="69">
        <f t="shared" si="3"/>
        <v>2045</v>
      </c>
      <c r="M30" s="70">
        <f t="shared" si="8"/>
        <v>130.57461651379984</v>
      </c>
      <c r="N30" s="293">
        <f t="shared" si="9"/>
        <v>393</v>
      </c>
      <c r="O30" s="71"/>
      <c r="P30" s="293"/>
      <c r="Q30" s="69">
        <f t="shared" si="4"/>
        <v>2045</v>
      </c>
      <c r="R30" s="70">
        <f t="shared" si="10"/>
        <v>22805.688543632383</v>
      </c>
      <c r="S30" s="293">
        <f t="shared" si="11"/>
        <v>450</v>
      </c>
      <c r="T30" s="71"/>
      <c r="U30" s="293"/>
      <c r="V30" s="69">
        <f t="shared" si="5"/>
        <v>2045</v>
      </c>
      <c r="W30" s="70">
        <f t="shared" si="12"/>
        <v>56557.475717626199</v>
      </c>
      <c r="X30" s="293">
        <f t="shared" si="13"/>
        <v>665</v>
      </c>
      <c r="Y30" s="71"/>
      <c r="AA30" s="293"/>
      <c r="AB30" s="293"/>
      <c r="AD30" s="293"/>
      <c r="AE30" s="293"/>
      <c r="AG30" s="293"/>
      <c r="AH30" s="293"/>
      <c r="AI30" s="293"/>
      <c r="AJ30" s="293"/>
      <c r="AK30" s="293"/>
    </row>
    <row r="31" spans="1:37">
      <c r="A31" s="69">
        <f t="shared" si="0"/>
        <v>2046</v>
      </c>
      <c r="B31" s="293">
        <f t="shared" si="1"/>
        <v>2757.6999998000001</v>
      </c>
      <c r="C31" s="293">
        <v>0</v>
      </c>
      <c r="D31" s="69"/>
      <c r="E31" s="69"/>
      <c r="F31" s="69"/>
      <c r="G31" s="69">
        <f t="shared" si="2"/>
        <v>2046</v>
      </c>
      <c r="H31" s="70">
        <f t="shared" si="6"/>
        <v>839.33876204425565</v>
      </c>
      <c r="I31" s="293">
        <f t="shared" si="7"/>
        <v>199</v>
      </c>
      <c r="J31" s="332"/>
      <c r="K31" s="71"/>
      <c r="L31" s="69">
        <f t="shared" si="3"/>
        <v>2046</v>
      </c>
      <c r="M31" s="70">
        <f t="shared" si="8"/>
        <v>133.42114315380067</v>
      </c>
      <c r="N31" s="293">
        <f t="shared" si="9"/>
        <v>393</v>
      </c>
      <c r="O31" s="71"/>
      <c r="P31" s="293"/>
      <c r="Q31" s="69">
        <f t="shared" si="4"/>
        <v>2046</v>
      </c>
      <c r="R31" s="70">
        <f t="shared" si="10"/>
        <v>23302.852553883571</v>
      </c>
      <c r="S31" s="293">
        <f t="shared" si="11"/>
        <v>450</v>
      </c>
      <c r="T31" s="71"/>
      <c r="U31" s="293"/>
      <c r="V31" s="69">
        <f t="shared" si="5"/>
        <v>2046</v>
      </c>
      <c r="W31" s="70">
        <f t="shared" si="12"/>
        <v>57790.428688270455</v>
      </c>
      <c r="X31" s="293">
        <f t="shared" si="13"/>
        <v>665</v>
      </c>
      <c r="Y31" s="71"/>
      <c r="AA31" s="293"/>
      <c r="AB31" s="293"/>
      <c r="AD31" s="293"/>
      <c r="AE31" s="293"/>
      <c r="AG31" s="293"/>
      <c r="AH31" s="293"/>
      <c r="AI31" s="293"/>
      <c r="AJ31" s="293"/>
      <c r="AK31" s="293"/>
    </row>
    <row r="32" spans="1:37">
      <c r="A32" s="69">
        <f t="shared" si="0"/>
        <v>2047</v>
      </c>
      <c r="B32" s="293">
        <f t="shared" si="1"/>
        <v>2757.6999998000001</v>
      </c>
      <c r="C32" s="293">
        <v>0</v>
      </c>
      <c r="D32" s="69"/>
      <c r="E32" s="69"/>
      <c r="F32" s="69"/>
      <c r="G32" s="69">
        <f t="shared" si="2"/>
        <v>2047</v>
      </c>
      <c r="H32" s="70">
        <f t="shared" si="6"/>
        <v>857.63634705682045</v>
      </c>
      <c r="I32" s="293">
        <f t="shared" si="7"/>
        <v>199</v>
      </c>
      <c r="J32" s="332"/>
      <c r="K32" s="71"/>
      <c r="L32" s="69">
        <f t="shared" si="3"/>
        <v>2047</v>
      </c>
      <c r="M32" s="70">
        <f t="shared" si="8"/>
        <v>136.32972407455352</v>
      </c>
      <c r="N32" s="293">
        <f t="shared" si="9"/>
        <v>393</v>
      </c>
      <c r="O32" s="71"/>
      <c r="P32" s="293"/>
      <c r="Q32" s="69">
        <f t="shared" si="4"/>
        <v>2047</v>
      </c>
      <c r="R32" s="70">
        <f t="shared" si="10"/>
        <v>23810.854739558235</v>
      </c>
      <c r="S32" s="293">
        <f t="shared" si="11"/>
        <v>450</v>
      </c>
      <c r="T32" s="71"/>
      <c r="U32" s="293"/>
      <c r="V32" s="69">
        <f t="shared" si="5"/>
        <v>2047</v>
      </c>
      <c r="W32" s="70">
        <f t="shared" si="12"/>
        <v>59050.260033674756</v>
      </c>
      <c r="X32" s="293">
        <f t="shared" si="13"/>
        <v>665</v>
      </c>
      <c r="Y32" s="71"/>
      <c r="AA32" s="293"/>
      <c r="AB32" s="293"/>
      <c r="AD32" s="293"/>
      <c r="AE32" s="293"/>
      <c r="AG32" s="293"/>
      <c r="AH32" s="293"/>
      <c r="AI32" s="293"/>
      <c r="AJ32" s="293"/>
      <c r="AK32" s="293"/>
    </row>
    <row r="33" spans="1:37">
      <c r="A33" s="69">
        <f t="shared" si="0"/>
        <v>2048</v>
      </c>
      <c r="B33" s="293">
        <f t="shared" si="1"/>
        <v>2757.6999998000001</v>
      </c>
      <c r="C33" s="293">
        <v>0</v>
      </c>
      <c r="D33" s="69"/>
      <c r="E33" s="69"/>
      <c r="F33" s="69"/>
      <c r="G33" s="69">
        <f t="shared" si="2"/>
        <v>2048</v>
      </c>
      <c r="H33" s="70">
        <f t="shared" si="6"/>
        <v>876.33281942265921</v>
      </c>
      <c r="I33" s="293">
        <f t="shared" si="7"/>
        <v>199</v>
      </c>
      <c r="J33" s="332"/>
      <c r="K33" s="71"/>
      <c r="L33" s="69">
        <f t="shared" si="3"/>
        <v>2048</v>
      </c>
      <c r="M33" s="70">
        <f t="shared" si="8"/>
        <v>139.30171205937879</v>
      </c>
      <c r="N33" s="293">
        <f t="shared" si="9"/>
        <v>393</v>
      </c>
      <c r="O33" s="71"/>
      <c r="P33" s="293"/>
      <c r="Q33" s="69">
        <f t="shared" si="4"/>
        <v>2048</v>
      </c>
      <c r="R33" s="70">
        <f t="shared" si="10"/>
        <v>24329.931372880605</v>
      </c>
      <c r="S33" s="293">
        <f t="shared" si="11"/>
        <v>450</v>
      </c>
      <c r="T33" s="71"/>
      <c r="U33" s="293"/>
      <c r="V33" s="69">
        <f t="shared" si="5"/>
        <v>2048</v>
      </c>
      <c r="W33" s="70">
        <f t="shared" si="12"/>
        <v>60337.55570240887</v>
      </c>
      <c r="X33" s="293">
        <f t="shared" si="13"/>
        <v>665</v>
      </c>
      <c r="Y33" s="71"/>
      <c r="AA33" s="293"/>
      <c r="AB33" s="293"/>
      <c r="AD33" s="293"/>
      <c r="AE33" s="293"/>
      <c r="AG33" s="293"/>
      <c r="AH33" s="293"/>
      <c r="AI33" s="293"/>
      <c r="AJ33" s="293"/>
      <c r="AK33" s="293"/>
    </row>
    <row r="34" spans="1:37">
      <c r="A34" s="69">
        <f t="shared" si="0"/>
        <v>2049</v>
      </c>
      <c r="B34" s="293">
        <f t="shared" si="1"/>
        <v>2757.6999998000001</v>
      </c>
      <c r="C34" s="293">
        <v>0</v>
      </c>
      <c r="D34" s="69"/>
      <c r="E34" s="69"/>
      <c r="F34" s="69"/>
      <c r="G34" s="69">
        <f t="shared" si="2"/>
        <v>2049</v>
      </c>
      <c r="H34" s="70">
        <f t="shared" si="6"/>
        <v>895.43687488607327</v>
      </c>
      <c r="I34" s="293">
        <f t="shared" si="7"/>
        <v>199</v>
      </c>
      <c r="J34" s="332"/>
      <c r="K34" s="71"/>
      <c r="L34" s="69">
        <f t="shared" si="3"/>
        <v>2049</v>
      </c>
      <c r="M34" s="70">
        <f t="shared" si="8"/>
        <v>142.33848938227325</v>
      </c>
      <c r="N34" s="293">
        <f t="shared" si="9"/>
        <v>393</v>
      </c>
      <c r="O34" s="71"/>
      <c r="P34" s="293"/>
      <c r="Q34" s="69">
        <f t="shared" si="4"/>
        <v>2049</v>
      </c>
      <c r="R34" s="70">
        <f t="shared" si="10"/>
        <v>24860.323876809402</v>
      </c>
      <c r="S34" s="293">
        <f t="shared" si="11"/>
        <v>450</v>
      </c>
      <c r="T34" s="71"/>
      <c r="U34" s="293"/>
      <c r="V34" s="69">
        <f t="shared" si="5"/>
        <v>2049</v>
      </c>
      <c r="W34" s="70">
        <f t="shared" si="12"/>
        <v>61652.914416721389</v>
      </c>
      <c r="X34" s="293">
        <f t="shared" si="13"/>
        <v>665</v>
      </c>
      <c r="Y34" s="71"/>
      <c r="AA34" s="293"/>
      <c r="AB34" s="293"/>
      <c r="AD34" s="293"/>
      <c r="AE34" s="293"/>
      <c r="AG34" s="293"/>
      <c r="AH34" s="293"/>
      <c r="AI34" s="293"/>
      <c r="AJ34" s="293"/>
      <c r="AK34" s="293"/>
    </row>
    <row r="35" spans="1:37">
      <c r="A35" s="69">
        <f t="shared" si="0"/>
        <v>2050</v>
      </c>
      <c r="B35" s="293">
        <f t="shared" si="1"/>
        <v>2757.6999998000001</v>
      </c>
      <c r="C35" s="293">
        <v>0</v>
      </c>
      <c r="D35" s="69"/>
      <c r="E35" s="69"/>
      <c r="F35" s="69"/>
      <c r="G35" s="69">
        <f t="shared" si="2"/>
        <v>2050</v>
      </c>
      <c r="H35" s="70">
        <f t="shared" si="6"/>
        <v>914.95739875858965</v>
      </c>
      <c r="I35" s="293">
        <f t="shared" si="7"/>
        <v>199</v>
      </c>
      <c r="J35" s="332"/>
      <c r="K35" s="71"/>
      <c r="L35" s="69">
        <f t="shared" si="3"/>
        <v>2050</v>
      </c>
      <c r="M35" s="70">
        <f t="shared" si="8"/>
        <v>145.44146845080681</v>
      </c>
      <c r="N35" s="293">
        <f t="shared" si="9"/>
        <v>393</v>
      </c>
      <c r="O35" s="71"/>
      <c r="P35" s="293"/>
      <c r="Q35" s="69">
        <f t="shared" si="4"/>
        <v>2050</v>
      </c>
      <c r="R35" s="70">
        <f t="shared" si="10"/>
        <v>25402.278937323848</v>
      </c>
      <c r="S35" s="293">
        <f t="shared" si="11"/>
        <v>450</v>
      </c>
      <c r="T35" s="71"/>
      <c r="U35" s="293"/>
      <c r="V35" s="69">
        <f t="shared" si="5"/>
        <v>2050</v>
      </c>
      <c r="W35" s="70">
        <f t="shared" si="12"/>
        <v>62996.947951005917</v>
      </c>
      <c r="X35" s="293">
        <f t="shared" si="13"/>
        <v>665</v>
      </c>
      <c r="Y35" s="71"/>
      <c r="AA35" s="293"/>
      <c r="AB35" s="293"/>
      <c r="AD35" s="293"/>
      <c r="AE35" s="293"/>
      <c r="AG35" s="293"/>
      <c r="AH35" s="293"/>
      <c r="AI35" s="293"/>
      <c r="AJ35" s="293"/>
      <c r="AK35" s="293"/>
    </row>
    <row r="36" spans="1:37">
      <c r="G36" s="69"/>
      <c r="H36" s="71"/>
      <c r="I36" s="69"/>
      <c r="J36" s="69"/>
      <c r="K36" s="69"/>
      <c r="L36" s="69"/>
      <c r="M36" s="71"/>
      <c r="N36" s="69"/>
      <c r="O36" s="69"/>
      <c r="P36" s="69"/>
      <c r="Q36" s="69"/>
      <c r="R36" s="71"/>
      <c r="S36" s="69"/>
      <c r="T36" s="69"/>
      <c r="U36" s="69"/>
      <c r="V36" s="69"/>
      <c r="W36" s="71"/>
      <c r="X36" s="69"/>
      <c r="Y36" s="69"/>
    </row>
    <row r="37" spans="1:37">
      <c r="G37" s="69"/>
      <c r="H37" s="73"/>
      <c r="I37" s="71"/>
      <c r="J37" s="71"/>
      <c r="K37" s="71"/>
      <c r="L37" s="69"/>
      <c r="M37" s="73"/>
      <c r="N37" s="71"/>
      <c r="O37" s="71"/>
      <c r="P37" s="71"/>
      <c r="Q37" s="69"/>
      <c r="R37" s="73"/>
      <c r="S37" s="71"/>
      <c r="T37" s="71"/>
      <c r="U37" s="71"/>
      <c r="V37" s="69"/>
      <c r="W37" s="73"/>
      <c r="X37" s="71"/>
      <c r="Y37" s="71"/>
    </row>
    <row r="39" spans="1:37" s="279" customFormat="1">
      <c r="I39" s="280"/>
      <c r="J39" s="331"/>
      <c r="K39" s="280"/>
      <c r="N39" s="280"/>
      <c r="O39" s="280"/>
      <c r="P39" s="280"/>
      <c r="S39" s="280"/>
      <c r="T39" s="280"/>
      <c r="U39" s="280"/>
      <c r="X39" s="280"/>
      <c r="Y39" s="280"/>
    </row>
    <row r="41" spans="1:37" s="279" customFormat="1">
      <c r="I41" s="280"/>
      <c r="J41" s="331"/>
      <c r="K41" s="280"/>
      <c r="N41" s="280"/>
      <c r="O41" s="280"/>
      <c r="P41" s="280"/>
      <c r="S41" s="280"/>
      <c r="T41" s="280"/>
      <c r="U41" s="280"/>
      <c r="X41" s="280"/>
      <c r="Y41" s="280"/>
    </row>
    <row r="42" spans="1:37">
      <c r="B42" s="69"/>
      <c r="I42" s="71"/>
      <c r="J42" s="71"/>
      <c r="K42" s="71"/>
      <c r="N42" s="71"/>
      <c r="O42" s="71"/>
      <c r="P42" s="71"/>
      <c r="S42" s="71"/>
      <c r="T42" s="71"/>
      <c r="U42" s="71"/>
      <c r="X42" s="71"/>
      <c r="Y42" s="71"/>
      <c r="AA42" s="69"/>
      <c r="AB42" s="69"/>
      <c r="AD42" s="69"/>
      <c r="AE42" s="69"/>
    </row>
    <row r="43" spans="1:37">
      <c r="B43" s="69"/>
      <c r="I43" s="70"/>
      <c r="J43" s="70"/>
      <c r="K43" s="70"/>
      <c r="N43" s="70"/>
      <c r="O43" s="70"/>
      <c r="P43" s="70"/>
      <c r="S43" s="70"/>
      <c r="T43" s="70"/>
      <c r="U43" s="70"/>
      <c r="X43" s="70"/>
      <c r="Y43" s="70"/>
      <c r="AA43" s="69"/>
      <c r="AB43" s="69"/>
      <c r="AD43" s="69"/>
      <c r="AE43" s="69"/>
    </row>
    <row r="44" spans="1:37">
      <c r="B44" s="69"/>
      <c r="G44"/>
      <c r="H44"/>
      <c r="I44" s="70"/>
      <c r="J44" s="70"/>
      <c r="K44" s="70"/>
      <c r="L44"/>
      <c r="M44"/>
      <c r="N44" s="70"/>
      <c r="O44" s="70"/>
      <c r="P44" s="70"/>
      <c r="Q44"/>
      <c r="R44"/>
      <c r="S44" s="70"/>
      <c r="T44" s="70"/>
      <c r="U44" s="70"/>
      <c r="V44"/>
      <c r="W44"/>
      <c r="X44" s="70"/>
      <c r="Y44" s="70"/>
      <c r="AA44" s="69"/>
      <c r="AB44" s="69"/>
      <c r="AD44" s="69"/>
      <c r="AE44" s="69"/>
    </row>
    <row r="45" spans="1:37">
      <c r="B45" s="69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AA45" s="69"/>
      <c r="AB45" s="69"/>
      <c r="AD45" s="69"/>
      <c r="AE45" s="69"/>
    </row>
    <row r="46" spans="1:37"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37"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37"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7:25"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7:25"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7:25"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7:25"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7:25"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65" spans="8:25">
      <c r="H65" s="86"/>
      <c r="I65" s="89"/>
      <c r="J65" s="89"/>
      <c r="K65" s="89"/>
      <c r="M65" s="86"/>
      <c r="N65" s="89"/>
      <c r="O65" s="89"/>
      <c r="P65" s="89"/>
      <c r="R65" s="86"/>
      <c r="S65" s="89"/>
      <c r="T65" s="89"/>
      <c r="U65" s="89"/>
      <c r="W65" s="86"/>
      <c r="X65" s="89"/>
      <c r="Y65" s="89"/>
    </row>
    <row r="66" spans="8:25">
      <c r="H66" s="86"/>
      <c r="I66" s="89"/>
      <c r="J66" s="89"/>
      <c r="K66" s="89"/>
      <c r="M66" s="86"/>
      <c r="N66" s="89"/>
      <c r="O66" s="89"/>
      <c r="P66" s="89"/>
      <c r="R66" s="86"/>
      <c r="S66" s="89"/>
      <c r="T66" s="89"/>
      <c r="U66" s="89"/>
      <c r="W66" s="86"/>
      <c r="X66" s="89"/>
      <c r="Y66" s="89"/>
    </row>
    <row r="67" spans="8:25">
      <c r="H67" s="86"/>
      <c r="I67" s="89"/>
      <c r="J67" s="89"/>
      <c r="K67" s="89"/>
      <c r="M67" s="86"/>
      <c r="N67" s="89"/>
      <c r="O67" s="89"/>
      <c r="P67" s="89"/>
      <c r="R67" s="86"/>
      <c r="S67" s="89"/>
      <c r="T67" s="89"/>
      <c r="U67" s="89"/>
      <c r="W67" s="86"/>
      <c r="X67" s="89"/>
      <c r="Y67" s="89"/>
    </row>
    <row r="68" spans="8:25">
      <c r="H68" s="86"/>
      <c r="I68" s="89"/>
      <c r="J68" s="89"/>
      <c r="K68" s="89"/>
      <c r="M68" s="86"/>
      <c r="N68" s="89"/>
      <c r="O68" s="89"/>
      <c r="P68" s="89"/>
      <c r="R68" s="86"/>
      <c r="S68" s="89"/>
      <c r="T68" s="89"/>
      <c r="U68" s="89"/>
      <c r="W68" s="86"/>
      <c r="X68" s="89"/>
      <c r="Y68" s="89"/>
    </row>
    <row r="69" spans="8:25">
      <c r="H69" s="86"/>
      <c r="I69" s="89"/>
      <c r="J69" s="89"/>
      <c r="K69" s="89"/>
      <c r="M69" s="86"/>
      <c r="N69" s="89"/>
      <c r="O69" s="89"/>
      <c r="P69" s="89"/>
      <c r="R69" s="86"/>
      <c r="S69" s="89"/>
      <c r="T69" s="89"/>
      <c r="U69" s="89"/>
      <c r="W69" s="86"/>
      <c r="X69" s="89"/>
      <c r="Y69" s="89"/>
    </row>
    <row r="70" spans="8:25">
      <c r="H70" s="86"/>
      <c r="I70" s="89"/>
      <c r="J70" s="89"/>
      <c r="K70" s="89"/>
      <c r="M70" s="86"/>
      <c r="N70" s="89"/>
      <c r="O70" s="89"/>
      <c r="P70" s="89"/>
      <c r="R70" s="86"/>
      <c r="S70" s="89"/>
      <c r="T70" s="89"/>
      <c r="U70" s="89"/>
      <c r="W70" s="86"/>
      <c r="X70" s="89"/>
      <c r="Y70" s="89"/>
    </row>
    <row r="71" spans="8:25">
      <c r="H71" s="86"/>
      <c r="I71" s="89"/>
      <c r="J71" s="89"/>
      <c r="K71" s="89"/>
      <c r="M71" s="86"/>
      <c r="N71" s="89"/>
      <c r="O71" s="89"/>
      <c r="P71" s="89"/>
      <c r="R71" s="86"/>
      <c r="S71" s="89"/>
      <c r="T71" s="89"/>
      <c r="U71" s="89"/>
      <c r="W71" s="86"/>
      <c r="X71" s="89"/>
      <c r="Y71" s="89"/>
    </row>
    <row r="72" spans="8:25">
      <c r="H72" s="86"/>
      <c r="I72" s="89"/>
      <c r="J72" s="89"/>
      <c r="K72" s="89"/>
      <c r="M72" s="86"/>
      <c r="N72" s="89"/>
      <c r="O72" s="89"/>
      <c r="P72" s="89"/>
      <c r="R72" s="86"/>
      <c r="S72" s="89"/>
      <c r="T72" s="89"/>
      <c r="U72" s="89"/>
      <c r="W72" s="86"/>
      <c r="X72" s="89"/>
      <c r="Y72" s="89"/>
    </row>
    <row r="73" spans="8:25">
      <c r="H73" s="86"/>
      <c r="I73" s="89"/>
      <c r="J73" s="89"/>
      <c r="K73" s="89"/>
      <c r="M73" s="86"/>
      <c r="N73" s="89"/>
      <c r="O73" s="89"/>
      <c r="P73" s="89"/>
      <c r="R73" s="86"/>
      <c r="S73" s="89"/>
      <c r="T73" s="89"/>
      <c r="U73" s="89"/>
      <c r="W73" s="86"/>
      <c r="X73" s="89"/>
      <c r="Y73" s="89"/>
    </row>
    <row r="74" spans="8:25">
      <c r="H74" s="86"/>
      <c r="I74" s="89"/>
      <c r="J74" s="89"/>
      <c r="K74" s="89"/>
      <c r="M74" s="86"/>
      <c r="N74" s="89"/>
      <c r="O74" s="89"/>
      <c r="P74" s="89"/>
      <c r="R74" s="86"/>
      <c r="S74" s="89"/>
      <c r="T74" s="89"/>
      <c r="U74" s="89"/>
      <c r="W74" s="86"/>
      <c r="X74" s="89"/>
      <c r="Y74" s="89"/>
    </row>
  </sheetData>
  <printOptions horizontalCentered="1"/>
  <pageMargins left="0.8" right="0.3" top="0.4" bottom="0.4" header="0.5" footer="0.2"/>
  <pageSetup scale="1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B876-7153-46C5-AE6B-8492FC291A63}">
  <sheetPr>
    <tabColor rgb="FFFFFF00"/>
    <pageSetUpPr fitToPage="1"/>
  </sheetPr>
  <dimension ref="B1:AC89"/>
  <sheetViews>
    <sheetView topLeftCell="A5" zoomScale="80" zoomScaleNormal="80" workbookViewId="0">
      <selection activeCell="D22" sqref="D22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38%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WD_.PX.WMV._.PTC.Utility_Scale - 38% Capacity Factor</v>
      </c>
    </row>
    <row r="10" spans="2:29">
      <c r="B10" s="69">
        <v>2024</v>
      </c>
      <c r="C10" s="175">
        <f>INDEX('2025 IRP Assumptions'!$E$2:$E$28,MATCH($T$52,'2025 IRP Assumptions'!$C$2:$C$28,0),1)</f>
        <v>1577.43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1578.2752422040501</v>
      </c>
      <c r="D11" s="71"/>
      <c r="E11" s="71" cm="1">
        <f t="array" ref="E11">$E$10*INDEX('2025 IRP Assumptions'!$E$275:$E$298,'WD_.PX.WMV._.PTC.2032'!$B11-2023,1)</f>
        <v>32.339970000000001</v>
      </c>
      <c r="F11" s="71"/>
      <c r="G11" s="72"/>
      <c r="H11" s="71"/>
      <c r="I11" s="71"/>
      <c r="J11" s="72"/>
      <c r="K11" s="72"/>
      <c r="L11" s="71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1579.5572889719701</v>
      </c>
      <c r="D12" s="71"/>
      <c r="E12" s="71" cm="1">
        <f t="array" ref="E12">$E$10*INDEX('2025 IRP Assumptions'!$E$275:$E$298,'WD_.PX.WMV._.PTC.2032'!$B12-2023,1)</f>
        <v>33.044981346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1580.14517504895</v>
      </c>
      <c r="D13" s="71"/>
      <c r="E13" s="71" cm="1">
        <f t="array" ref="E13">$E$10*INDEX('2025 IRP Assumptions'!$E$275:$E$298,'WD_.PX.WMV._.PTC.2032'!$B13-2023,1)</f>
        <v>33.765361931999998</v>
      </c>
      <c r="F13" s="71"/>
      <c r="G13" s="72"/>
      <c r="H13" s="71"/>
      <c r="I13" s="71"/>
      <c r="J13" s="72"/>
      <c r="K13" s="72"/>
      <c r="L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1580.0080238201701</v>
      </c>
      <c r="D14" s="71"/>
      <c r="E14" s="71" cm="1">
        <f t="array" ref="E14">$E$10*INDEX('2025 IRP Assumptions'!$E$275:$E$298,'WD_.PX.WMV._.PTC.2032'!$B14-2023,1)</f>
        <v>34.501446836549995</v>
      </c>
      <c r="F14" s="282"/>
      <c r="G14" s="72"/>
      <c r="H14" s="71"/>
      <c r="I14" s="71"/>
      <c r="J14" s="72"/>
      <c r="K14" s="72"/>
      <c r="L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1579.1139443833201</v>
      </c>
      <c r="D15" s="71"/>
      <c r="E15" s="71" cm="1">
        <f t="array" ref="E15">$E$10*INDEX('2025 IRP Assumptions'!$E$275:$E$298,'WD_.PX.WMV._.PTC.2032'!$B15-2023,1)</f>
        <v>35.253578386050002</v>
      </c>
      <c r="F15" s="71"/>
      <c r="G15" s="71"/>
      <c r="H15" s="71"/>
      <c r="I15" s="71"/>
      <c r="J15" s="71"/>
      <c r="K15" s="71"/>
      <c r="L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Assumptions'!$E$172:$E$192,MATCH(B16,'2025 IRP Assumptions'!$S$172:$S$192,0),1)</f>
        <v>1577.43</v>
      </c>
      <c r="D16" s="71"/>
      <c r="E16" s="71" cm="1">
        <f t="array" ref="E16">$E$10*INDEX('2025 IRP Assumptions'!$E$275:$E$298,'WD_.PX.WMV._.PTC.2032'!$B16-2023,1)</f>
        <v>36.022106376299995</v>
      </c>
      <c r="F16" s="71"/>
      <c r="G16" s="71"/>
      <c r="H16" s="71"/>
      <c r="I16" s="71"/>
      <c r="J16" s="71"/>
      <c r="K16" s="71"/>
      <c r="L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Assumptions'!$E$172:$E$192,MATCH(B17,'2025 IRP Assumptions'!$S$172:$S$192,0),1)</f>
        <v>1595.0441480999402</v>
      </c>
      <c r="D17" s="71"/>
      <c r="E17" s="71" cm="1">
        <f t="array" ref="E17">$E$10*INDEX('2025 IRP Assumptions'!$E$275:$E$298,'WD_.PX.WMV._.PTC.2032'!$B17-2023,1)</f>
        <v>36.80738829405</v>
      </c>
      <c r="F17" s="71"/>
      <c r="G17" s="71"/>
      <c r="H17" s="71"/>
      <c r="I17" s="71"/>
      <c r="J17" s="71"/>
      <c r="K17" s="71"/>
      <c r="L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Assumptions'!$E$172:$E$192,MATCH(B18,'2025 IRP Assumptions'!$S$172:$S$192,0),1)</f>
        <v>1612.6766164718999</v>
      </c>
      <c r="D18" s="248">
        <f>C18*$C$60</f>
        <v>101.85665509636519</v>
      </c>
      <c r="E18" s="71" cm="1">
        <f t="array" ref="E18">$E$10*INDEX('2025 IRP Assumptions'!$E$275:$E$298,'WD_.PX.WMV._.PTC.2032'!$B18-2023,1)</f>
        <v>37.609789348650004</v>
      </c>
      <c r="F18" s="71">
        <f>'Table 3 TransCost'!T17</f>
        <v>19.102049794900221</v>
      </c>
      <c r="G18" s="72">
        <f t="shared" ref="G18:G36" si="1">(D18+E18+F18)/(8.76*$C$61)</f>
        <v>48.110407952793061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3.0304079527930625</v>
      </c>
      <c r="K18" s="72">
        <f t="shared" ref="K18:K36" si="3">ROUND(J18*$C$61*8.76,2)</f>
        <v>9.99</v>
      </c>
      <c r="L18" s="71">
        <f t="shared" ref="L18:L36" si="4">(D18+E18+F18)</f>
        <v>158.5684942399154</v>
      </c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Assumptions'!$E$275:$E$298,'WD_.PX.WMV._.PTC.2032'!$B19-2023,1)/INDEX('2025 IRP Assumptions'!$E$275:$E$298,'WD_.PX.WMV._.PTC.2032'!$B19-2023-1,1)</f>
        <v>104.07713017868311</v>
      </c>
      <c r="E19" s="71" cm="1">
        <f t="array" ref="E19">$E$10*INDEX('2025 IRP Assumptions'!$E$275:$E$298,'WD_.PX.WMV._.PTC.2032'!$B19-2023,1)</f>
        <v>38.429682756899993</v>
      </c>
      <c r="F19" s="71" cm="1">
        <f t="array" ref="F19">F18*INDEX('2025 IRP Assumptions'!$E$275:$E$298,'WD_.PX.WMV._.PTC.2032'!$B19-2023,1)/INDEX('2025 IRP Assumptions'!$E$275:$E$298,'WD_.PX.WMV._.PTC.2032'!$B19-2023-1,1)</f>
        <v>19.518474480657307</v>
      </c>
      <c r="G19" s="72">
        <f t="shared" si="1"/>
        <v>49.159214846738863</v>
      </c>
      <c r="H19" s="71"/>
      <c r="I19" s="71">
        <f>-INDEX('2025 IRP Assumptions'!$E$243:$E$272,MATCH(B19,'2025 IRP Assumptions'!$S$243:$S$272,0),1)</f>
        <v>-46.41</v>
      </c>
      <c r="J19" s="72">
        <f t="shared" si="2"/>
        <v>2.749214846738866</v>
      </c>
      <c r="K19" s="72">
        <f t="shared" si="3"/>
        <v>9.06</v>
      </c>
      <c r="L19" s="71">
        <f t="shared" si="4"/>
        <v>162.02528741624042</v>
      </c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Assumptions'!$E$275:$E$298,'WD_.PX.WMV._.PTC.2032'!$B20-2023,1)/INDEX('2025 IRP Assumptions'!$E$275:$E$298,'WD_.PX.WMV._.PTC.2032'!$B20-2023-1,1)</f>
        <v>106.34601169416858</v>
      </c>
      <c r="E20" s="71" cm="1">
        <f t="array" ref="E20">$E$10*INDEX('2025 IRP Assumptions'!$E$275:$E$298,'WD_.PX.WMV._.PTC.2032'!$B20-2023,1)</f>
        <v>39.267449869649994</v>
      </c>
      <c r="F20" s="71" cm="1">
        <f t="array" ref="F20">F19*INDEX('2025 IRP Assumptions'!$E$275:$E$298,'WD_.PX.WMV._.PTC.2032'!$B20-2023,1)/INDEX('2025 IRP Assumptions'!$E$275:$E$298,'WD_.PX.WMV._.PTC.2032'!$B20-2023-1,1)</f>
        <v>19.943977238886788</v>
      </c>
      <c r="G20" s="72">
        <f t="shared" si="1"/>
        <v>50.230885767046288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2.4908857670462865</v>
      </c>
      <c r="K20" s="72">
        <f t="shared" si="3"/>
        <v>8.2100000000000009</v>
      </c>
      <c r="L20" s="71">
        <f t="shared" si="4"/>
        <v>165.55743880270538</v>
      </c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Assumptions'!$E$275:$E$298,'WD_.PX.WMV._.PTC.2032'!$B21-2023,1)/INDEX('2025 IRP Assumptions'!$E$275:$E$298,'WD_.PX.WMV._.PTC.2032'!$B21-2023-1,1)</f>
        <v>108.66435472186089</v>
      </c>
      <c r="E21" s="71" cm="1">
        <f t="array" ref="E21">$E$10*INDEX('2025 IRP Assumptions'!$E$275:$E$298,'WD_.PX.WMV._.PTC.2032'!$B21-2023,1)</f>
        <v>40.123480266749993</v>
      </c>
      <c r="F21" s="71" cm="1">
        <f t="array" ref="F21">F20*INDEX('2025 IRP Assumptions'!$E$275:$E$298,'WD_.PX.WMV._.PTC.2032'!$B21-2023,1)/INDEX('2025 IRP Assumptions'!$E$275:$E$298,'WD_.PX.WMV._.PTC.2032'!$B21-2023-1,1)</f>
        <v>20.378755937585865</v>
      </c>
      <c r="G21" s="72">
        <f t="shared" si="1"/>
        <v>51.325919063901239</v>
      </c>
      <c r="H21" s="71"/>
      <c r="I21" s="71">
        <f>-INDEX('2025 IRP Assumptions'!$E$243:$E$272,MATCH(B21,'2025 IRP Assumptions'!$S$243:$S$272,0),1)</f>
        <v>-47.74</v>
      </c>
      <c r="J21" s="72">
        <f t="shared" si="2"/>
        <v>3.5859190639012368</v>
      </c>
      <c r="K21" s="72">
        <f t="shared" si="3"/>
        <v>11.82</v>
      </c>
      <c r="L21" s="71">
        <f t="shared" si="4"/>
        <v>169.16659092619676</v>
      </c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Assumptions'!$E$275:$E$298,'WD_.PX.WMV._.PTC.2032'!$B22-2023,1)/INDEX('2025 IRP Assumptions'!$E$275:$E$298,'WD_.PX.WMV._.PTC.2032'!$B22-2023-1,1)</f>
        <v>111.03323765556888</v>
      </c>
      <c r="E22" s="71" cm="1">
        <f t="array" ref="E22">$E$10*INDEX('2025 IRP Assumptions'!$E$275:$E$298,'WD_.PX.WMV._.PTC.2032'!$B22-2023,1)</f>
        <v>40.998172136849995</v>
      </c>
      <c r="F22" s="71" cm="1">
        <f t="array" ref="F22">F21*INDEX('2025 IRP Assumptions'!$E$275:$E$298,'WD_.PX.WMV._.PTC.2032'!$B22-2023,1)/INDEX('2025 IRP Assumptions'!$E$275:$E$298,'WD_.PX.WMV._.PTC.2032'!$B22-2023-1,1)</f>
        <v>20.823012817169911</v>
      </c>
      <c r="G22" s="72">
        <f t="shared" si="1"/>
        <v>52.444824099858657</v>
      </c>
      <c r="H22" s="71"/>
      <c r="I22" s="71">
        <f>-INDEX('2025 IRP Assumptions'!$E$243:$E$272,MATCH(B22,'2025 IRP Assumptions'!$S$243:$S$272,0),1)</f>
        <v>-49.06</v>
      </c>
      <c r="J22" s="72">
        <f t="shared" si="2"/>
        <v>3.3848240998586547</v>
      </c>
      <c r="K22" s="72">
        <f t="shared" si="3"/>
        <v>11.16</v>
      </c>
      <c r="L22" s="71">
        <f t="shared" si="4"/>
        <v>172.8544226095888</v>
      </c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Assumptions'!$E$275:$E$298,'WD_.PX.WMV._.PTC.2032'!$B23-2023,1)/INDEX('2025 IRP Assumptions'!$E$275:$E$298,'WD_.PX.WMV._.PTC.2032'!$B23-2023-1,1)</f>
        <v>113.45376220387104</v>
      </c>
      <c r="E23" s="71" cm="1">
        <f t="array" ref="E23">$E$10*INDEX('2025 IRP Assumptions'!$E$275:$E$298,'WD_.PX.WMV._.PTC.2032'!$B23-2023,1)</f>
        <v>41.891932277399995</v>
      </c>
      <c r="F23" s="71" cm="1">
        <f t="array" ref="F23">F22*INDEX('2025 IRP Assumptions'!$E$275:$E$298,'WD_.PX.WMV._.PTC.2032'!$B23-2023,1)/INDEX('2025 IRP Assumptions'!$E$275:$E$298,'WD_.PX.WMV._.PTC.2032'!$B23-2023-1,1)</f>
        <v>21.276954490472473</v>
      </c>
      <c r="G23" s="72">
        <f t="shared" si="1"/>
        <v>53.588121249842544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3.1981212498425435</v>
      </c>
      <c r="K23" s="72">
        <f t="shared" si="3"/>
        <v>10.54</v>
      </c>
      <c r="L23" s="71">
        <f t="shared" si="4"/>
        <v>176.6226489717435</v>
      </c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Assumptions'!$E$275:$E$298,'WD_.PX.WMV._.PTC.2032'!$B24-2023,1)/INDEX('2025 IRP Assumptions'!$E$275:$E$298,'WD_.PX.WMV._.PTC.2032'!$B24-2023-1,1)</f>
        <v>115.927054247276</v>
      </c>
      <c r="E24" s="71" cm="1">
        <f t="array" ref="E24">$E$10*INDEX('2025 IRP Assumptions'!$E$275:$E$298,'WD_.PX.WMV._.PTC.2032'!$B24-2023,1)</f>
        <v>42.805176411150001</v>
      </c>
      <c r="F24" s="71" cm="1">
        <f t="array" ref="F24">F23*INDEX('2025 IRP Assumptions'!$E$275:$E$298,'WD_.PX.WMV._.PTC.2032'!$B24-2023,1)/INDEX('2025 IRP Assumptions'!$E$275:$E$298,'WD_.PX.WMV._.PTC.2032'!$B24-2023-1,1)</f>
        <v>21.740792103495934</v>
      </c>
      <c r="G24" s="72">
        <f t="shared" si="1"/>
        <v>54.756342306012456</v>
      </c>
      <c r="H24" s="71"/>
      <c r="I24" s="71">
        <f>-INDEX('2025 IRP Assumptions'!$E$243:$E$272,MATCH(B24,'2025 IRP Assumptions'!$S$243:$S$272,0),1)</f>
        <v>-51.71</v>
      </c>
      <c r="J24" s="72">
        <f t="shared" si="2"/>
        <v>3.0463423060124555</v>
      </c>
      <c r="K24" s="72">
        <f t="shared" si="3"/>
        <v>10.039999999999999</v>
      </c>
      <c r="L24" s="71">
        <f t="shared" si="4"/>
        <v>180.47302276192192</v>
      </c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Assumptions'!$E$275:$E$298,'WD_.PX.WMV._.PTC.2032'!$B25-2023,1)/INDEX('2025 IRP Assumptions'!$E$275:$E$298,'WD_.PX.WMV._.PTC.2032'!$B25-2023-1,1)</f>
        <v>118.45426400965476</v>
      </c>
      <c r="E25" s="71" cm="1">
        <f t="array" ref="E25">$E$10*INDEX('2025 IRP Assumptions'!$E$275:$E$298,'WD_.PX.WMV._.PTC.2032'!$B25-2023,1)</f>
        <v>43.738329249449997</v>
      </c>
      <c r="F25" s="71" cm="1">
        <f t="array" ref="F25">F24*INDEX('2025 IRP Assumptions'!$E$275:$E$298,'WD_.PX.WMV._.PTC.2032'!$B25-2023,1)/INDEX('2025 IRP Assumptions'!$E$275:$E$298,'WD_.PX.WMV._.PTC.2032'!$B25-2023-1,1)</f>
        <v>22.214741367561647</v>
      </c>
      <c r="G25" s="72">
        <f t="shared" si="1"/>
        <v>55.950030558736778</v>
      </c>
      <c r="H25" s="71"/>
      <c r="I25" s="71">
        <f>-INDEX('2025 IRP Assumptions'!$E$243:$E$272,MATCH(B25,'2025 IRP Assumptions'!$S$243:$S$272,0),1)</f>
        <v>-51.71</v>
      </c>
      <c r="J25" s="72">
        <f t="shared" si="2"/>
        <v>4.2400305587367768</v>
      </c>
      <c r="K25" s="72">
        <f t="shared" si="3"/>
        <v>13.97</v>
      </c>
      <c r="L25" s="71">
        <f t="shared" si="4"/>
        <v>184.40733462666643</v>
      </c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Assumptions'!$E$275:$E$298,'WD_.PX.WMV._.PTC.2032'!$B26-2023,1)/INDEX('2025 IRP Assumptions'!$E$275:$E$298,'WD_.PX.WMV._.PTC.2032'!$B26-2023-1,1)</f>
        <v>121.0365670011174</v>
      </c>
      <c r="E26" s="71" cm="1">
        <f t="array" ref="E26">$E$10*INDEX('2025 IRP Assumptions'!$E$275:$E$298,'WD_.PX.WMV._.PTC.2032'!$B26-2023,1)</f>
        <v>44.691824840399995</v>
      </c>
      <c r="F26" s="71" cm="1">
        <f t="array" ref="F26">F25*INDEX('2025 IRP Assumptions'!$E$275:$E$298,'WD_.PX.WMV._.PTC.2032'!$B26-2023,1)/INDEX('2025 IRP Assumptions'!$E$275:$E$298,'WD_.PX.WMV._.PTC.2032'!$B26-2023-1,1)</f>
        <v>22.699022736135664</v>
      </c>
      <c r="G26" s="72">
        <f t="shared" si="1"/>
        <v>57.169741241945921</v>
      </c>
      <c r="H26" s="71"/>
      <c r="I26" s="71">
        <f>-INDEX('2025 IRP Assumptions'!$E$243:$E$272,MATCH(B26,'2025 IRP Assumptions'!$S$243:$S$272,0),1)</f>
        <v>-53.04</v>
      </c>
      <c r="J26" s="72">
        <f t="shared" si="2"/>
        <v>4.1297412419459221</v>
      </c>
      <c r="K26" s="72">
        <f t="shared" si="3"/>
        <v>13.61</v>
      </c>
      <c r="L26" s="71">
        <f t="shared" si="4"/>
        <v>188.42741457765308</v>
      </c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Assumptions'!$E$275:$E$298,'WD_.PX.WMV._.PTC.2032'!$B27-2023,1)/INDEX('2025 IRP Assumptions'!$E$275:$E$298,'WD_.PX.WMV._.PTC.2032'!$B27-2023-1,1)</f>
        <v>123.67516410372913</v>
      </c>
      <c r="E27" s="71" cm="1">
        <f t="array" ref="E27">$E$10*INDEX('2025 IRP Assumptions'!$E$275:$E$298,'WD_.PX.WMV._.PTC.2032'!$B27-2023,1)</f>
        <v>45.666106600499994</v>
      </c>
      <c r="F27" s="71" cm="1">
        <f t="array" ref="F27">F26*INDEX('2025 IRP Assumptions'!$E$275:$E$298,'WD_.PX.WMV._.PTC.2032'!$B27-2023,1)/INDEX('2025 IRP Assumptions'!$E$275:$E$298,'WD_.PX.WMV._.PTC.2032'!$B27-2023-1,1)</f>
        <v>23.193861420903815</v>
      </c>
      <c r="G27" s="72">
        <f t="shared" si="1"/>
        <v>58.416041573618969</v>
      </c>
      <c r="H27" s="71"/>
      <c r="I27" s="71">
        <f>-INDEX('2025 IRP Assumptions'!$E$243:$E$272,MATCH(B27,'2025 IRP Assumptions'!$S$243:$S$272,0),1)</f>
        <v>-54.37</v>
      </c>
      <c r="J27" s="72">
        <f t="shared" si="2"/>
        <v>4.0460415736189717</v>
      </c>
      <c r="K27" s="72">
        <f t="shared" si="3"/>
        <v>13.34</v>
      </c>
      <c r="L27" s="71">
        <f t="shared" si="4"/>
        <v>192.53513212513292</v>
      </c>
    </row>
    <row r="28" spans="2:27">
      <c r="B28" s="69">
        <f t="shared" si="0"/>
        <v>2042</v>
      </c>
      <c r="C28" s="73"/>
      <c r="D28" s="71" cm="1">
        <f t="array" ref="D28">D27*INDEX('2025 IRP Assumptions'!$E$275:$E$298,'WD_.PX.WMV._.PTC.2032'!$B28-2023,1)/INDEX('2025 IRP Assumptions'!$E$275:$E$298,'WD_.PX.WMV._.PTC.2032'!$B28-2023-1,1)</f>
        <v>126.3712826858191</v>
      </c>
      <c r="E28" s="71" cm="1">
        <f t="array" ref="E28">$E$10*INDEX('2025 IRP Assumptions'!$E$275:$E$298,'WD_.PX.WMV._.PTC.2032'!$B28-2023,1)</f>
        <v>46.661627726100001</v>
      </c>
      <c r="F28" s="71" cm="1">
        <f t="array" ref="F28">F27*INDEX('2025 IRP Assumptions'!$E$275:$E$298,'WD_.PX.WMV._.PTC.2032'!$B28-2023,1)/INDEX('2025 IRP Assumptions'!$E$275:$E$298,'WD_.PX.WMV._.PTC.2032'!$B28-2023-1,1)</f>
        <v>23.699487600747574</v>
      </c>
      <c r="G28" s="72">
        <f t="shared" si="1"/>
        <v>59.689511282110146</v>
      </c>
      <c r="H28" s="71"/>
      <c r="I28" s="71"/>
      <c r="J28" s="72">
        <f t="shared" si="2"/>
        <v>59.689511282110146</v>
      </c>
      <c r="K28" s="72">
        <f t="shared" si="3"/>
        <v>196.73</v>
      </c>
      <c r="L28" s="71">
        <f t="shared" si="4"/>
        <v>196.73239801266666</v>
      </c>
    </row>
    <row r="29" spans="2:27">
      <c r="B29" s="69">
        <f t="shared" si="0"/>
        <v>2043</v>
      </c>
      <c r="C29" s="73"/>
      <c r="D29" s="71" cm="1">
        <f t="array" ref="D29">D28*INDEX('2025 IRP Assumptions'!$E$275:$E$298,'WD_.PX.WMV._.PTC.2032'!$B29-2023,1)/INDEX('2025 IRP Assumptions'!$E$275:$E$298,'WD_.PX.WMV._.PTC.2032'!$B29-2023-1,1)</f>
        <v>129.12617668769647</v>
      </c>
      <c r="E29" s="71" cm="1">
        <f t="array" ref="E29">$E$10*INDEX('2025 IRP Assumptions'!$E$275:$E$298,'WD_.PX.WMV._.PTC.2032'!$B29-2023,1)</f>
        <v>47.678851225049996</v>
      </c>
      <c r="F29" s="71" cm="1">
        <f t="array" ref="F29">F28*INDEX('2025 IRP Assumptions'!$E$275:$E$298,'WD_.PX.WMV._.PTC.2032'!$B29-2023,1)/INDEX('2025 IRP Assumptions'!$E$275:$E$298,'WD_.PX.WMV._.PTC.2032'!$B29-2023-1,1)</f>
        <v>24.21613643781911</v>
      </c>
      <c r="G29" s="72">
        <f t="shared" si="1"/>
        <v>60.990742646635425</v>
      </c>
      <c r="H29" s="71"/>
      <c r="I29" s="71"/>
      <c r="J29" s="72">
        <f t="shared" si="2"/>
        <v>60.990742646635425</v>
      </c>
      <c r="K29" s="72">
        <f t="shared" si="3"/>
        <v>201.02</v>
      </c>
      <c r="L29" s="71">
        <f t="shared" si="4"/>
        <v>201.02116435056558</v>
      </c>
    </row>
    <row r="30" spans="2:27">
      <c r="B30" s="69">
        <f t="shared" si="0"/>
        <v>2044</v>
      </c>
      <c r="C30" s="73"/>
      <c r="D30" s="71" cm="1">
        <f t="array" ref="D30">D29*INDEX('2025 IRP Assumptions'!$E$275:$E$298,'WD_.PX.WMV._.PTC.2032'!$B30-2023,1)/INDEX('2025 IRP Assumptions'!$E$275:$E$298,'WD_.PX.WMV._.PTC.2032'!$B30-2023-1,1)</f>
        <v>131.94112730737902</v>
      </c>
      <c r="E30" s="71" cm="1">
        <f t="array" ref="E30">$E$10*INDEX('2025 IRP Assumptions'!$E$275:$E$298,'WD_.PX.WMV._.PTC.2032'!$B30-2023,1)</f>
        <v>48.718250169900003</v>
      </c>
      <c r="F30" s="71" cm="1">
        <f t="array" ref="F30">F29*INDEX('2025 IRP Assumptions'!$E$275:$E$298,'WD_.PX.WMV._.PTC.2032'!$B30-2023,1)/INDEX('2025 IRP Assumptions'!$E$275:$E$298,'WD_.PX.WMV._.PTC.2032'!$B30-2023-1,1)</f>
        <v>24.744048206141844</v>
      </c>
      <c r="G30" s="72">
        <f t="shared" si="1"/>
        <v>62.320340821165779</v>
      </c>
      <c r="H30" s="71"/>
      <c r="I30" s="71"/>
      <c r="J30" s="72">
        <f t="shared" si="2"/>
        <v>62.320340821165779</v>
      </c>
      <c r="K30" s="72">
        <f t="shared" si="3"/>
        <v>205.4</v>
      </c>
      <c r="L30" s="71">
        <f t="shared" si="4"/>
        <v>205.40342568342086</v>
      </c>
    </row>
    <row r="31" spans="2:27">
      <c r="B31" s="69">
        <f t="shared" si="0"/>
        <v>2045</v>
      </c>
      <c r="C31" s="73"/>
      <c r="D31" s="71" cm="1">
        <f t="array" ref="D31">D30*INDEX('2025 IRP Assumptions'!$E$275:$E$298,'WD_.PX.WMV._.PTC.2032'!$B31-2023,1)/INDEX('2025 IRP Assumptions'!$E$275:$E$298,'WD_.PX.WMV._.PTC.2032'!$B31-2023-1,1)</f>
        <v>134.81744394346973</v>
      </c>
      <c r="E31" s="71" cm="1">
        <f t="array" ref="E31">$E$10*INDEX('2025 IRP Assumptions'!$E$275:$E$298,'WD_.PX.WMV._.PTC.2032'!$B31-2023,1)</f>
        <v>49.780308046050003</v>
      </c>
      <c r="F31" s="71" cm="1">
        <f t="array" ref="F31">F30*INDEX('2025 IRP Assumptions'!$E$275:$E$298,'WD_.PX.WMV._.PTC.2032'!$B31-2023,1)/INDEX('2025 IRP Assumptions'!$E$275:$E$298,'WD_.PX.WMV._.PTC.2032'!$B31-2023-1,1)</f>
        <v>25.283468468436176</v>
      </c>
      <c r="G31" s="72">
        <f t="shared" si="1"/>
        <v>63.678924279780333</v>
      </c>
      <c r="H31" s="71"/>
      <c r="I31" s="71"/>
      <c r="J31" s="72">
        <f t="shared" si="2"/>
        <v>63.678924279780333</v>
      </c>
      <c r="K31" s="72">
        <f t="shared" si="3"/>
        <v>209.88</v>
      </c>
      <c r="L31" s="71">
        <f t="shared" si="4"/>
        <v>209.88122045795592</v>
      </c>
    </row>
    <row r="32" spans="2:27">
      <c r="B32" s="69">
        <f t="shared" si="0"/>
        <v>2046</v>
      </c>
      <c r="C32" s="73"/>
      <c r="D32" s="71" cm="1">
        <f t="array" ref="D32">D31*INDEX('2025 IRP Assumptions'!$E$275:$E$298,'WD_.PX.WMV._.PTC.2032'!$B32-2023,1)/INDEX('2025 IRP Assumptions'!$E$275:$E$298,'WD_.PX.WMV._.PTC.2032'!$B32-2023-1,1)</f>
        <v>137.75646419515681</v>
      </c>
      <c r="E32" s="71" cm="1">
        <f t="array" ref="E32">$E$10*INDEX('2025 IRP Assumptions'!$E$275:$E$298,'WD_.PX.WMV._.PTC.2032'!$B32-2023,1)</f>
        <v>50.865518751749995</v>
      </c>
      <c r="F32" s="71" cm="1">
        <f t="array" ref="F32">F31*INDEX('2025 IRP Assumptions'!$E$275:$E$298,'WD_.PX.WMV._.PTC.2032'!$B32-2023,1)/INDEX('2025 IRP Assumptions'!$E$275:$E$298,'WD_.PX.WMV._.PTC.2032'!$B32-2023-1,1)</f>
        <v>25.834648076119464</v>
      </c>
      <c r="G32" s="72">
        <f t="shared" si="1"/>
        <v>65.067124816666322</v>
      </c>
      <c r="H32" s="71"/>
      <c r="I32" s="71"/>
      <c r="J32" s="72">
        <f t="shared" si="2"/>
        <v>65.067124816666322</v>
      </c>
      <c r="K32" s="72">
        <f t="shared" si="3"/>
        <v>214.46</v>
      </c>
      <c r="L32" s="71">
        <f t="shared" si="4"/>
        <v>214.45663102302626</v>
      </c>
    </row>
    <row r="33" spans="2:13">
      <c r="B33" s="69">
        <f t="shared" si="0"/>
        <v>2047</v>
      </c>
      <c r="C33" s="73"/>
      <c r="D33" s="71" cm="1">
        <f t="array" ref="D33">D32*INDEX('2025 IRP Assumptions'!$E$275:$E$298,'WD_.PX.WMV._.PTC.2032'!$B33-2023,1)/INDEX('2025 IRP Assumptions'!$E$275:$E$298,'WD_.PX.WMV._.PTC.2032'!$B33-2023-1,1)</f>
        <v>140.75955506223872</v>
      </c>
      <c r="E33" s="71" cm="1">
        <f t="array" ref="E33">$E$10*INDEX('2025 IRP Assumptions'!$E$275:$E$298,'WD_.PX.WMV._.PTC.2032'!$B33-2023,1)</f>
        <v>51.974387041199996</v>
      </c>
      <c r="F33" s="71" cm="1">
        <f t="array" ref="F33">F32*INDEX('2025 IRP Assumptions'!$E$275:$E$298,'WD_.PX.WMV._.PTC.2032'!$B33-2023,1)/INDEX('2025 IRP Assumptions'!$E$275:$E$298,'WD_.PX.WMV._.PTC.2032'!$B33-2023-1,1)</f>
        <v>26.397843394357004</v>
      </c>
      <c r="G33" s="72">
        <f t="shared" si="1"/>
        <v>66.485588112932319</v>
      </c>
      <c r="H33" s="71"/>
      <c r="I33" s="71"/>
      <c r="J33" s="72">
        <f t="shared" si="2"/>
        <v>66.485588112932319</v>
      </c>
      <c r="K33" s="72">
        <f t="shared" si="3"/>
        <v>219.13</v>
      </c>
      <c r="L33" s="71">
        <f t="shared" si="4"/>
        <v>219.13178549779573</v>
      </c>
    </row>
    <row r="34" spans="2:13" ht="15">
      <c r="B34" s="69">
        <f t="shared" si="0"/>
        <v>2048</v>
      </c>
      <c r="C34" s="73"/>
      <c r="D34" s="275">
        <f t="shared" ref="D34:E36" si="5">D33*D33/D32</f>
        <v>143.82811330908129</v>
      </c>
      <c r="E34" s="275">
        <f t="shared" si="5"/>
        <v>53.107428658938439</v>
      </c>
      <c r="F34" s="275">
        <f t="shared" ref="F34" si="6">F33*F33/F32</f>
        <v>26.973316370318006</v>
      </c>
      <c r="G34" s="72">
        <f t="shared" si="1"/>
        <v>67.93497390851762</v>
      </c>
      <c r="H34" s="71"/>
      <c r="I34" s="71"/>
      <c r="J34" s="72">
        <f t="shared" si="2"/>
        <v>67.93497390851762</v>
      </c>
      <c r="K34" s="72">
        <f t="shared" si="3"/>
        <v>223.91</v>
      </c>
      <c r="L34" s="71">
        <f t="shared" si="4"/>
        <v>223.90885833833772</v>
      </c>
    </row>
    <row r="35" spans="2:13" ht="15">
      <c r="B35" s="69">
        <f t="shared" si="0"/>
        <v>2049</v>
      </c>
      <c r="C35" s="73"/>
      <c r="D35" s="275">
        <f t="shared" si="5"/>
        <v>146.96356612453843</v>
      </c>
      <c r="E35" s="275">
        <f t="shared" si="5"/>
        <v>54.26517058351282</v>
      </c>
      <c r="F35" s="275">
        <f t="shared" ref="F35" si="7">F34*F34/F33</f>
        <v>27.561334656936175</v>
      </c>
      <c r="G35" s="72">
        <f t="shared" si="1"/>
        <v>69.415956313895663</v>
      </c>
      <c r="H35" s="71"/>
      <c r="I35" s="71"/>
      <c r="J35" s="72">
        <f t="shared" si="2"/>
        <v>69.415956313895663</v>
      </c>
      <c r="K35" s="72">
        <f t="shared" si="3"/>
        <v>228.79</v>
      </c>
      <c r="L35" s="71">
        <f t="shared" si="4"/>
        <v>228.79007136498743</v>
      </c>
    </row>
    <row r="36" spans="2:13" ht="15">
      <c r="B36" s="69">
        <f t="shared" si="0"/>
        <v>2050</v>
      </c>
      <c r="C36" s="73"/>
      <c r="D36" s="275">
        <f t="shared" si="5"/>
        <v>150.1673718101805</v>
      </c>
      <c r="E36" s="275">
        <f t="shared" si="5"/>
        <v>55.448151281602769</v>
      </c>
      <c r="F36" s="275">
        <f t="shared" ref="F36" si="8">F35*F35/F34</f>
        <v>28.162171741979066</v>
      </c>
      <c r="G36" s="72">
        <f t="shared" si="1"/>
        <v>70.929224135147905</v>
      </c>
      <c r="H36" s="71"/>
      <c r="I36" s="71"/>
      <c r="J36" s="72">
        <f t="shared" si="2"/>
        <v>70.929224135147905</v>
      </c>
      <c r="K36" s="72">
        <f t="shared" si="3"/>
        <v>233.78</v>
      </c>
      <c r="L36" s="71">
        <f t="shared" si="4"/>
        <v>233.77769483376233</v>
      </c>
    </row>
    <row r="37" spans="2:13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3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3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3">
      <c r="B42" s="62" t="s">
        <v>60</v>
      </c>
      <c r="C42" s="78" t="s">
        <v>61</v>
      </c>
      <c r="D42" s="159" t="s">
        <v>196</v>
      </c>
    </row>
    <row r="43" spans="2:13">
      <c r="C43" s="78" t="str">
        <f>C7</f>
        <v>(a)</v>
      </c>
      <c r="D43" s="62" t="s">
        <v>62</v>
      </c>
    </row>
    <row r="44" spans="2:13">
      <c r="C44" s="78" t="str">
        <f>D7</f>
        <v>(b)</v>
      </c>
      <c r="D44" s="72" t="str">
        <f>"= "&amp;C7&amp;" x "&amp;C60</f>
        <v>= (a) x 0.06316</v>
      </c>
    </row>
    <row r="45" spans="2:13">
      <c r="C45" s="78" t="str">
        <f>F7</f>
        <v>(d)</v>
      </c>
      <c r="D45" s="72" t="str">
        <f>"= ("&amp;$D$7&amp;" + "&amp;$E$7&amp;") /  (8.76 x "&amp;TEXT(C61,"0.0%")&amp;")"</f>
        <v>= ((b) + (c)) /  (8.76 x 37.6%)</v>
      </c>
    </row>
    <row r="46" spans="2:13">
      <c r="C46" s="78" t="str">
        <f>J7</f>
        <v>(g)</v>
      </c>
      <c r="D46" s="72" t="str">
        <f>"= "&amp;$G$7&amp;" + "&amp;$H$7</f>
        <v>= (e) + (f)</v>
      </c>
    </row>
    <row r="47" spans="2:13">
      <c r="C47" s="78" t="str">
        <f>K7</f>
        <v>(h)</v>
      </c>
      <c r="D47" t="str">
        <f>D42</f>
        <v>Plant Costs  - 2025 IRP - Table 7.1 &amp; 7.2</v>
      </c>
    </row>
    <row r="48" spans="2:13">
      <c r="C48" s="78"/>
      <c r="D48" s="72"/>
    </row>
    <row r="49" spans="2:20" ht="13.5" thickBot="1"/>
    <row r="50" spans="2:20" ht="13.5" thickBot="1">
      <c r="C50" s="37" t="str">
        <f>B2&amp;" - "&amp;B3</f>
        <v>WD_.PX.WMV._.PTC.Utility_Scale - 38%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157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451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0.37624761571044801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4B9D2-249B-4076-9A74-30B71CCED8A7}">
  <sheetPr>
    <tabColor rgb="FFFFFF00"/>
    <pageSetUpPr fitToPage="1"/>
  </sheetPr>
  <dimension ref="B1:AC89"/>
  <sheetViews>
    <sheetView zoomScale="80" zoomScaleNormal="80"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Assumptions'!$E$275:$E$298,'PV_.PX.WMV._.PTC.2036'!$B11-2023,1)</f>
        <v>20.967336</v>
      </c>
      <c r="F11" s="71"/>
      <c r="G11" s="72"/>
      <c r="H11" s="71"/>
      <c r="I11" s="71"/>
      <c r="J11" s="72"/>
      <c r="K11" s="72"/>
      <c r="L11" s="71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Assumptions'!$E$275:$E$298,'PV_.PX.WMV._.PTC.2036'!$B12-2023,1)</f>
        <v>21.424423924799999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Assumptions'!$E$275:$E$298,'PV_.PX.WMV._.PTC.2036'!$B13-2023,1)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Assumptions'!$E$275:$E$298,'PV_.PX.WMV._.PTC.2036'!$B14-2023,1)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Assumptions'!$E$275:$E$298,'PV_.PX.WMV._.PTC.2036'!$B15-2023,1)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Assumptions'!$E$275:$E$298,'PV_.PX.WMV._.PTC.2036'!$B16-2023,1)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Assumptions'!$E$275:$E$298,'PV_.PX.WMV._.PTC.2036'!$B17-2023,1)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71"/>
      <c r="E18" s="71" cm="1">
        <f t="array" ref="E18">$E$10*INDEX('2025 IRP Assumptions'!$E$275:$E$298,'PV_.PX.WMV._.PTC.2036'!$B18-2023,1)</f>
        <v>24.383977170120001</v>
      </c>
      <c r="F18" s="71"/>
      <c r="G18" s="72"/>
      <c r="H18" s="71"/>
      <c r="I18" s="71"/>
      <c r="J18" s="72"/>
      <c r="K18" s="72"/>
      <c r="L18" s="71"/>
      <c r="P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>
        <f>$C$10*INDEX('2025 IRP Assumptions'!$E$126:$E$146,MATCH(B19,'2025 IRP Assumptions'!$S$126:$S$146,0),1)</f>
        <v>1110.13504906095</v>
      </c>
      <c r="D19" s="71"/>
      <c r="E19" s="71" cm="1">
        <f t="array" ref="E19">$E$10*INDEX('2025 IRP Assumptions'!$E$275:$E$298,'PV_.PX.WMV._.PTC.2036'!$B19-2023,1)</f>
        <v>24.915547872719998</v>
      </c>
      <c r="F19" s="71"/>
      <c r="G19" s="72"/>
      <c r="H19" s="71"/>
      <c r="I19" s="71"/>
      <c r="J19" s="72"/>
      <c r="K19" s="72"/>
      <c r="L19" s="71"/>
      <c r="P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>
        <f>$C$10*INDEX('2025 IRP Assumptions'!$E$126:$E$146,MATCH(B20,'2025 IRP Assumptions'!$S$126:$S$146,0),1)</f>
        <v>1067.6657044284</v>
      </c>
      <c r="D20" s="71"/>
      <c r="E20" s="71" cm="1">
        <f t="array" ref="E20">$E$10*INDEX('2025 IRP Assumptions'!$E$275:$E$298,'PV_.PX.WMV._.PTC.2036'!$B20-2023,1)</f>
        <v>25.458706834919997</v>
      </c>
      <c r="F20" s="71"/>
      <c r="G20" s="72"/>
      <c r="H20" s="71"/>
      <c r="I20" s="71"/>
      <c r="J20" s="72"/>
      <c r="K20" s="72"/>
      <c r="L20" s="71"/>
      <c r="P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>
        <f>$C$10*INDEX('2025 IRP Assumptions'!$E$126:$E$146,MATCH(B21,'2025 IRP Assumptions'!$S$126:$S$146,0),1)</f>
        <v>1022.81711683395</v>
      </c>
      <c r="D21" s="71"/>
      <c r="E21" s="71" cm="1">
        <f t="array" ref="E21">$E$10*INDEX('2025 IRP Assumptions'!$E$275:$E$298,'PV_.PX.WMV._.PTC.2036'!$B21-2023,1)</f>
        <v>26.013706637399999</v>
      </c>
      <c r="F21" s="71"/>
      <c r="G21" s="72"/>
      <c r="H21" s="71"/>
      <c r="I21" s="71"/>
      <c r="J21" s="72"/>
      <c r="K21" s="72"/>
      <c r="L21" s="71"/>
      <c r="P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>
        <f>$C$10*INDEX('2025 IRP Assumptions'!$E$126:$E$146,MATCH(B22,'2025 IRP Assumptions'!$S$126:$S$146,0),1)</f>
        <v>1028.58353567055</v>
      </c>
      <c r="D22" s="248">
        <f>C22*$C$60</f>
        <v>70.571116382356436</v>
      </c>
      <c r="E22" s="71" cm="1">
        <f t="array" ref="E22">$E$10*INDEX('2025 IRP Assumptions'!$E$275:$E$298,'PV_.PX.WMV._.PTC.2036'!$B22-2023,1)</f>
        <v>26.580805442279999</v>
      </c>
      <c r="F22" s="71">
        <f>'Table 3 TransCost'!Y21</f>
        <v>69.939529046528392</v>
      </c>
      <c r="G22" s="72">
        <f t="shared" ref="G22:G36" si="1">(D22+E22+F22)/(8.76*$C$61)</f>
        <v>77.891442987295605</v>
      </c>
      <c r="H22" s="71"/>
      <c r="I22" s="71">
        <f>-INDEX('2025 IRP Assumptions'!$E$243:$E$272,MATCH(B22,'2025 IRP Assumptions'!$S$243:$S$272,0),1)</f>
        <v>-49.06</v>
      </c>
      <c r="J22" s="72">
        <f t="shared" ref="J22:J36" si="2">(G22+H22+I22)</f>
        <v>28.831442987295603</v>
      </c>
      <c r="K22" s="72">
        <f t="shared" ref="K22:K36" si="3">ROUND(J22*$C$61*8.76,2)</f>
        <v>61.85</v>
      </c>
      <c r="L22" s="71">
        <f t="shared" ref="L22:L36" si="4">(D22+E22+F22)</f>
        <v>167.09145087116482</v>
      </c>
      <c r="P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Assumptions'!$E$275:$E$298,'PV_.PX.WMV._.PTC.2036'!$B23-2023,1)/INDEX('2025 IRP Assumptions'!$E$275:$E$298,'PV_.PX.WMV._.PTC.2036'!$B23-2023-1,1)</f>
        <v>72.109566698778551</v>
      </c>
      <c r="E23" s="71" cm="1">
        <f t="array" ref="E23">$E$10*INDEX('2025 IRP Assumptions'!$E$275:$E$298,'PV_.PX.WMV._.PTC.2036'!$B23-2023,1)</f>
        <v>27.160266993119997</v>
      </c>
      <c r="F23" s="71" cm="1">
        <f t="array" ref="F23">F22*INDEX('2025 IRP Assumptions'!$E$275:$E$298,'PV_.PX.WMV._.PTC.2036'!$B23-2023,1)/INDEX('2025 IRP Assumptions'!$E$275:$E$298,'PV_.PX.WMV._.PTC.2036'!$B23-2023-1,1)</f>
        <v>71.464210759214836</v>
      </c>
      <c r="G23" s="72">
        <f t="shared" si="1"/>
        <v>79.589476421556824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29.199476421556824</v>
      </c>
      <c r="K23" s="72">
        <f t="shared" si="3"/>
        <v>62.64</v>
      </c>
      <c r="L23" s="71">
        <f t="shared" si="4"/>
        <v>170.73404445111339</v>
      </c>
      <c r="P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Assumptions'!$E$275:$E$298,'PV_.PX.WMV._.PTC.2036'!$B24-2023,1)/INDEX('2025 IRP Assumptions'!$E$275:$E$298,'PV_.PX.WMV._.PTC.2036'!$B24-2023-1,1)</f>
        <v>73.681555270201912</v>
      </c>
      <c r="E24" s="71" cm="1">
        <f t="array" ref="E24">$E$10*INDEX('2025 IRP Assumptions'!$E$275:$E$298,'PV_.PX.WMV._.PTC.2036'!$B24-2023,1)</f>
        <v>27.75236082012</v>
      </c>
      <c r="F24" s="71" cm="1">
        <f t="array" ref="F24">F23*INDEX('2025 IRP Assumptions'!$E$275:$E$298,'PV_.PX.WMV._.PTC.2036'!$B24-2023,1)/INDEX('2025 IRP Assumptions'!$E$275:$E$298,'PV_.PX.WMV._.PTC.2036'!$B24-2023-1,1)</f>
        <v>73.022130571000076</v>
      </c>
      <c r="G24" s="72">
        <f t="shared" si="1"/>
        <v>81.324527026740597</v>
      </c>
      <c r="H24" s="71"/>
      <c r="I24" s="71">
        <f>-INDEX('2025 IRP Assumptions'!$E$243:$E$272,MATCH(B24,'2025 IRP Assumptions'!$S$243:$S$272,0),1)</f>
        <v>-51.71</v>
      </c>
      <c r="J24" s="72">
        <f t="shared" si="2"/>
        <v>29.614527026740596</v>
      </c>
      <c r="K24" s="72">
        <f t="shared" si="3"/>
        <v>63.53</v>
      </c>
      <c r="L24" s="71">
        <f t="shared" si="4"/>
        <v>174.45604666132198</v>
      </c>
      <c r="P24" s="88"/>
      <c r="Q24" s="71"/>
      <c r="R24" s="71"/>
      <c r="S24" s="71"/>
      <c r="T24" s="71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Assumptions'!$E$275:$E$298,'PV_.PX.WMV._.PTC.2036'!$B25-2023,1)/INDEX('2025 IRP Assumptions'!$E$275:$E$298,'PV_.PX.WMV._.PTC.2036'!$B25-2023-1,1)</f>
        <v>75.287813162245953</v>
      </c>
      <c r="E25" s="71" cm="1">
        <f t="array" ref="E25">$E$10*INDEX('2025 IRP Assumptions'!$E$275:$E$298,'PV_.PX.WMV._.PTC.2036'!$B25-2023,1)</f>
        <v>28.35736228116</v>
      </c>
      <c r="F25" s="71" cm="1">
        <f t="array" ref="F25">F24*INDEX('2025 IRP Assumptions'!$E$275:$E$298,'PV_.PX.WMV._.PTC.2036'!$B25-2023,1)/INDEX('2025 IRP Assumptions'!$E$275:$E$298,'PV_.PX.WMV._.PTC.2036'!$B25-2023-1,1)</f>
        <v>74.614013004716483</v>
      </c>
      <c r="G25" s="72">
        <f t="shared" si="1"/>
        <v>83.09740170174463</v>
      </c>
      <c r="H25" s="71"/>
      <c r="I25" s="71">
        <f>-INDEX('2025 IRP Assumptions'!$E$243:$E$272,MATCH(B25,'2025 IRP Assumptions'!$S$243:$S$272,0),1)</f>
        <v>-51.71</v>
      </c>
      <c r="J25" s="72">
        <f t="shared" si="2"/>
        <v>31.387401701744629</v>
      </c>
      <c r="K25" s="72">
        <f t="shared" si="3"/>
        <v>67.33</v>
      </c>
      <c r="L25" s="71">
        <f t="shared" si="4"/>
        <v>178.25918844812242</v>
      </c>
      <c r="P25" s="88"/>
      <c r="Q25" s="71"/>
      <c r="R25" s="71"/>
      <c r="S25" s="71"/>
      <c r="T25" s="71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Assumptions'!$E$275:$E$298,'PV_.PX.WMV._.PTC.2036'!$B26-2023,1)/INDEX('2025 IRP Assumptions'!$E$275:$E$298,'PV_.PX.WMV._.PTC.2036'!$B26-2023-1,1)</f>
        <v>76.929087512097155</v>
      </c>
      <c r="E26" s="71" cm="1">
        <f t="array" ref="E26">$E$10*INDEX('2025 IRP Assumptions'!$E$275:$E$298,'PV_.PX.WMV._.PTC.2036'!$B26-2023,1)</f>
        <v>28.975552787519998</v>
      </c>
      <c r="F26" s="71" cm="1">
        <f t="array" ref="F26">F25*INDEX('2025 IRP Assumptions'!$E$275:$E$298,'PV_.PX.WMV._.PTC.2036'!$B26-2023,1)/INDEX('2025 IRP Assumptions'!$E$275:$E$298,'PV_.PX.WMV._.PTC.2036'!$B26-2023-1,1)</f>
        <v>76.240598510928464</v>
      </c>
      <c r="G26" s="72">
        <f t="shared" si="1"/>
        <v>84.908925084133799</v>
      </c>
      <c r="H26" s="71"/>
      <c r="I26" s="71">
        <f>-INDEX('2025 IRP Assumptions'!$E$243:$E$272,MATCH(B26,'2025 IRP Assumptions'!$S$243:$S$272,0),1)</f>
        <v>-53.04</v>
      </c>
      <c r="J26" s="72">
        <f t="shared" si="2"/>
        <v>31.868925084133799</v>
      </c>
      <c r="K26" s="72">
        <f t="shared" si="3"/>
        <v>68.36</v>
      </c>
      <c r="L26" s="71">
        <f t="shared" si="4"/>
        <v>182.14523881054561</v>
      </c>
      <c r="P26" s="88"/>
      <c r="Q26" s="71"/>
      <c r="R26" s="71"/>
      <c r="S26" s="71"/>
      <c r="T26" s="71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Assumptions'!$E$275:$E$298,'PV_.PX.WMV._.PTC.2036'!$B27-2023,1)/INDEX('2025 IRP Assumptions'!$E$275:$E$298,'PV_.PX.WMV._.PTC.2036'!$B27-2023-1,1)</f>
        <v>78.606141582988883</v>
      </c>
      <c r="E27" s="71" cm="1">
        <f t="array" ref="E27">$E$10*INDEX('2025 IRP Assumptions'!$E$275:$E$298,'PV_.PX.WMV._.PTC.2036'!$B27-2023,1)</f>
        <v>29.607219824399998</v>
      </c>
      <c r="F27" s="71" cm="1">
        <f t="array" ref="F27">F26*INDEX('2025 IRP Assumptions'!$E$275:$E$298,'PV_.PX.WMV._.PTC.2036'!$B27-2023,1)/INDEX('2025 IRP Assumptions'!$E$275:$E$298,'PV_.PX.WMV._.PTC.2036'!$B27-2023-1,1)</f>
        <v>77.902643521924702</v>
      </c>
      <c r="G27" s="72">
        <f t="shared" si="1"/>
        <v>86.759939610271203</v>
      </c>
      <c r="H27" s="71"/>
      <c r="I27" s="71">
        <f>-INDEX('2025 IRP Assumptions'!$E$243:$E$272,MATCH(B27,'2025 IRP Assumptions'!$S$243:$S$272,0),1)</f>
        <v>-54.37</v>
      </c>
      <c r="J27" s="72">
        <f t="shared" si="2"/>
        <v>32.389939610271206</v>
      </c>
      <c r="K27" s="72">
        <f t="shared" si="3"/>
        <v>69.48</v>
      </c>
      <c r="L27" s="71">
        <f t="shared" si="4"/>
        <v>186.11600492931359</v>
      </c>
      <c r="P27" s="88"/>
      <c r="Q27" s="71"/>
      <c r="R27" s="71"/>
      <c r="S27" s="71"/>
      <c r="T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Assumptions'!$E$275:$E$298,'PV_.PX.WMV._.PTC.2036'!$B28-2023,1)/INDEX('2025 IRP Assumptions'!$E$275:$E$298,'PV_.PX.WMV._.PTC.2036'!$B28-2023-1,1)</f>
        <v>80.319755472439951</v>
      </c>
      <c r="E28" s="71" cm="1">
        <f t="array" ref="E28">$E$10*INDEX('2025 IRP Assumptions'!$E$275:$E$298,'PV_.PX.WMV._.PTC.2036'!$B28-2023,1)</f>
        <v>30.252657217679999</v>
      </c>
      <c r="F28" s="71" cm="1">
        <f t="array" ref="F28">F27*INDEX('2025 IRP Assumptions'!$E$275:$E$298,'PV_.PX.WMV._.PTC.2036'!$B28-2023,1)/INDEX('2025 IRP Assumptions'!$E$275:$E$298,'PV_.PX.WMV._.PTC.2036'!$B28-2023-1,1)</f>
        <v>79.600921153618245</v>
      </c>
      <c r="G28" s="72">
        <f t="shared" si="1"/>
        <v>88.651306297022188</v>
      </c>
      <c r="H28" s="71"/>
      <c r="I28" s="71">
        <f>-INDEX('2025 IRP Assumptions'!$E$243:$E$272,MATCH(B28,'2025 IRP Assumptions'!$S$243:$S$272,0),1)</f>
        <v>-55.69</v>
      </c>
      <c r="J28" s="72">
        <f t="shared" si="2"/>
        <v>32.96130629702219</v>
      </c>
      <c r="K28" s="72">
        <f t="shared" si="3"/>
        <v>70.709999999999994</v>
      </c>
      <c r="L28" s="71">
        <f t="shared" si="4"/>
        <v>190.17333384373819</v>
      </c>
      <c r="P28" s="88"/>
      <c r="Q28" s="71"/>
      <c r="R28" s="71"/>
      <c r="S28" s="71"/>
      <c r="T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Assumptions'!$E$275:$E$298,'PV_.PX.WMV._.PTC.2036'!$B29-2023,1)/INDEX('2025 IRP Assumptions'!$E$275:$E$298,'PV_.PX.WMV._.PTC.2036'!$B29-2023-1,1)</f>
        <v>82.070726166734516</v>
      </c>
      <c r="E29" s="71" cm="1">
        <f t="array" ref="E29">$E$10*INDEX('2025 IRP Assumptions'!$E$275:$E$298,'PV_.PX.WMV._.PTC.2036'!$B29-2023,1)</f>
        <v>30.91216515444</v>
      </c>
      <c r="F29" s="71" cm="1">
        <f t="array" ref="F29">F28*INDEX('2025 IRP Assumptions'!$E$275:$E$298,'PV_.PX.WMV._.PTC.2036'!$B29-2023,1)/INDEX('2025 IRP Assumptions'!$E$275:$E$298,'PV_.PX.WMV._.PTC.2036'!$B29-2023-1,1)</f>
        <v>81.336221259538789</v>
      </c>
      <c r="G29" s="72">
        <f t="shared" si="1"/>
        <v>90.58390480188541</v>
      </c>
      <c r="H29" s="71"/>
      <c r="I29" s="71">
        <f>-INDEX('2025 IRP Assumptions'!$E$243:$E$272,MATCH(B29,'2025 IRP Assumptions'!$S$243:$S$272,0),1)</f>
        <v>-57.02</v>
      </c>
      <c r="J29" s="72">
        <f t="shared" si="2"/>
        <v>33.563904801885407</v>
      </c>
      <c r="K29" s="72">
        <f t="shared" si="3"/>
        <v>72</v>
      </c>
      <c r="L29" s="71">
        <f t="shared" si="4"/>
        <v>194.31911258071329</v>
      </c>
      <c r="P29" s="88"/>
      <c r="Q29" s="71"/>
      <c r="R29" s="71"/>
      <c r="S29" s="71"/>
      <c r="T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Assumptions'!$E$275:$E$298,'PV_.PX.WMV._.PTC.2036'!$B30-2023,1)/INDEX('2025 IRP Assumptions'!$E$275:$E$298,'PV_.PX.WMV._.PTC.2036'!$B30-2023-1,1)</f>
        <v>83.859867976761166</v>
      </c>
      <c r="E30" s="71" cm="1">
        <f t="array" ref="E30">$E$10*INDEX('2025 IRP Assumptions'!$E$275:$E$298,'PV_.PX.WMV._.PTC.2036'!$B30-2023,1)</f>
        <v>31.58605034712</v>
      </c>
      <c r="F30" s="71" cm="1">
        <f t="array" ref="F30">F29*INDEX('2025 IRP Assumptions'!$E$275:$E$298,'PV_.PX.WMV._.PTC.2036'!$B30-2023,1)/INDEX('2025 IRP Assumptions'!$E$275:$E$298,'PV_.PX.WMV._.PTC.2036'!$B30-2023-1,1)</f>
        <v>83.109350862771223</v>
      </c>
      <c r="G30" s="72">
        <f t="shared" si="1"/>
        <v>92.5586339040414</v>
      </c>
      <c r="H30" s="71"/>
      <c r="I30" s="71">
        <f>-INDEX('2025 IRP Assumptions'!$E$243:$E$272,MATCH(B30,'2025 IRP Assumptions'!$S$243:$S$272,0),1)</f>
        <v>-57.02</v>
      </c>
      <c r="J30" s="72">
        <f t="shared" si="2"/>
        <v>35.538633904041397</v>
      </c>
      <c r="K30" s="72">
        <f t="shared" si="3"/>
        <v>76.239999999999995</v>
      </c>
      <c r="L30" s="71">
        <f t="shared" si="4"/>
        <v>198.55526918665237</v>
      </c>
      <c r="P30" s="88"/>
      <c r="Q30" s="71"/>
      <c r="R30" s="71"/>
      <c r="S30" s="71"/>
      <c r="T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Assumptions'!$E$275:$E$298,'PV_.PX.WMV._.PTC.2036'!$B31-2023,1)/INDEX('2025 IRP Assumptions'!$E$275:$E$298,'PV_.PX.WMV._.PTC.2036'!$B31-2023-1,1)</f>
        <v>85.688013137291691</v>
      </c>
      <c r="E31" s="71" cm="1">
        <f t="array" ref="E31">$E$10*INDEX('2025 IRP Assumptions'!$E$275:$E$298,'PV_.PX.WMV._.PTC.2036'!$B31-2023,1)</f>
        <v>32.274626259240002</v>
      </c>
      <c r="F31" s="71" cm="1">
        <f t="array" ref="F31">F30*INDEX('2025 IRP Assumptions'!$E$275:$E$298,'PV_.PX.WMV._.PTC.2036'!$B31-2023,1)/INDEX('2025 IRP Assumptions'!$E$275:$E$298,'PV_.PX.WMV._.PTC.2036'!$B31-2023-1,1)</f>
        <v>84.921134749870987</v>
      </c>
      <c r="G31" s="72">
        <f t="shared" si="1"/>
        <v>94.57641216579448</v>
      </c>
      <c r="H31" s="71"/>
      <c r="I31" s="71">
        <f>-INDEX('2025 IRP Assumptions'!$E$243:$E$272,MATCH(B31,'2025 IRP Assumptions'!$S$243:$S$272,0),1)</f>
        <v>-58.35</v>
      </c>
      <c r="J31" s="72">
        <f t="shared" si="2"/>
        <v>36.226412165794478</v>
      </c>
      <c r="K31" s="72">
        <f t="shared" si="3"/>
        <v>77.709999999999994</v>
      </c>
      <c r="L31" s="71">
        <f t="shared" si="4"/>
        <v>202.88377414640269</v>
      </c>
      <c r="P31" s="88"/>
      <c r="Q31" s="71"/>
      <c r="R31" s="71"/>
      <c r="S31" s="71"/>
      <c r="T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Assumptions'!$E$275:$E$298,'PV_.PX.WMV._.PTC.2036'!$B32-2023,1)/INDEX('2025 IRP Assumptions'!$E$275:$E$298,'PV_.PX.WMV._.PTC.2036'!$B32-2023-1,1)</f>
        <v>87.556011806981104</v>
      </c>
      <c r="E32" s="71" cm="1">
        <f t="array" ref="E32">$E$10*INDEX('2025 IRP Assumptions'!$E$275:$E$298,'PV_.PX.WMV._.PTC.2036'!$B32-2023,1)</f>
        <v>32.978213105400002</v>
      </c>
      <c r="F32" s="71" cm="1">
        <f t="array" ref="F32">F31*INDEX('2025 IRP Assumptions'!$E$275:$E$298,'PV_.PX.WMV._.PTC.2036'!$B32-2023,1)/INDEX('2025 IRP Assumptions'!$E$275:$E$298,'PV_.PX.WMV._.PTC.2036'!$B32-2023-1,1)</f>
        <v>86.772415470864118</v>
      </c>
      <c r="G32" s="72">
        <f t="shared" si="1"/>
        <v>96.638177932572603</v>
      </c>
      <c r="H32" s="71"/>
      <c r="I32" s="71"/>
      <c r="J32" s="72">
        <f t="shared" si="2"/>
        <v>96.638177932572603</v>
      </c>
      <c r="K32" s="72">
        <f t="shared" si="3"/>
        <v>207.31</v>
      </c>
      <c r="L32" s="71">
        <f t="shared" si="4"/>
        <v>207.30664038324522</v>
      </c>
      <c r="P32" s="88"/>
      <c r="Q32" s="71"/>
      <c r="R32" s="71"/>
      <c r="S32" s="71"/>
      <c r="T32" s="71"/>
    </row>
    <row r="33" spans="2:20">
      <c r="B33" s="69">
        <f t="shared" si="0"/>
        <v>2047</v>
      </c>
      <c r="C33" s="73"/>
      <c r="D33" s="71" cm="1">
        <f t="array" ref="D33">D32*INDEX('2025 IRP Assumptions'!$E$275:$E$298,'PV_.PX.WMV._.PTC.2036'!$B33-2023,1)/INDEX('2025 IRP Assumptions'!$E$275:$E$298,'PV_.PX.WMV._.PTC.2036'!$B33-2023-1,1)</f>
        <v>89.464732831086081</v>
      </c>
      <c r="E33" s="71" cm="1">
        <f t="array" ref="E33">$E$10*INDEX('2025 IRP Assumptions'!$E$275:$E$298,'PV_.PX.WMV._.PTC.2036'!$B33-2023,1)</f>
        <v>33.69713813856</v>
      </c>
      <c r="F33" s="71" cm="1">
        <f t="array" ref="F33">F32*INDEX('2025 IRP Assumptions'!$E$275:$E$298,'PV_.PX.WMV._.PTC.2036'!$B33-2023,1)/INDEX('2025 IRP Assumptions'!$E$275:$E$298,'PV_.PX.WMV._.PTC.2036'!$B33-2023-1,1)</f>
        <v>88.664054095139647</v>
      </c>
      <c r="G33" s="72">
        <f t="shared" si="1"/>
        <v>98.744890174762588</v>
      </c>
      <c r="H33" s="71"/>
      <c r="I33" s="71"/>
      <c r="J33" s="72">
        <f t="shared" si="2"/>
        <v>98.744890174762588</v>
      </c>
      <c r="K33" s="72">
        <f t="shared" si="3"/>
        <v>211.83</v>
      </c>
      <c r="L33" s="71">
        <f t="shared" si="4"/>
        <v>211.82592506478574</v>
      </c>
      <c r="P33" s="88"/>
      <c r="Q33" s="71"/>
      <c r="R33" s="71"/>
      <c r="S33" s="71"/>
      <c r="T33" s="71"/>
    </row>
    <row r="34" spans="2:20" ht="15">
      <c r="B34" s="69">
        <f t="shared" si="0"/>
        <v>2048</v>
      </c>
      <c r="C34" s="73"/>
      <c r="D34" s="275">
        <f t="shared" ref="D34:E36" si="5">D33*D33/D32</f>
        <v>91.41506397279089</v>
      </c>
      <c r="E34" s="275">
        <f t="shared" si="5"/>
        <v>34.431735737169561</v>
      </c>
      <c r="F34" s="275">
        <f t="shared" ref="F34" si="6">F33*F33/F32</f>
        <v>90.596930440705222</v>
      </c>
      <c r="G34" s="72">
        <f t="shared" si="1"/>
        <v>100.89752874303139</v>
      </c>
      <c r="H34" s="71"/>
      <c r="I34" s="71"/>
      <c r="J34" s="72">
        <f t="shared" si="2"/>
        <v>100.89752874303139</v>
      </c>
      <c r="K34" s="72">
        <f t="shared" si="3"/>
        <v>216.44</v>
      </c>
      <c r="L34" s="71">
        <f t="shared" si="4"/>
        <v>216.44373015066566</v>
      </c>
      <c r="P34" s="88"/>
      <c r="Q34" s="71"/>
      <c r="R34" s="71"/>
      <c r="S34" s="71"/>
      <c r="T34" s="71"/>
    </row>
    <row r="35" spans="2:20" ht="15">
      <c r="B35" s="69">
        <f t="shared" si="0"/>
        <v>2049</v>
      </c>
      <c r="C35" s="73"/>
      <c r="D35" s="275">
        <f t="shared" si="5"/>
        <v>93.407912332643377</v>
      </c>
      <c r="E35" s="275">
        <f t="shared" si="5"/>
        <v>35.182347563149534</v>
      </c>
      <c r="F35" s="275">
        <f t="shared" ref="F35" si="7">F34*F34/F33</f>
        <v>92.571943489869284</v>
      </c>
      <c r="G35" s="72">
        <f t="shared" si="1"/>
        <v>103.09709483127006</v>
      </c>
      <c r="H35" s="71"/>
      <c r="I35" s="71"/>
      <c r="J35" s="72">
        <f t="shared" si="2"/>
        <v>103.09709483127006</v>
      </c>
      <c r="K35" s="72">
        <f t="shared" si="3"/>
        <v>221.16</v>
      </c>
      <c r="L35" s="71">
        <f t="shared" si="4"/>
        <v>221.1622033856622</v>
      </c>
      <c r="P35" s="88"/>
      <c r="Q35" s="71"/>
      <c r="R35" s="71"/>
      <c r="S35" s="71"/>
      <c r="T35" s="71"/>
    </row>
    <row r="36" spans="2:20" ht="15">
      <c r="B36" s="69">
        <f t="shared" si="0"/>
        <v>2050</v>
      </c>
      <c r="C36" s="73"/>
      <c r="D36" s="275">
        <f t="shared" si="5"/>
        <v>95.444204785983004</v>
      </c>
      <c r="E36" s="275">
        <f t="shared" si="5"/>
        <v>35.9493227266505</v>
      </c>
      <c r="F36" s="275">
        <f t="shared" ref="F36" si="8">F35*F35/F34</f>
        <v>94.590011822754249</v>
      </c>
      <c r="G36" s="72">
        <f t="shared" si="1"/>
        <v>105.34461145939611</v>
      </c>
      <c r="H36" s="71"/>
      <c r="I36" s="71"/>
      <c r="J36" s="72">
        <f t="shared" si="2"/>
        <v>105.34461145939611</v>
      </c>
      <c r="K36" s="72">
        <f t="shared" si="3"/>
        <v>225.98</v>
      </c>
      <c r="L36" s="71">
        <f t="shared" si="4"/>
        <v>225.98353933538777</v>
      </c>
      <c r="P36" s="88"/>
      <c r="Q36" s="71"/>
      <c r="R36" s="71"/>
      <c r="S36" s="71"/>
      <c r="T36" s="71"/>
    </row>
    <row r="37" spans="2:20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20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20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20">
      <c r="B42" s="62" t="s">
        <v>60</v>
      </c>
      <c r="C42" s="78" t="s">
        <v>61</v>
      </c>
      <c r="D42" s="159" t="s">
        <v>196</v>
      </c>
    </row>
    <row r="43" spans="2:20">
      <c r="C43" s="78" t="str">
        <f>C7</f>
        <v>(a)</v>
      </c>
      <c r="D43" s="62" t="s">
        <v>62</v>
      </c>
    </row>
    <row r="44" spans="2:20">
      <c r="C44" s="78" t="str">
        <f>D7</f>
        <v>(b)</v>
      </c>
      <c r="D44" s="72" t="str">
        <f>"= "&amp;C7&amp;" x "&amp;C60</f>
        <v>= (a) x 0.06861</v>
      </c>
    </row>
    <row r="45" spans="2:20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20">
      <c r="C46" s="78" t="str">
        <f>J7</f>
        <v>(g)</v>
      </c>
      <c r="D46" s="72" t="str">
        <f>"= "&amp;$G$7&amp;" + "&amp;$H$7</f>
        <v>= (e) + (f)</v>
      </c>
    </row>
    <row r="47" spans="2:20">
      <c r="C47" s="78" t="str">
        <f>K7</f>
        <v>(h)</v>
      </c>
      <c r="D47" t="str">
        <f>D42</f>
        <v>Plant Costs  - 2025 IRP - Table 7.1 &amp; 7.2</v>
      </c>
    </row>
    <row r="48" spans="2:20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2036</v>
      </c>
      <c r="T52" s="174" t="s">
        <v>151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332.98893712037511</v>
      </c>
      <c r="T54" s="62" t="s">
        <v>296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F3155-C715-45B6-9B7D-5F0C6444BC28}">
  <sheetPr>
    <tabColor rgb="FFCCFFCC"/>
    <pageSetUpPr fitToPage="1"/>
  </sheetPr>
  <dimension ref="B1:AC89"/>
  <sheetViews>
    <sheetView zoomScale="80" zoomScaleNormal="80" workbookViewId="0">
      <selection activeCell="O6" sqref="O6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PV_.PX.YAK._.PTC.Utility_Scale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27%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R5" s="281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S7" s="88"/>
      <c r="U7" s="88"/>
    </row>
    <row r="8" spans="2:29" ht="21.75" customHeight="1">
      <c r="X8" s="74"/>
    </row>
    <row r="9" spans="2:29" ht="15.75">
      <c r="B9" s="38" t="str">
        <f>C50</f>
        <v>PV_.PX.YAK._.PTC.Utility_Scale - 27% Capacity Factor</v>
      </c>
    </row>
    <row r="10" spans="2:29">
      <c r="B10" s="69">
        <v>2024</v>
      </c>
      <c r="C10" s="175">
        <f>INDEX('2025 IRP Assumptions'!$E$2:$E$28,MATCH($T$52,'2025 IRP Assumptions'!$C$2:$C$28,0),1)</f>
        <v>1240.8800000000001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1321.6485975202402</v>
      </c>
      <c r="D11" s="71"/>
      <c r="E11" s="71" cm="1">
        <f t="array" ref="E11">$E$10*INDEX('2025 IRP Assumptions'!$E$275:$E$298,'PV_.PX.YAK._.PTC.2032'!$B11-2023,1)</f>
        <v>20.967336</v>
      </c>
      <c r="F11" s="71"/>
      <c r="G11" s="72"/>
      <c r="H11" s="71"/>
      <c r="I11" s="71"/>
      <c r="J11" s="72"/>
      <c r="K11" s="72"/>
      <c r="L11" s="71"/>
      <c r="R11" s="71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1296.47259911336</v>
      </c>
      <c r="D12" s="71"/>
      <c r="E12" s="71" cm="1">
        <f t="array" ref="E12">$E$10*INDEX('2025 IRP Assumptions'!$E$275:$E$298,'PV_.PX.YAK._.PTC.2032'!$B12-2023,1)</f>
        <v>21.424423924799999</v>
      </c>
      <c r="F12" s="71"/>
      <c r="G12" s="72"/>
      <c r="H12" s="71"/>
      <c r="I12" s="71"/>
      <c r="J12" s="72"/>
      <c r="K12" s="72"/>
      <c r="L12" s="71"/>
      <c r="R12" s="71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1269.57082575152</v>
      </c>
      <c r="D13" s="71"/>
      <c r="E13" s="71" cm="1">
        <f t="array" ref="E13">$E$10*INDEX('2025 IRP Assumptions'!$E$275:$E$298,'PV_.PX.YAK._.PTC.2032'!$B13-2023,1)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R13" s="71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1240.8800000000001</v>
      </c>
      <c r="D14" s="71"/>
      <c r="E14" s="71" cm="1">
        <f t="array" ref="E14">$E$10*INDEX('2025 IRP Assumptions'!$E$275:$E$298,'PV_.PX.YAK._.PTC.2032'!$B14-2023,1)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1210.3349036877601</v>
      </c>
      <c r="D15" s="71"/>
      <c r="E15" s="71" cm="1">
        <f t="array" ref="E15">$E$10*INDEX('2025 IRP Assumptions'!$E$275:$E$298,'PV_.PX.YAK._.PTC.2032'!$B15-2023,1)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1177.8683245496002</v>
      </c>
      <c r="D16" s="71"/>
      <c r="E16" s="71" cm="1">
        <f t="array" ref="E16">$E$10*INDEX('2025 IRP Assumptions'!$E$275:$E$298,'PV_.PX.YAK._.PTC.2032'!$B16-2023,1)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1143.4110028683201</v>
      </c>
      <c r="D17" s="71"/>
      <c r="E17" s="71" cm="1">
        <f t="array" ref="E17">$E$10*INDEX('2025 IRP Assumptions'!$E$275:$E$298,'PV_.PX.YAK._.PTC.2032'!$B17-2023,1)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1106.89157315336</v>
      </c>
      <c r="D18" s="248">
        <f>C18*$C$60</f>
        <v>75.943830834052036</v>
      </c>
      <c r="E18" s="71" cm="1">
        <f t="array" ref="E18">$E$10*INDEX('2025 IRP Assumptions'!$E$275:$E$298,'PV_.PX.YAK._.PTC.2032'!$B18-2023,1)</f>
        <v>24.383977170120001</v>
      </c>
      <c r="F18" s="71"/>
      <c r="G18" s="72">
        <f t="shared" ref="G18:G36" si="1">(D18+E18+F18)/(8.76*$C$61)</f>
        <v>42.455959014457974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-2.6240409855420239</v>
      </c>
      <c r="K18" s="72">
        <f t="shared" ref="K18:K36" si="3">ROUND(J18*$C$61*8.76,2)</f>
        <v>-6.2</v>
      </c>
      <c r="L18" s="71">
        <f t="shared" ref="L18:L36" si="4">(D18+E18+F18)</f>
        <v>100.32780800417204</v>
      </c>
      <c r="P18" s="88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Assumptions'!$E$275:$E$298,'PV_.PX.YAK._.PTC.2032'!$B19-2023,1)/INDEX('2025 IRP Assumptions'!$E$275:$E$298,'PV_.PX.YAK._.PTC.2032'!$B19-2023-1,1)</f>
        <v>77.599406347141866</v>
      </c>
      <c r="E19" s="71" cm="1">
        <f t="array" ref="E19">$E$10*INDEX('2025 IRP Assumptions'!$E$275:$E$298,'PV_.PX.YAK._.PTC.2032'!$B19-2023,1)</f>
        <v>24.915547872719998</v>
      </c>
      <c r="F19" s="71"/>
      <c r="G19" s="72">
        <f t="shared" si="1"/>
        <v>43.381498921480485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-3.0285010785195112</v>
      </c>
      <c r="K19" s="72">
        <f t="shared" si="3"/>
        <v>-7.16</v>
      </c>
      <c r="L19" s="71">
        <f t="shared" si="4"/>
        <v>102.51495421986186</v>
      </c>
      <c r="P19" s="88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Assumptions'!$E$275:$E$298,'PV_.PX.YAK._.PTC.2032'!$B20-2023,1)/INDEX('2025 IRP Assumptions'!$E$275:$E$298,'PV_.PX.YAK._.PTC.2032'!$B20-2023-1,1)</f>
        <v>79.291073463360433</v>
      </c>
      <c r="E20" s="71" cm="1">
        <f t="array" ref="E20">$E$10*INDEX('2025 IRP Assumptions'!$E$275:$E$298,'PV_.PX.YAK._.PTC.2032'!$B20-2023,1)</f>
        <v>25.458706834919997</v>
      </c>
      <c r="F20" s="71"/>
      <c r="G20" s="72">
        <f t="shared" si="1"/>
        <v>44.327215630309958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-3.4127843696900442</v>
      </c>
      <c r="K20" s="72">
        <f t="shared" si="3"/>
        <v>-8.06</v>
      </c>
      <c r="L20" s="71">
        <f t="shared" si="4"/>
        <v>104.74978029828043</v>
      </c>
      <c r="P20" s="88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Assumptions'!$E$275:$E$298,'PV_.PX.YAK._.PTC.2032'!$B21-2023,1)/INDEX('2025 IRP Assumptions'!$E$275:$E$298,'PV_.PX.YAK._.PTC.2032'!$B21-2023-1,1)</f>
        <v>81.01961884455126</v>
      </c>
      <c r="E21" s="71" cm="1">
        <f t="array" ref="E21">$E$10*INDEX('2025 IRP Assumptions'!$E$275:$E$298,'PV_.PX.YAK._.PTC.2032'!$B21-2023,1)</f>
        <v>26.013706637399999</v>
      </c>
      <c r="F21" s="71"/>
      <c r="G21" s="72">
        <f t="shared" si="1"/>
        <v>45.293548919696285</v>
      </c>
      <c r="H21" s="71"/>
      <c r="I21" s="71">
        <f>-INDEX('2025 IRP Assumptions'!$E$243:$E$272,MATCH(B21,'2025 IRP Assumptions'!$S$243:$S$272,0),1)</f>
        <v>-47.74</v>
      </c>
      <c r="J21" s="72">
        <f t="shared" si="2"/>
        <v>-2.4464510803037172</v>
      </c>
      <c r="K21" s="72">
        <f t="shared" si="3"/>
        <v>-5.78</v>
      </c>
      <c r="L21" s="71">
        <f t="shared" si="4"/>
        <v>107.03332548195127</v>
      </c>
      <c r="P21" s="88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Assumptions'!$E$275:$E$298,'PV_.PX.YAK._.PTC.2032'!$B22-2023,1)/INDEX('2025 IRP Assumptions'!$E$275:$E$298,'PV_.PX.YAK._.PTC.2032'!$B22-2023-1,1)</f>
        <v>82.785846535937651</v>
      </c>
      <c r="E22" s="71" cm="1">
        <f t="array" ref="E22">$E$10*INDEX('2025 IRP Assumptions'!$E$275:$E$298,'PV_.PX.YAK._.PTC.2032'!$B22-2023,1)</f>
        <v>26.580805442279999</v>
      </c>
      <c r="F22" s="71"/>
      <c r="G22" s="72">
        <f t="shared" si="1"/>
        <v>46.280948286467215</v>
      </c>
      <c r="H22" s="71"/>
      <c r="I22" s="71">
        <f>-INDEX('2025 IRP Assumptions'!$E$243:$E$272,MATCH(B22,'2025 IRP Assumptions'!$S$243:$S$272,0),1)</f>
        <v>-49.06</v>
      </c>
      <c r="J22" s="72">
        <f t="shared" si="2"/>
        <v>-2.7790517135327875</v>
      </c>
      <c r="K22" s="72">
        <f t="shared" si="3"/>
        <v>-6.57</v>
      </c>
      <c r="L22" s="71">
        <f t="shared" si="4"/>
        <v>109.36665197821765</v>
      </c>
      <c r="P22" s="88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Assumptions'!$E$275:$E$298,'PV_.PX.YAK._.PTC.2032'!$B23-2023,1)/INDEX('2025 IRP Assumptions'!$E$275:$E$298,'PV_.PX.YAK._.PTC.2032'!$B23-2023-1,1)</f>
        <v>84.590577966122709</v>
      </c>
      <c r="E23" s="71" cm="1">
        <f t="array" ref="E23">$E$10*INDEX('2025 IRP Assumptions'!$E$275:$E$298,'PV_.PX.YAK._.PTC.2032'!$B23-2023,1)</f>
        <v>27.160266993119997</v>
      </c>
      <c r="F23" s="71"/>
      <c r="G23" s="72">
        <f t="shared" si="1"/>
        <v>47.289872945528323</v>
      </c>
      <c r="H23" s="71"/>
      <c r="I23" s="71">
        <f>-INDEX('2025 IRP Assumptions'!$E$243:$E$272,MATCH(B23,'2025 IRP Assumptions'!$S$243:$S$272,0),1)</f>
        <v>-50.39</v>
      </c>
      <c r="J23" s="72">
        <f t="shared" si="2"/>
        <v>-3.1001270544716775</v>
      </c>
      <c r="K23" s="72">
        <f t="shared" si="3"/>
        <v>-7.33</v>
      </c>
      <c r="L23" s="71">
        <f t="shared" si="4"/>
        <v>111.7508449592427</v>
      </c>
      <c r="P23" s="88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Assumptions'!$E$275:$E$298,'PV_.PX.YAK._.PTC.2032'!$B24-2023,1)/INDEX('2025 IRP Assumptions'!$E$275:$E$298,'PV_.PX.YAK._.PTC.2032'!$B24-2023-1,1)</f>
        <v>86.4346525861841</v>
      </c>
      <c r="E24" s="71" cm="1">
        <f t="array" ref="E24">$E$10*INDEX('2025 IRP Assumptions'!$E$275:$E$298,'PV_.PX.YAK._.PTC.2032'!$B24-2023,1)</f>
        <v>27.75236082012</v>
      </c>
      <c r="F24" s="71"/>
      <c r="G24" s="72">
        <f t="shared" si="1"/>
        <v>48.320792187145301</v>
      </c>
      <c r="H24" s="71"/>
      <c r="I24" s="71">
        <f>-INDEX('2025 IRP Assumptions'!$E$243:$E$272,MATCH(B24,'2025 IRP Assumptions'!$S$243:$S$272,0),1)</f>
        <v>-51.71</v>
      </c>
      <c r="J24" s="72">
        <f t="shared" si="2"/>
        <v>-3.3892078128546999</v>
      </c>
      <c r="K24" s="72">
        <f t="shared" si="3"/>
        <v>-8.01</v>
      </c>
      <c r="L24" s="71">
        <f t="shared" si="4"/>
        <v>114.1870134063041</v>
      </c>
      <c r="P24" s="88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Assumptions'!$E$275:$E$298,'PV_.PX.YAK._.PTC.2032'!$B25-2023,1)/INDEX('2025 IRP Assumptions'!$E$275:$E$298,'PV_.PX.YAK._.PTC.2032'!$B25-2023-1,1)</f>
        <v>88.318927997493063</v>
      </c>
      <c r="E25" s="71" cm="1">
        <f t="array" ref="E25">$E$10*INDEX('2025 IRP Assumptions'!$E$275:$E$298,'PV_.PX.YAK._.PTC.2032'!$B25-2023,1)</f>
        <v>28.35736228116</v>
      </c>
      <c r="F25" s="71"/>
      <c r="G25" s="72">
        <f t="shared" si="1"/>
        <v>49.374185448400354</v>
      </c>
      <c r="H25" s="71"/>
      <c r="I25" s="71">
        <f>-INDEX('2025 IRP Assumptions'!$E$243:$E$272,MATCH(B25,'2025 IRP Assumptions'!$S$243:$S$272,0),1)</f>
        <v>-51.71</v>
      </c>
      <c r="J25" s="72">
        <f t="shared" si="2"/>
        <v>-2.3358145515996469</v>
      </c>
      <c r="K25" s="72">
        <f t="shared" si="3"/>
        <v>-5.52</v>
      </c>
      <c r="L25" s="71">
        <f t="shared" si="4"/>
        <v>116.67629027865306</v>
      </c>
      <c r="P25" s="88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Assumptions'!$E$275:$E$298,'PV_.PX.YAK._.PTC.2032'!$B26-2023,1)/INDEX('2025 IRP Assumptions'!$E$275:$E$298,'PV_.PX.YAK._.PTC.2032'!$B26-2023-1,1)</f>
        <v>90.244280654718736</v>
      </c>
      <c r="E26" s="71" cm="1">
        <f t="array" ref="E26">$E$10*INDEX('2025 IRP Assumptions'!$E$275:$E$298,'PV_.PX.YAK._.PTC.2032'!$B26-2023,1)</f>
        <v>28.975552787519998</v>
      </c>
      <c r="F26" s="71"/>
      <c r="G26" s="72">
        <f t="shared" si="1"/>
        <v>50.450542706202775</v>
      </c>
      <c r="H26" s="71"/>
      <c r="I26" s="71">
        <f>-INDEX('2025 IRP Assumptions'!$E$243:$E$272,MATCH(B26,'2025 IRP Assumptions'!$S$243:$S$272,0),1)</f>
        <v>-53.04</v>
      </c>
      <c r="J26" s="72">
        <f t="shared" si="2"/>
        <v>-2.5894572937972242</v>
      </c>
      <c r="K26" s="72">
        <f t="shared" si="3"/>
        <v>-6.12</v>
      </c>
      <c r="L26" s="71">
        <f t="shared" si="4"/>
        <v>119.21983344223874</v>
      </c>
      <c r="P26" s="88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Assumptions'!$E$275:$E$298,'PV_.PX.YAK._.PTC.2032'!$B27-2023,1)/INDEX('2025 IRP Assumptions'!$E$275:$E$298,'PV_.PX.YAK._.PTC.2032'!$B27-2023-1,1)</f>
        <v>92.211605929737658</v>
      </c>
      <c r="E27" s="71" cm="1">
        <f t="array" ref="E27">$E$10*INDEX('2025 IRP Assumptions'!$E$275:$E$298,'PV_.PX.YAK._.PTC.2032'!$B27-2023,1)</f>
        <v>29.607219824399998</v>
      </c>
      <c r="F27" s="71"/>
      <c r="G27" s="72">
        <f t="shared" si="1"/>
        <v>51.550364513017129</v>
      </c>
      <c r="H27" s="71"/>
      <c r="I27" s="71"/>
      <c r="J27" s="72">
        <f t="shared" si="2"/>
        <v>51.550364513017129</v>
      </c>
      <c r="K27" s="72">
        <f t="shared" si="3"/>
        <v>121.82</v>
      </c>
      <c r="L27" s="71">
        <f t="shared" si="4"/>
        <v>121.81882575413766</v>
      </c>
      <c r="P27" s="88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Assumptions'!$E$275:$E$298,'PV_.PX.YAK._.PTC.2032'!$B28-2023,1)/INDEX('2025 IRP Assumptions'!$E$275:$E$298,'PV_.PX.YAK._.PTC.2032'!$B28-2023-1,1)</f>
        <v>94.221818942457062</v>
      </c>
      <c r="E28" s="71" cm="1">
        <f t="array" ref="E28">$E$10*INDEX('2025 IRP Assumptions'!$E$275:$E$298,'PV_.PX.YAK._.PTC.2032'!$B28-2023,1)</f>
        <v>30.252657217679999</v>
      </c>
      <c r="F28" s="71"/>
      <c r="G28" s="72">
        <f t="shared" si="1"/>
        <v>52.674162461330226</v>
      </c>
      <c r="H28" s="71"/>
      <c r="I28" s="71"/>
      <c r="J28" s="72">
        <f t="shared" si="2"/>
        <v>52.674162461330226</v>
      </c>
      <c r="K28" s="72">
        <f t="shared" si="3"/>
        <v>124.47</v>
      </c>
      <c r="L28" s="71">
        <f t="shared" si="4"/>
        <v>124.47447616013706</v>
      </c>
      <c r="P28" s="88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Assumptions'!$E$275:$E$298,'PV_.PX.YAK._.PTC.2032'!$B29-2023,1)/INDEX('2025 IRP Assumptions'!$E$275:$E$298,'PV_.PX.YAK._.PTC.2032'!$B29-2023-1,1)</f>
        <v>96.275854624724303</v>
      </c>
      <c r="E29" s="71" cm="1">
        <f t="array" ref="E29">$E$10*INDEX('2025 IRP Assumptions'!$E$275:$E$298,'PV_.PX.YAK._.PTC.2032'!$B29-2023,1)</f>
        <v>30.91216515444</v>
      </c>
      <c r="F29" s="71"/>
      <c r="G29" s="72">
        <f t="shared" si="1"/>
        <v>53.82245921937934</v>
      </c>
      <c r="H29" s="71"/>
      <c r="I29" s="71"/>
      <c r="J29" s="72">
        <f t="shared" si="2"/>
        <v>53.82245921937934</v>
      </c>
      <c r="K29" s="72">
        <f t="shared" si="3"/>
        <v>127.19</v>
      </c>
      <c r="L29" s="71">
        <f t="shared" si="4"/>
        <v>127.18801977916431</v>
      </c>
      <c r="P29" s="88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Assumptions'!$E$275:$E$298,'PV_.PX.YAK._.PTC.2032'!$B30-2023,1)/INDEX('2025 IRP Assumptions'!$E$275:$E$298,'PV_.PX.YAK._.PTC.2032'!$B30-2023-1,1)</f>
        <v>98.374668231602811</v>
      </c>
      <c r="E30" s="71" cm="1">
        <f t="array" ref="E30">$E$10*INDEX('2025 IRP Assumptions'!$E$275:$E$298,'PV_.PX.YAK._.PTC.2032'!$B30-2023,1)</f>
        <v>31.58605034712</v>
      </c>
      <c r="F30" s="71"/>
      <c r="G30" s="72">
        <f t="shared" si="1"/>
        <v>54.995788816978013</v>
      </c>
      <c r="H30" s="71"/>
      <c r="I30" s="71"/>
      <c r="J30" s="72">
        <f t="shared" si="2"/>
        <v>54.995788816978013</v>
      </c>
      <c r="K30" s="72">
        <f t="shared" si="3"/>
        <v>129.96</v>
      </c>
      <c r="L30" s="71">
        <f t="shared" si="4"/>
        <v>129.9607185787228</v>
      </c>
      <c r="P30" s="88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Assumptions'!$E$275:$E$298,'PV_.PX.YAK._.PTC.2032'!$B31-2023,1)/INDEX('2025 IRP Assumptions'!$E$275:$E$298,'PV_.PX.YAK._.PTC.2032'!$B31-2023-1,1)</f>
        <v>100.51923604437636</v>
      </c>
      <c r="E31" s="71" cm="1">
        <f t="array" ref="E31">$E$10*INDEX('2025 IRP Assumptions'!$E$275:$E$298,'PV_.PX.YAK._.PTC.2032'!$B31-2023,1)</f>
        <v>32.274626259240002</v>
      </c>
      <c r="F31" s="71"/>
      <c r="G31" s="72">
        <f t="shared" si="1"/>
        <v>56.194697038526598</v>
      </c>
      <c r="H31" s="71"/>
      <c r="I31" s="71"/>
      <c r="J31" s="72">
        <f t="shared" si="2"/>
        <v>56.194697038526598</v>
      </c>
      <c r="K31" s="72">
        <f t="shared" si="3"/>
        <v>132.79</v>
      </c>
      <c r="L31" s="71">
        <f t="shared" si="4"/>
        <v>132.79386230361635</v>
      </c>
      <c r="P31" s="88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Assumptions'!$E$275:$E$298,'PV_.PX.YAK._.PTC.2032'!$B32-2023,1)/INDEX('2025 IRP Assumptions'!$E$275:$E$298,'PV_.PX.YAK._.PTC.2032'!$B32-2023-1,1)</f>
        <v>102.71055537054912</v>
      </c>
      <c r="E32" s="71" cm="1">
        <f t="array" ref="E32">$E$10*INDEX('2025 IRP Assumptions'!$E$275:$E$298,'PV_.PX.YAK._.PTC.2032'!$B32-2023,1)</f>
        <v>32.978213105400002</v>
      </c>
      <c r="F32" s="71"/>
      <c r="G32" s="72">
        <f t="shared" si="1"/>
        <v>57.419741423012212</v>
      </c>
      <c r="H32" s="71"/>
      <c r="I32" s="71"/>
      <c r="J32" s="72">
        <f t="shared" si="2"/>
        <v>57.419741423012212</v>
      </c>
      <c r="K32" s="72">
        <f t="shared" si="3"/>
        <v>135.69</v>
      </c>
      <c r="L32" s="71">
        <f t="shared" si="4"/>
        <v>135.68876847594913</v>
      </c>
      <c r="P32" s="88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Assumptions'!$E$275:$E$298,'PV_.PX.YAK._.PTC.2032'!$B33-2023,1)/INDEX('2025 IRP Assumptions'!$E$275:$E$298,'PV_.PX.YAK._.PTC.2032'!$B33-2023-1,1)</f>
        <v>104.94964543857839</v>
      </c>
      <c r="E33" s="71" cm="1">
        <f t="array" ref="E33">$E$10*INDEX('2025 IRP Assumptions'!$E$275:$E$298,'PV_.PX.YAK._.PTC.2032'!$B33-2023,1)</f>
        <v>33.69713813856</v>
      </c>
      <c r="F33" s="71"/>
      <c r="G33" s="72">
        <f t="shared" si="1"/>
        <v>58.671491764203921</v>
      </c>
      <c r="H33" s="71"/>
      <c r="I33" s="71"/>
      <c r="J33" s="72">
        <f t="shared" si="2"/>
        <v>58.671491764203921</v>
      </c>
      <c r="K33" s="72">
        <f t="shared" si="3"/>
        <v>138.65</v>
      </c>
      <c r="L33" s="71">
        <f t="shared" si="4"/>
        <v>138.64678357713839</v>
      </c>
      <c r="P33" s="88"/>
      <c r="R33" s="71"/>
    </row>
    <row r="34" spans="2:18" ht="15">
      <c r="B34" s="69">
        <f t="shared" si="0"/>
        <v>2048</v>
      </c>
      <c r="C34" s="73"/>
      <c r="D34" s="275">
        <f t="shared" ref="D34:E36" si="5">D33*D33/D32</f>
        <v>107.23754766923943</v>
      </c>
      <c r="E34" s="275">
        <f t="shared" si="5"/>
        <v>34.431735737169561</v>
      </c>
      <c r="F34" s="71"/>
      <c r="G34" s="72">
        <f t="shared" si="1"/>
        <v>59.950530262357724</v>
      </c>
      <c r="H34" s="71"/>
      <c r="I34" s="71"/>
      <c r="J34" s="72">
        <f t="shared" si="2"/>
        <v>59.950530262357724</v>
      </c>
      <c r="K34" s="72">
        <f t="shared" si="3"/>
        <v>141.66999999999999</v>
      </c>
      <c r="L34" s="71">
        <f t="shared" si="4"/>
        <v>141.66928340640899</v>
      </c>
      <c r="P34" s="88"/>
      <c r="R34" s="71"/>
    </row>
    <row r="35" spans="2:18" ht="15">
      <c r="B35" s="69">
        <f t="shared" si="0"/>
        <v>2049</v>
      </c>
      <c r="C35" s="73"/>
      <c r="D35" s="275">
        <f t="shared" si="5"/>
        <v>109.57532616765907</v>
      </c>
      <c r="E35" s="275">
        <f t="shared" si="5"/>
        <v>35.182347563149534</v>
      </c>
      <c r="F35" s="71"/>
      <c r="G35" s="72">
        <f t="shared" si="1"/>
        <v>61.257451799285015</v>
      </c>
      <c r="H35" s="71"/>
      <c r="I35" s="71"/>
      <c r="J35" s="72">
        <f t="shared" si="2"/>
        <v>61.257451799285015</v>
      </c>
      <c r="K35" s="72">
        <f t="shared" si="3"/>
        <v>144.76</v>
      </c>
      <c r="L35" s="71">
        <f t="shared" si="4"/>
        <v>144.75767373080862</v>
      </c>
      <c r="P35" s="88"/>
      <c r="R35" s="71"/>
    </row>
    <row r="36" spans="2:18" ht="15">
      <c r="B36" s="69">
        <f t="shared" si="0"/>
        <v>2050</v>
      </c>
      <c r="C36" s="73"/>
      <c r="D36" s="275">
        <f t="shared" si="5"/>
        <v>111.96406823645547</v>
      </c>
      <c r="E36" s="275">
        <f t="shared" si="5"/>
        <v>35.9493227266505</v>
      </c>
      <c r="F36" s="71"/>
      <c r="G36" s="72">
        <f t="shared" si="1"/>
        <v>62.592864225220445</v>
      </c>
      <c r="H36" s="71"/>
      <c r="I36" s="71"/>
      <c r="J36" s="72">
        <f t="shared" si="2"/>
        <v>62.592864225220445</v>
      </c>
      <c r="K36" s="72">
        <f t="shared" si="3"/>
        <v>147.91</v>
      </c>
      <c r="L36" s="71">
        <f t="shared" si="4"/>
        <v>147.91339096310597</v>
      </c>
      <c r="P36" s="88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196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27.0%)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PV_.PX.YAK._.PTC.Utility_Scale - 27%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152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0.2697606268956857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60" zoomScaleNormal="100" workbookViewId="0">
      <selection activeCell="C40" sqref="C40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17" customFormat="1" ht="15.75" hidden="1">
      <c r="B1" s="1" t="s">
        <v>34</v>
      </c>
      <c r="C1" s="1"/>
      <c r="D1" s="1"/>
      <c r="E1" s="1"/>
      <c r="F1" s="1"/>
      <c r="G1" s="115"/>
      <c r="H1" s="1"/>
      <c r="I1" s="1"/>
      <c r="J1" s="1"/>
      <c r="K1" s="1"/>
      <c r="L1" s="116"/>
      <c r="M1" s="1"/>
      <c r="N1" s="1"/>
      <c r="O1" s="1"/>
      <c r="P1" s="1"/>
    </row>
    <row r="2" spans="2:16" s="117" customFormat="1" ht="5.25" customHeight="1">
      <c r="B2" s="1"/>
      <c r="C2" s="1"/>
      <c r="D2" s="1"/>
      <c r="E2" s="1"/>
      <c r="F2" s="1"/>
      <c r="G2" s="115"/>
      <c r="H2" s="1"/>
      <c r="I2" s="1"/>
      <c r="J2" s="1"/>
      <c r="K2" s="1"/>
      <c r="L2" s="116"/>
      <c r="M2" s="1"/>
      <c r="N2" s="1"/>
      <c r="O2" s="1"/>
      <c r="P2" s="1"/>
    </row>
    <row r="3" spans="2:16" s="117" customFormat="1" ht="15.75">
      <c r="B3" s="1" t="s">
        <v>82</v>
      </c>
      <c r="C3" s="1"/>
      <c r="D3" s="1"/>
      <c r="E3" s="1"/>
      <c r="F3" s="1"/>
      <c r="G3" s="115"/>
      <c r="H3" s="1"/>
      <c r="I3" s="1"/>
      <c r="J3" s="1"/>
      <c r="K3" s="1"/>
      <c r="L3" s="116"/>
      <c r="M3" s="1"/>
      <c r="N3" s="1"/>
      <c r="O3" s="1"/>
      <c r="P3" s="1"/>
    </row>
    <row r="4" spans="2:16" s="118" customFormat="1" ht="15">
      <c r="B4" s="4" t="s">
        <v>83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18" customFormat="1" ht="15">
      <c r="B5" s="4" t="str">
        <f ca="1">'Table 1'!B5</f>
        <v>Avoided Cost Resource - 100.0 MW and 100%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18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19"/>
      <c r="E7" s="119"/>
      <c r="F7" s="119"/>
      <c r="G7" s="120"/>
      <c r="H7" s="120"/>
      <c r="I7" s="120"/>
      <c r="J7" s="120"/>
      <c r="K7" s="120"/>
      <c r="L7" s="120"/>
      <c r="M7" s="121"/>
    </row>
    <row r="8" spans="2:16">
      <c r="B8" s="122"/>
      <c r="C8" s="122"/>
      <c r="D8" s="123" t="s">
        <v>84</v>
      </c>
      <c r="E8" s="124"/>
      <c r="F8" s="124"/>
      <c r="G8" s="123"/>
      <c r="H8" s="123"/>
      <c r="I8" s="125" t="s">
        <v>85</v>
      </c>
      <c r="J8" s="126"/>
      <c r="K8" s="126"/>
      <c r="L8" s="127"/>
      <c r="M8" s="128" t="s">
        <v>84</v>
      </c>
      <c r="N8" s="129"/>
      <c r="O8" s="130"/>
    </row>
    <row r="9" spans="2:16">
      <c r="B9" s="131" t="s">
        <v>0</v>
      </c>
      <c r="C9" s="131" t="s">
        <v>120</v>
      </c>
      <c r="D9" s="132" t="s">
        <v>123</v>
      </c>
      <c r="E9" s="133" t="s">
        <v>124</v>
      </c>
      <c r="F9" s="133" t="s">
        <v>125</v>
      </c>
      <c r="G9" s="133" t="s">
        <v>126</v>
      </c>
      <c r="H9" s="134" t="s">
        <v>127</v>
      </c>
      <c r="I9" s="96" t="s">
        <v>128</v>
      </c>
      <c r="J9" s="96" t="s">
        <v>129</v>
      </c>
      <c r="K9" s="96" t="s">
        <v>130</v>
      </c>
      <c r="L9" s="96" t="s">
        <v>131</v>
      </c>
      <c r="M9" s="132" t="s">
        <v>132</v>
      </c>
      <c r="N9" s="133" t="s">
        <v>133</v>
      </c>
      <c r="O9" s="134" t="s">
        <v>134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94" t="s">
        <v>86</v>
      </c>
      <c r="C11" s="94"/>
      <c r="E11" s="119"/>
      <c r="F11" s="119"/>
      <c r="G11" s="119"/>
      <c r="H11" s="119"/>
      <c r="I11" s="119"/>
      <c r="J11" s="119"/>
      <c r="K11" s="119"/>
      <c r="L11" s="119"/>
      <c r="M11" s="119"/>
      <c r="N11" s="119"/>
    </row>
    <row r="12" spans="2:16" ht="12.75" hidden="1" customHeight="1">
      <c r="B12" s="135"/>
      <c r="C12" s="136"/>
      <c r="D12" s="7"/>
      <c r="E12" s="7"/>
      <c r="F12" s="7"/>
      <c r="G12" s="7"/>
      <c r="H12" s="11"/>
      <c r="I12" s="137"/>
      <c r="J12" s="138"/>
      <c r="K12" s="138"/>
      <c r="L12" s="139"/>
      <c r="M12" s="137"/>
      <c r="N12" s="138"/>
      <c r="O12" s="139"/>
    </row>
    <row r="13" spans="2:16" ht="12.75" customHeight="1">
      <c r="B13" s="140">
        <v>2026</v>
      </c>
      <c r="C13" s="199">
        <v>23.321664917303469</v>
      </c>
      <c r="D13" s="200">
        <v>21.582104610379833</v>
      </c>
      <c r="E13" s="200">
        <v>20.724013740311879</v>
      </c>
      <c r="F13" s="200">
        <v>14.456013302813576</v>
      </c>
      <c r="G13" s="200">
        <v>13.479105253289063</v>
      </c>
      <c r="H13" s="201">
        <v>16.335142734337406</v>
      </c>
      <c r="I13" s="202">
        <v>20.273748045014145</v>
      </c>
      <c r="J13" s="200">
        <v>32.445143855007721</v>
      </c>
      <c r="K13" s="200">
        <v>37.843003088186848</v>
      </c>
      <c r="L13" s="201">
        <v>26.365619383139954</v>
      </c>
      <c r="M13" s="202">
        <v>19.441132692546166</v>
      </c>
      <c r="N13" s="200">
        <v>26.466203004603511</v>
      </c>
      <c r="O13" s="201">
        <v>30.203154193563833</v>
      </c>
    </row>
    <row r="14" spans="2:16" ht="12.75" customHeight="1">
      <c r="B14" s="153">
        <v>2027</v>
      </c>
      <c r="C14" s="203">
        <v>27.369219671304982</v>
      </c>
      <c r="D14" s="204">
        <v>33.561221655547868</v>
      </c>
      <c r="E14" s="204">
        <v>29.364528422626712</v>
      </c>
      <c r="F14" s="204">
        <v>18.720452342872214</v>
      </c>
      <c r="G14" s="204">
        <v>17.980316737738324</v>
      </c>
      <c r="H14" s="205">
        <v>18.990071802055962</v>
      </c>
      <c r="I14" s="206">
        <v>22.688674519926483</v>
      </c>
      <c r="J14" s="204">
        <v>33.896683726530703</v>
      </c>
      <c r="K14" s="204">
        <v>38.101100397832518</v>
      </c>
      <c r="L14" s="205">
        <v>28.68789166975229</v>
      </c>
      <c r="M14" s="206">
        <v>22.170597693661815</v>
      </c>
      <c r="N14" s="204">
        <v>26.964976929143631</v>
      </c>
      <c r="O14" s="205">
        <v>37.396313755035308</v>
      </c>
    </row>
    <row r="15" spans="2:16" ht="12.75" customHeight="1">
      <c r="B15" s="153">
        <v>2028</v>
      </c>
      <c r="C15" s="203">
        <v>29.314370531826235</v>
      </c>
      <c r="D15" s="204">
        <v>39.163103712681263</v>
      </c>
      <c r="E15" s="204">
        <v>33.429211205864014</v>
      </c>
      <c r="F15" s="204">
        <v>20.782887408629865</v>
      </c>
      <c r="G15" s="204">
        <v>18.836452111074898</v>
      </c>
      <c r="H15" s="205">
        <v>20.562240133606117</v>
      </c>
      <c r="I15" s="206">
        <v>21.909391304581227</v>
      </c>
      <c r="J15" s="204">
        <v>36.039032560499329</v>
      </c>
      <c r="K15" s="204">
        <v>41.14763142639648</v>
      </c>
      <c r="L15" s="205">
        <v>32.023239586798809</v>
      </c>
      <c r="M15" s="206">
        <v>22.323257683143854</v>
      </c>
      <c r="N15" s="204">
        <v>27.293435368081898</v>
      </c>
      <c r="O15" s="205">
        <v>38.570532993962843</v>
      </c>
    </row>
    <row r="16" spans="2:16" ht="12.75" customHeight="1">
      <c r="B16" s="153">
        <v>2029</v>
      </c>
      <c r="C16" s="203">
        <v>34.043848840681093</v>
      </c>
      <c r="D16" s="204">
        <v>34.032891284333829</v>
      </c>
      <c r="E16" s="204">
        <v>38.908418796378712</v>
      </c>
      <c r="F16" s="204">
        <v>26.242986317448409</v>
      </c>
      <c r="G16" s="204">
        <v>21.555860818528927</v>
      </c>
      <c r="H16" s="205">
        <v>24.864661735774263</v>
      </c>
      <c r="I16" s="206">
        <v>30.244367426197744</v>
      </c>
      <c r="J16" s="204">
        <v>42.907340064615006</v>
      </c>
      <c r="K16" s="204">
        <v>47.288715661416063</v>
      </c>
      <c r="L16" s="205">
        <v>37.529189506399135</v>
      </c>
      <c r="M16" s="206">
        <v>28.659894038321305</v>
      </c>
      <c r="N16" s="204">
        <v>33.266832136539961</v>
      </c>
      <c r="O16" s="205">
        <v>43.358219764005902</v>
      </c>
    </row>
    <row r="17" spans="2:15" ht="12.75" customHeight="1">
      <c r="B17" s="153">
        <v>2030</v>
      </c>
      <c r="C17" s="203">
        <v>36.300890396491369</v>
      </c>
      <c r="D17" s="204">
        <v>34.725993545694841</v>
      </c>
      <c r="E17" s="204">
        <v>37.706649834140357</v>
      </c>
      <c r="F17" s="204">
        <v>28.281735509122317</v>
      </c>
      <c r="G17" s="204">
        <v>18.276352326287654</v>
      </c>
      <c r="H17" s="205">
        <v>20.819423713393956</v>
      </c>
      <c r="I17" s="206">
        <v>32.483796024352664</v>
      </c>
      <c r="J17" s="204">
        <v>48.306038080093636</v>
      </c>
      <c r="K17" s="204">
        <v>49.68770489451002</v>
      </c>
      <c r="L17" s="205">
        <v>44.939804051134239</v>
      </c>
      <c r="M17" s="206">
        <v>33.298699309963474</v>
      </c>
      <c r="N17" s="204">
        <v>41.338252220744785</v>
      </c>
      <c r="O17" s="205">
        <v>45.929477455173988</v>
      </c>
    </row>
    <row r="18" spans="2:15" ht="12.75" customHeight="1">
      <c r="B18" s="153">
        <v>2031</v>
      </c>
      <c r="C18" s="203">
        <v>40.253215001716875</v>
      </c>
      <c r="D18" s="204">
        <v>45.888808918779262</v>
      </c>
      <c r="E18" s="204">
        <v>42.172034431319808</v>
      </c>
      <c r="F18" s="204">
        <v>29.843221155995469</v>
      </c>
      <c r="G18" s="204">
        <v>28.110303596464696</v>
      </c>
      <c r="H18" s="205">
        <v>25.399802119563706</v>
      </c>
      <c r="I18" s="206">
        <v>32.133768029341404</v>
      </c>
      <c r="J18" s="204">
        <v>47.504625829709845</v>
      </c>
      <c r="K18" s="204">
        <v>55.762419235299866</v>
      </c>
      <c r="L18" s="205">
        <v>47.576738017853586</v>
      </c>
      <c r="M18" s="206">
        <v>35.625967129664431</v>
      </c>
      <c r="N18" s="204">
        <v>45.797105902325647</v>
      </c>
      <c r="O18" s="205">
        <v>47.40152180363409</v>
      </c>
    </row>
    <row r="19" spans="2:15" ht="12.75" customHeight="1">
      <c r="B19" s="153">
        <v>2032</v>
      </c>
      <c r="C19" s="203">
        <v>37.920927758642684</v>
      </c>
      <c r="D19" s="204">
        <v>42.202030509161858</v>
      </c>
      <c r="E19" s="204">
        <v>41.886503612996137</v>
      </c>
      <c r="F19" s="204">
        <v>27.780167951769602</v>
      </c>
      <c r="G19" s="204">
        <v>21.846604407367419</v>
      </c>
      <c r="H19" s="205">
        <v>24.882173494040011</v>
      </c>
      <c r="I19" s="206">
        <v>28.238235247181766</v>
      </c>
      <c r="J19" s="204">
        <v>48.04897540815697</v>
      </c>
      <c r="K19" s="204">
        <v>53.605516667351083</v>
      </c>
      <c r="L19" s="205">
        <v>44.196114485990272</v>
      </c>
      <c r="M19" s="206">
        <v>24.729954963988682</v>
      </c>
      <c r="N19" s="204">
        <v>48.742731995263107</v>
      </c>
      <c r="O19" s="205">
        <v>49.623625050566076</v>
      </c>
    </row>
    <row r="20" spans="2:15" ht="12.75" customHeight="1">
      <c r="B20" s="153">
        <v>2033</v>
      </c>
      <c r="C20" s="203">
        <v>37.343782233616004</v>
      </c>
      <c r="D20" s="204">
        <v>41.042483670548641</v>
      </c>
      <c r="E20" s="204">
        <v>42.95086735162365</v>
      </c>
      <c r="F20" s="204">
        <v>27.515737934673556</v>
      </c>
      <c r="G20" s="204">
        <v>19.941546742321101</v>
      </c>
      <c r="H20" s="205">
        <v>23.457399454189297</v>
      </c>
      <c r="I20" s="206">
        <v>27.367296519010779</v>
      </c>
      <c r="J20" s="204">
        <v>49.349699469120061</v>
      </c>
      <c r="K20" s="204">
        <v>51.943254188454077</v>
      </c>
      <c r="L20" s="205">
        <v>43.249745714361531</v>
      </c>
      <c r="M20" s="206">
        <v>23.483621180987946</v>
      </c>
      <c r="N20" s="204">
        <v>45.948371164140809</v>
      </c>
      <c r="O20" s="205">
        <v>52.491519005285078</v>
      </c>
    </row>
    <row r="21" spans="2:15" ht="12.75" customHeight="1">
      <c r="B21" s="153">
        <v>2034</v>
      </c>
      <c r="C21" s="203">
        <v>38.234590160331138</v>
      </c>
      <c r="D21" s="204">
        <v>40.838077786121538</v>
      </c>
      <c r="E21" s="204">
        <v>43.873568743682824</v>
      </c>
      <c r="F21" s="204">
        <v>25.95000744361182</v>
      </c>
      <c r="G21" s="204">
        <v>17.28194366639238</v>
      </c>
      <c r="H21" s="205">
        <v>26.49162514186721</v>
      </c>
      <c r="I21" s="206">
        <v>29.978602862013052</v>
      </c>
      <c r="J21" s="204">
        <v>50.610090491518299</v>
      </c>
      <c r="K21" s="204">
        <v>53.309326978111933</v>
      </c>
      <c r="L21" s="205">
        <v>45.969063019871605</v>
      </c>
      <c r="M21" s="206">
        <v>24.635091555000368</v>
      </c>
      <c r="N21" s="204">
        <v>48.84660302557338</v>
      </c>
      <c r="O21" s="205">
        <v>51.659457167957875</v>
      </c>
    </row>
    <row r="22" spans="2:15" ht="12.75" customHeight="1">
      <c r="B22" s="153">
        <v>2035</v>
      </c>
      <c r="C22" s="203">
        <v>39.883688160676925</v>
      </c>
      <c r="D22" s="204">
        <v>42.341608042267865</v>
      </c>
      <c r="E22" s="204">
        <v>46.729843305428325</v>
      </c>
      <c r="F22" s="204">
        <v>30.366951386262155</v>
      </c>
      <c r="G22" s="204">
        <v>18.808446550426098</v>
      </c>
      <c r="H22" s="205">
        <v>28.244253195242628</v>
      </c>
      <c r="I22" s="206">
        <v>30.365100667715623</v>
      </c>
      <c r="J22" s="204">
        <v>49.948778375739998</v>
      </c>
      <c r="K22" s="204">
        <v>52.350616475827145</v>
      </c>
      <c r="L22" s="205">
        <v>49.057062175313554</v>
      </c>
      <c r="M22" s="206">
        <v>27.388050048022158</v>
      </c>
      <c r="N22" s="204">
        <v>48.324224085412048</v>
      </c>
      <c r="O22" s="205">
        <v>55.424463011472909</v>
      </c>
    </row>
    <row r="23" spans="2:15" ht="12.75" customHeight="1">
      <c r="B23" s="153">
        <v>2036</v>
      </c>
      <c r="C23" s="203">
        <v>23.89164691429459</v>
      </c>
      <c r="D23" s="204">
        <v>25.507748870279041</v>
      </c>
      <c r="E23" s="204">
        <v>35.195107432606243</v>
      </c>
      <c r="F23" s="204">
        <v>13.777236145105558</v>
      </c>
      <c r="G23" s="204">
        <v>4.6622667308652632</v>
      </c>
      <c r="H23" s="205">
        <v>12.604866232617379</v>
      </c>
      <c r="I23" s="206">
        <v>17.154905731271356</v>
      </c>
      <c r="J23" s="204">
        <v>37.68457892834293</v>
      </c>
      <c r="K23" s="204">
        <v>43.628459445855931</v>
      </c>
      <c r="L23" s="205">
        <v>36.335122321275577</v>
      </c>
      <c r="M23" s="206">
        <v>10.652319463665027</v>
      </c>
      <c r="N23" s="204">
        <v>20.106300836415457</v>
      </c>
      <c r="O23" s="205">
        <v>29.952827965549954</v>
      </c>
    </row>
    <row r="24" spans="2:15" ht="12.75" customHeight="1">
      <c r="B24" s="153">
        <v>2037</v>
      </c>
      <c r="C24" s="203">
        <v>27.110042659036871</v>
      </c>
      <c r="D24" s="204">
        <v>30.666846686512024</v>
      </c>
      <c r="E24" s="204">
        <v>30.386199366285368</v>
      </c>
      <c r="F24" s="204">
        <v>20.54420314881207</v>
      </c>
      <c r="G24" s="204">
        <v>9.017376139141966</v>
      </c>
      <c r="H24" s="205">
        <v>15.427587731282983</v>
      </c>
      <c r="I24" s="206">
        <v>17.454500820995236</v>
      </c>
      <c r="J24" s="204">
        <v>40.207350141142825</v>
      </c>
      <c r="K24" s="204">
        <v>47.875502523243235</v>
      </c>
      <c r="L24" s="205">
        <v>37.110717612846408</v>
      </c>
      <c r="M24" s="206">
        <v>10.489166099893433</v>
      </c>
      <c r="N24" s="204">
        <v>36.681720178022566</v>
      </c>
      <c r="O24" s="205">
        <v>29.592738561526858</v>
      </c>
    </row>
    <row r="25" spans="2:15" ht="12.75" customHeight="1">
      <c r="B25" s="153">
        <v>2038</v>
      </c>
      <c r="C25" s="203">
        <v>29.390934630747648</v>
      </c>
      <c r="D25" s="204">
        <v>31.787781958857174</v>
      </c>
      <c r="E25" s="204">
        <v>35.405904141609348</v>
      </c>
      <c r="F25" s="204">
        <v>21.175932662658116</v>
      </c>
      <c r="G25" s="204">
        <v>10.992549578165885</v>
      </c>
      <c r="H25" s="205">
        <v>14.44175501495509</v>
      </c>
      <c r="I25" s="206">
        <v>17.719840521483192</v>
      </c>
      <c r="J25" s="204">
        <v>42.546176953166885</v>
      </c>
      <c r="K25" s="204">
        <v>50.910869492153743</v>
      </c>
      <c r="L25" s="205">
        <v>39.355004923258399</v>
      </c>
      <c r="M25" s="206">
        <v>8.1082568021852772</v>
      </c>
      <c r="N25" s="204">
        <v>41.18894891313802</v>
      </c>
      <c r="O25" s="205">
        <v>39.705020404748211</v>
      </c>
    </row>
    <row r="26" spans="2:15" ht="12.75" customHeight="1">
      <c r="B26" s="153">
        <v>2039</v>
      </c>
      <c r="C26" s="203">
        <v>31.250094864723071</v>
      </c>
      <c r="D26" s="204">
        <v>32.271705873640173</v>
      </c>
      <c r="E26" s="204">
        <v>37.850451360645501</v>
      </c>
      <c r="F26" s="204">
        <v>19.203375637943704</v>
      </c>
      <c r="G26" s="204">
        <v>10.407632125674354</v>
      </c>
      <c r="H26" s="205">
        <v>18.190433256715295</v>
      </c>
      <c r="I26" s="206">
        <v>17.794800242596867</v>
      </c>
      <c r="J26" s="204">
        <v>44.456711024686818</v>
      </c>
      <c r="K26" s="204">
        <v>50.526444696000695</v>
      </c>
      <c r="L26" s="205">
        <v>44.529317630906817</v>
      </c>
      <c r="M26" s="206">
        <v>8.6425047966872874</v>
      </c>
      <c r="N26" s="204">
        <v>45.016620656938358</v>
      </c>
      <c r="O26" s="205">
        <v>47.024811304059966</v>
      </c>
    </row>
    <row r="27" spans="2:15" ht="12.75" customHeight="1">
      <c r="B27" s="153">
        <v>2040</v>
      </c>
      <c r="C27" s="203">
        <v>33.169104584422705</v>
      </c>
      <c r="D27" s="204">
        <v>34.893137799843082</v>
      </c>
      <c r="E27" s="204">
        <v>36.756168433289844</v>
      </c>
      <c r="F27" s="204">
        <v>25.099349171875367</v>
      </c>
      <c r="G27" s="204">
        <v>8.2495859909370974</v>
      </c>
      <c r="H27" s="205">
        <v>16.792421274954336</v>
      </c>
      <c r="I27" s="206">
        <v>17.274428486988956</v>
      </c>
      <c r="J27" s="204">
        <v>48.993585560208942</v>
      </c>
      <c r="K27" s="204">
        <v>52.553600425356073</v>
      </c>
      <c r="L27" s="205">
        <v>46.375958510735948</v>
      </c>
      <c r="M27" s="206">
        <v>16.692145437713975</v>
      </c>
      <c r="N27" s="204">
        <v>41.536761018282483</v>
      </c>
      <c r="O27" s="205">
        <v>53.750749454745829</v>
      </c>
    </row>
    <row r="28" spans="2:15" ht="12.75" customHeight="1">
      <c r="B28" s="153">
        <v>2041</v>
      </c>
      <c r="C28" s="203">
        <v>37.157061986684283</v>
      </c>
      <c r="D28" s="204">
        <v>37.699302928332017</v>
      </c>
      <c r="E28" s="204">
        <v>46.030840898471958</v>
      </c>
      <c r="F28" s="204">
        <v>29.426411482924966</v>
      </c>
      <c r="G28" s="204">
        <v>14.259756308100098</v>
      </c>
      <c r="H28" s="205">
        <v>12.834945502630143</v>
      </c>
      <c r="I28" s="206">
        <v>26.092347858533788</v>
      </c>
      <c r="J28" s="204">
        <v>51.047378339577371</v>
      </c>
      <c r="K28" s="204">
        <v>51.433795391354522</v>
      </c>
      <c r="L28" s="205">
        <v>48.566025804191518</v>
      </c>
      <c r="M28" s="206">
        <v>22.209065466327587</v>
      </c>
      <c r="N28" s="204">
        <v>47.39557224325209</v>
      </c>
      <c r="O28" s="205">
        <v>60.090602637601734</v>
      </c>
    </row>
    <row r="29" spans="2:15" ht="12.75" customHeight="1">
      <c r="B29" s="153">
        <v>2042</v>
      </c>
      <c r="C29" s="203">
        <v>47.584598448378557</v>
      </c>
      <c r="D29" s="204">
        <v>58.814266057904391</v>
      </c>
      <c r="E29" s="204">
        <v>49.46791513658458</v>
      </c>
      <c r="F29" s="204">
        <v>42.536152101618107</v>
      </c>
      <c r="G29" s="204">
        <v>27.946338311343929</v>
      </c>
      <c r="H29" s="205">
        <v>25.126422582232269</v>
      </c>
      <c r="I29" s="206">
        <v>41.339898763884683</v>
      </c>
      <c r="J29" s="204">
        <v>52.912113456138762</v>
      </c>
      <c r="K29" s="204">
        <v>63.071121693975982</v>
      </c>
      <c r="L29" s="205">
        <v>59.132730597778497</v>
      </c>
      <c r="M29" s="206">
        <v>27.704615955538976</v>
      </c>
      <c r="N29" s="204">
        <v>61.255623415150694</v>
      </c>
      <c r="O29" s="205">
        <v>62.344967715701891</v>
      </c>
    </row>
    <row r="30" spans="2:15" ht="12.75" customHeight="1">
      <c r="B30" s="154">
        <v>2043</v>
      </c>
      <c r="C30" s="207">
        <v>49.40306000659286</v>
      </c>
      <c r="D30" s="208">
        <v>59.377771936896828</v>
      </c>
      <c r="E30" s="208">
        <v>52.621811261846773</v>
      </c>
      <c r="F30" s="208">
        <v>46.602015748153924</v>
      </c>
      <c r="G30" s="208">
        <v>25.288784106213065</v>
      </c>
      <c r="H30" s="209">
        <v>27.475407142092958</v>
      </c>
      <c r="I30" s="210">
        <v>42.799446097376759</v>
      </c>
      <c r="J30" s="208">
        <v>54.480664800650182</v>
      </c>
      <c r="K30" s="208">
        <v>66.699973383709676</v>
      </c>
      <c r="L30" s="209">
        <v>57.96321115057718</v>
      </c>
      <c r="M30" s="210">
        <v>28.232176370730848</v>
      </c>
      <c r="N30" s="208">
        <v>64.376437002683616</v>
      </c>
      <c r="O30" s="209">
        <v>67.585282850443747</v>
      </c>
    </row>
    <row r="31" spans="2:15" ht="12.75" hidden="1" customHeight="1">
      <c r="B31" s="12"/>
      <c r="C31" s="141"/>
      <c r="D31" s="142"/>
      <c r="E31" s="142"/>
      <c r="F31" s="142"/>
      <c r="G31" s="142"/>
      <c r="H31" s="143"/>
      <c r="I31" s="144"/>
      <c r="J31" s="142"/>
      <c r="K31" s="142"/>
      <c r="L31" s="143"/>
      <c r="M31" s="144"/>
      <c r="N31" s="142"/>
      <c r="O31" s="143"/>
    </row>
    <row r="32" spans="2:15" ht="12.75" hidden="1" customHeight="1">
      <c r="B32" s="145"/>
      <c r="C32" s="146"/>
      <c r="D32" s="147"/>
      <c r="E32" s="147"/>
      <c r="F32" s="147"/>
      <c r="G32" s="147"/>
      <c r="H32" s="148"/>
      <c r="I32" s="149"/>
      <c r="J32" s="147"/>
      <c r="K32" s="147"/>
      <c r="L32" s="148"/>
      <c r="M32" s="149"/>
      <c r="N32" s="147"/>
      <c r="O32" s="148"/>
    </row>
    <row r="33" spans="2:16" ht="12.75" customHeight="1">
      <c r="D33" s="9"/>
      <c r="E33" s="9"/>
      <c r="F33" s="9"/>
      <c r="M33" s="150"/>
    </row>
    <row r="34" spans="2:16">
      <c r="B34" s="151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</row>
    <row r="38" spans="2:16" hidden="1">
      <c r="C38" s="152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52"/>
    </row>
    <row r="40" spans="2:16">
      <c r="C40" s="152"/>
    </row>
    <row r="41" spans="2:16">
      <c r="C41" s="152"/>
    </row>
  </sheetData>
  <conditionalFormatting sqref="C29:O31">
    <cfRule type="cellIs" dxfId="1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2" zoomScale="90" zoomScaleNormal="100" zoomScaleSheetLayoutView="90" workbookViewId="0">
      <selection activeCell="C40" sqref="C40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hidden="1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7" hidden="1" customWidth="1"/>
    <col min="14" max="14" width="10.33203125" style="47" hidden="1" customWidth="1"/>
    <col min="15" max="15" width="13.83203125" style="47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8" t="s">
        <v>29</v>
      </c>
    </row>
    <row r="5" spans="2:18" ht="15.75">
      <c r="B5" s="1" t="str">
        <f ca="1">'Table 1'!$B$5</f>
        <v>Avoided Cost Resource - 100.0 MW and 100% CF</v>
      </c>
      <c r="C5" s="1"/>
      <c r="D5" s="1"/>
      <c r="H5" s="49">
        <v>46022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7"/>
      <c r="J10" s="47"/>
    </row>
    <row r="11" spans="2:18" hidden="1">
      <c r="C11" s="5"/>
      <c r="D11" s="5"/>
      <c r="H11" s="27"/>
      <c r="I11" s="47"/>
      <c r="J11" s="47"/>
    </row>
    <row r="12" spans="2:18" hidden="1">
      <c r="C12" s="22"/>
      <c r="D12" s="22"/>
      <c r="H12" s="27"/>
      <c r="I12" s="47"/>
      <c r="J12" s="47"/>
    </row>
    <row r="13" spans="2:18" ht="6" customHeight="1">
      <c r="H13" s="50"/>
      <c r="I13" s="51"/>
      <c r="J13" s="51"/>
    </row>
    <row r="14" spans="2:18">
      <c r="B14" s="23"/>
      <c r="C14" s="24"/>
      <c r="D14" s="24"/>
      <c r="E14" s="24"/>
      <c r="F14" s="24"/>
      <c r="H14" s="52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90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89</v>
      </c>
      <c r="K16" s="31" t="s">
        <v>27</v>
      </c>
      <c r="L16" s="31" t="s">
        <v>27</v>
      </c>
      <c r="M16" s="51" t="s">
        <v>0</v>
      </c>
      <c r="O16" s="53" t="s">
        <v>56</v>
      </c>
      <c r="P16" s="53" t="s">
        <v>79</v>
      </c>
      <c r="Q16" s="53" t="s">
        <v>58</v>
      </c>
      <c r="R16" s="3" t="s">
        <v>89</v>
      </c>
    </row>
    <row r="17" spans="2:18" ht="13.5" thickBot="1">
      <c r="B17" s="23">
        <v>2025</v>
      </c>
      <c r="C17" s="24">
        <f>ROUND(SUMIF($M$17:$M$379,$B17,$I$17:$I$379)/COUNTIF($M$17:$M$379,$B17),2)</f>
        <v>2.78</v>
      </c>
      <c r="D17" s="24">
        <f>ROUND(SUMIF($M$17:$M$379,$B17,$J$17:$J$379)/COUNTIF($M$17:$M$379,$B17),2)</f>
        <v>2.76</v>
      </c>
      <c r="E17" s="24">
        <f>ROUND(SUMIF($M$17:$M$379,$B17,$K$17:$K$379)/COUNTIF($M$17:$M$379,$B17),2)</f>
        <v>2.1800000000000002</v>
      </c>
      <c r="F17" s="24">
        <f>ROUND(SUMIF($M$17:$M$379,$B17,$L$17:$L$379)/COUNTIF($M$17:$M$379,$B17),2)</f>
        <v>2.76</v>
      </c>
      <c r="H17" s="28">
        <v>45658</v>
      </c>
      <c r="I17" s="32">
        <v>4.1297460368663588</v>
      </c>
      <c r="J17" s="32">
        <v>4.10123008624997</v>
      </c>
      <c r="K17" s="32">
        <v>3.6667413638174002</v>
      </c>
      <c r="L17" s="32">
        <v>4.1264797373966609</v>
      </c>
      <c r="M17" s="54">
        <f t="shared" ref="M17:M64" si="0">YEAR(H17)</f>
        <v>2025</v>
      </c>
      <c r="O17" s="55">
        <v>47</v>
      </c>
      <c r="P17" s="55">
        <v>43</v>
      </c>
      <c r="Q17" s="55">
        <v>46</v>
      </c>
      <c r="R17" s="55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3.04</v>
      </c>
      <c r="D18" s="24">
        <f t="shared" ref="D18:D37" si="3">ROUND(SUMIF($M$17:$M$379,$B18,$J$17:$J$379)/COUNTIF($M$17:$M$379,$B18),2)</f>
        <v>2.98</v>
      </c>
      <c r="E18" s="24">
        <f t="shared" ref="E18:E37" si="4">ROUND(SUMIF($M$17:$M$379,$B18,$K$17:$K$379)/COUNTIF($M$17:$M$379,$B18),2)</f>
        <v>2.72</v>
      </c>
      <c r="F18" s="24">
        <f t="shared" ref="F18:F37" si="5">ROUND(SUMIF($M$17:$M$379,$B18,$L$17:$L$379)/COUNTIF($M$17:$M$379,$B18),2)</f>
        <v>2.85</v>
      </c>
      <c r="H18" s="28">
        <v>45689</v>
      </c>
      <c r="I18" s="32">
        <v>3.443492157434402</v>
      </c>
      <c r="J18" s="32">
        <v>3.4192469869653501</v>
      </c>
      <c r="K18" s="32">
        <v>3.2332463688945383</v>
      </c>
      <c r="L18" s="32">
        <v>3.4316866475233296</v>
      </c>
      <c r="M18" s="54">
        <f t="shared" si="0"/>
        <v>2025</v>
      </c>
    </row>
    <row r="19" spans="2:18">
      <c r="B19" s="23">
        <f t="shared" si="1"/>
        <v>2027</v>
      </c>
      <c r="C19" s="24">
        <f t="shared" si="2"/>
        <v>3.62</v>
      </c>
      <c r="D19" s="24">
        <f t="shared" si="3"/>
        <v>3.59</v>
      </c>
      <c r="E19" s="24">
        <f t="shared" si="4"/>
        <v>3.61</v>
      </c>
      <c r="F19" s="24">
        <f t="shared" si="5"/>
        <v>3.39</v>
      </c>
      <c r="H19" s="28">
        <v>45717</v>
      </c>
      <c r="I19" s="32">
        <v>2.6847822448979595</v>
      </c>
      <c r="J19" s="32">
        <v>2.6654832161574844</v>
      </c>
      <c r="K19" s="32">
        <v>2.0537251310910474</v>
      </c>
      <c r="L19" s="32">
        <v>2.7210655697844066</v>
      </c>
      <c r="M19" s="54">
        <f t="shared" si="0"/>
        <v>2025</v>
      </c>
    </row>
    <row r="20" spans="2:18">
      <c r="B20" s="23">
        <f t="shared" si="1"/>
        <v>2028</v>
      </c>
      <c r="C20" s="24">
        <f t="shared" si="2"/>
        <v>3.56</v>
      </c>
      <c r="D20" s="24">
        <f t="shared" si="3"/>
        <v>3.53</v>
      </c>
      <c r="E20" s="24">
        <f t="shared" si="4"/>
        <v>3.7</v>
      </c>
      <c r="F20" s="24">
        <f t="shared" si="5"/>
        <v>3.32</v>
      </c>
      <c r="H20" s="28">
        <v>45748</v>
      </c>
      <c r="I20" s="32">
        <v>1.9317602668759815</v>
      </c>
      <c r="J20" s="32">
        <v>1.9170211999819962</v>
      </c>
      <c r="K20" s="32">
        <v>1.5165075335729228</v>
      </c>
      <c r="L20" s="32">
        <v>1.9378484087102179</v>
      </c>
      <c r="M20" s="54">
        <f t="shared" si="0"/>
        <v>2025</v>
      </c>
    </row>
    <row r="21" spans="2:18">
      <c r="B21" s="23">
        <f t="shared" si="1"/>
        <v>2029</v>
      </c>
      <c r="C21" s="24">
        <f t="shared" si="2"/>
        <v>4.38</v>
      </c>
      <c r="D21" s="24">
        <f t="shared" si="3"/>
        <v>4.34</v>
      </c>
      <c r="E21" s="24">
        <f t="shared" si="4"/>
        <v>4.5</v>
      </c>
      <c r="F21" s="24">
        <f t="shared" si="5"/>
        <v>4.1900000000000004</v>
      </c>
      <c r="H21" s="28">
        <v>45778</v>
      </c>
      <c r="I21" s="32">
        <v>2.1744269916855625</v>
      </c>
      <c r="J21" s="32">
        <v>2.1585423036028977</v>
      </c>
      <c r="K21" s="32">
        <v>1.6603227595179564</v>
      </c>
      <c r="L21" s="32">
        <v>2.1165915869670937</v>
      </c>
      <c r="M21" s="54">
        <f t="shared" si="0"/>
        <v>2025</v>
      </c>
    </row>
    <row r="22" spans="2:18">
      <c r="B22" s="23">
        <f t="shared" si="1"/>
        <v>2030</v>
      </c>
      <c r="C22" s="24">
        <f t="shared" si="2"/>
        <v>5.35</v>
      </c>
      <c r="D22" s="24">
        <f t="shared" si="3"/>
        <v>5.28</v>
      </c>
      <c r="E22" s="24">
        <f t="shared" si="4"/>
        <v>5.32</v>
      </c>
      <c r="F22" s="24">
        <f t="shared" si="5"/>
        <v>5.14</v>
      </c>
      <c r="H22" s="28">
        <v>45809</v>
      </c>
      <c r="I22" s="32">
        <v>2.5624036382828996</v>
      </c>
      <c r="J22" s="32">
        <v>2.5442136000511963</v>
      </c>
      <c r="K22" s="32">
        <v>1.5135007600229307</v>
      </c>
      <c r="L22" s="32">
        <v>2.5326557788944721</v>
      </c>
      <c r="M22" s="54">
        <f t="shared" si="0"/>
        <v>2025</v>
      </c>
    </row>
    <row r="23" spans="2:18">
      <c r="B23" s="23">
        <f t="shared" si="1"/>
        <v>2031</v>
      </c>
      <c r="C23" s="24">
        <f t="shared" si="2"/>
        <v>5.65</v>
      </c>
      <c r="D23" s="24">
        <f t="shared" si="3"/>
        <v>5.59</v>
      </c>
      <c r="E23" s="24">
        <f t="shared" si="4"/>
        <v>5.52</v>
      </c>
      <c r="F23" s="24">
        <f t="shared" si="5"/>
        <v>5.44</v>
      </c>
      <c r="H23" s="28">
        <v>45839</v>
      </c>
      <c r="I23" s="32">
        <v>2.829607317784256</v>
      </c>
      <c r="J23" s="32">
        <v>2.8097874915247272</v>
      </c>
      <c r="K23" s="32">
        <v>1.2723242666752659</v>
      </c>
      <c r="L23" s="32">
        <v>2.7602939698492475</v>
      </c>
      <c r="M23" s="54">
        <f t="shared" si="0"/>
        <v>2025</v>
      </c>
    </row>
    <row r="24" spans="2:18">
      <c r="B24" s="23">
        <f t="shared" si="1"/>
        <v>2032</v>
      </c>
      <c r="C24" s="24">
        <f t="shared" si="2"/>
        <v>5.76</v>
      </c>
      <c r="D24" s="24">
        <f t="shared" si="3"/>
        <v>5.69</v>
      </c>
      <c r="E24" s="24">
        <f t="shared" si="4"/>
        <v>5.59</v>
      </c>
      <c r="F24" s="24">
        <f t="shared" si="5"/>
        <v>5.54</v>
      </c>
      <c r="H24" s="28">
        <v>45870</v>
      </c>
      <c r="I24" s="32">
        <v>2.5406131486880477</v>
      </c>
      <c r="J24" s="32">
        <v>2.5223024728408858</v>
      </c>
      <c r="K24" s="32">
        <v>1.836322932937279</v>
      </c>
      <c r="L24" s="32">
        <v>2.4552202139730919</v>
      </c>
      <c r="M24" s="54">
        <f t="shared" si="0"/>
        <v>2025</v>
      </c>
    </row>
    <row r="25" spans="2:18">
      <c r="B25" s="23">
        <f t="shared" si="1"/>
        <v>2033</v>
      </c>
      <c r="C25" s="24">
        <f t="shared" si="2"/>
        <v>5.86</v>
      </c>
      <c r="D25" s="24">
        <f t="shared" si="3"/>
        <v>5.79</v>
      </c>
      <c r="E25" s="24">
        <f t="shared" si="4"/>
        <v>5.61</v>
      </c>
      <c r="F25" s="24">
        <f t="shared" si="5"/>
        <v>5.64</v>
      </c>
      <c r="H25" s="28">
        <v>45901</v>
      </c>
      <c r="I25" s="32">
        <v>2.6151393877551019</v>
      </c>
      <c r="J25" s="32">
        <v>2.5965194443638895</v>
      </c>
      <c r="K25" s="32">
        <v>1.5369535937128642</v>
      </c>
      <c r="L25" s="32">
        <v>2.5551013400334996</v>
      </c>
      <c r="M25" s="54">
        <f t="shared" si="0"/>
        <v>2025</v>
      </c>
    </row>
    <row r="26" spans="2:18">
      <c r="B26" s="23">
        <f t="shared" si="1"/>
        <v>2034</v>
      </c>
      <c r="C26" s="24">
        <f t="shared" si="2"/>
        <v>6.03</v>
      </c>
      <c r="D26" s="24">
        <f t="shared" si="3"/>
        <v>5.96</v>
      </c>
      <c r="E26" s="24">
        <f t="shared" si="4"/>
        <v>5.76</v>
      </c>
      <c r="F26" s="24">
        <f t="shared" si="5"/>
        <v>5.81</v>
      </c>
      <c r="H26" s="28">
        <v>45931</v>
      </c>
      <c r="I26" s="32">
        <v>2.2420762736205591</v>
      </c>
      <c r="J26" s="32">
        <v>2.2255480041596671</v>
      </c>
      <c r="K26" s="32">
        <v>2.1810072593409204</v>
      </c>
      <c r="L26" s="32">
        <v>2.2830691360025925</v>
      </c>
      <c r="M26" s="54">
        <f t="shared" si="0"/>
        <v>2025</v>
      </c>
    </row>
    <row r="27" spans="2:18">
      <c r="B27" s="23">
        <f t="shared" si="1"/>
        <v>2035</v>
      </c>
      <c r="C27" s="24">
        <f t="shared" si="2"/>
        <v>6.2</v>
      </c>
      <c r="D27" s="24">
        <f t="shared" si="3"/>
        <v>6.12</v>
      </c>
      <c r="E27" s="24">
        <f t="shared" si="4"/>
        <v>5.89</v>
      </c>
      <c r="F27" s="24">
        <f t="shared" si="5"/>
        <v>5.98</v>
      </c>
      <c r="H27" s="28">
        <v>45962</v>
      </c>
      <c r="I27" s="32">
        <v>3.0975373469387759</v>
      </c>
      <c r="J27" s="32">
        <v>3.0762166770081238</v>
      </c>
      <c r="K27" s="32">
        <v>2.6906096509367732</v>
      </c>
      <c r="L27" s="32">
        <v>3.0824045226130639</v>
      </c>
      <c r="M27" s="54">
        <f t="shared" si="0"/>
        <v>2025</v>
      </c>
    </row>
    <row r="28" spans="2:18">
      <c r="B28" s="23">
        <f t="shared" si="1"/>
        <v>2036</v>
      </c>
      <c r="C28" s="24">
        <f t="shared" si="2"/>
        <v>6.38</v>
      </c>
      <c r="D28" s="24">
        <f t="shared" si="3"/>
        <v>6.3</v>
      </c>
      <c r="E28" s="24">
        <f t="shared" si="4"/>
        <v>6.04</v>
      </c>
      <c r="F28" s="24">
        <f t="shared" si="5"/>
        <v>6.16</v>
      </c>
      <c r="H28" s="28">
        <v>45992</v>
      </c>
      <c r="I28" s="32">
        <v>3.0588112113232389</v>
      </c>
      <c r="J28" s="32">
        <v>3.0371015940810375</v>
      </c>
      <c r="K28" s="32">
        <v>2.9402106526641383</v>
      </c>
      <c r="L28" s="32">
        <v>3.0579110876965463</v>
      </c>
      <c r="M28" s="54">
        <f t="shared" si="0"/>
        <v>2025</v>
      </c>
    </row>
    <row r="29" spans="2:18">
      <c r="B29" s="23">
        <f t="shared" si="1"/>
        <v>2037</v>
      </c>
      <c r="C29" s="24">
        <f t="shared" si="2"/>
        <v>6.56</v>
      </c>
      <c r="D29" s="24">
        <f t="shared" si="3"/>
        <v>6.48</v>
      </c>
      <c r="E29" s="24">
        <f t="shared" si="4"/>
        <v>6.19</v>
      </c>
      <c r="F29" s="24">
        <f t="shared" si="5"/>
        <v>6.34</v>
      </c>
      <c r="H29" s="28">
        <v>46023</v>
      </c>
      <c r="I29" s="32">
        <v>4.0245781632653062</v>
      </c>
      <c r="J29" s="32">
        <v>3.625</v>
      </c>
      <c r="K29" s="32">
        <v>3.6088782931041989</v>
      </c>
      <c r="L29" s="32">
        <v>3.6999924623115579</v>
      </c>
      <c r="M29" s="54">
        <f t="shared" si="0"/>
        <v>2026</v>
      </c>
    </row>
    <row r="30" spans="2:18">
      <c r="B30" s="23">
        <f t="shared" si="1"/>
        <v>2038</v>
      </c>
      <c r="C30" s="24">
        <f t="shared" si="2"/>
        <v>6.79</v>
      </c>
      <c r="D30" s="24">
        <f t="shared" si="3"/>
        <v>6.7</v>
      </c>
      <c r="E30" s="24">
        <f t="shared" si="4"/>
        <v>6.38</v>
      </c>
      <c r="F30" s="24">
        <f t="shared" si="5"/>
        <v>6.56</v>
      </c>
      <c r="H30" s="28">
        <v>46054</v>
      </c>
      <c r="I30" s="32">
        <v>3.1494761224489793</v>
      </c>
      <c r="J30" s="32">
        <v>3.1282000000000001</v>
      </c>
      <c r="K30" s="32">
        <v>2.8188528382346991</v>
      </c>
      <c r="L30" s="32">
        <v>3.0349673366834167</v>
      </c>
      <c r="M30" s="54">
        <f t="shared" si="0"/>
        <v>2026</v>
      </c>
    </row>
    <row r="31" spans="2:18">
      <c r="B31" s="23">
        <f t="shared" si="1"/>
        <v>2039</v>
      </c>
      <c r="C31" s="24">
        <f t="shared" si="2"/>
        <v>7.04</v>
      </c>
      <c r="D31" s="24">
        <f t="shared" si="3"/>
        <v>6.95</v>
      </c>
      <c r="E31" s="24">
        <f t="shared" si="4"/>
        <v>6.59</v>
      </c>
      <c r="F31" s="24">
        <f t="shared" si="5"/>
        <v>6.81</v>
      </c>
      <c r="H31" s="28">
        <v>46082</v>
      </c>
      <c r="I31" s="32">
        <v>2.2731495918367344</v>
      </c>
      <c r="J31" s="32">
        <v>2.2574999999999998</v>
      </c>
      <c r="K31" s="32">
        <v>1.9422323051254426</v>
      </c>
      <c r="L31" s="32">
        <v>2.096575376884422</v>
      </c>
      <c r="M31" s="54">
        <f t="shared" si="0"/>
        <v>2026</v>
      </c>
    </row>
    <row r="32" spans="2:18">
      <c r="B32" s="23">
        <f t="shared" si="1"/>
        <v>2040</v>
      </c>
      <c r="C32" s="24">
        <f t="shared" si="2"/>
        <v>7.35</v>
      </c>
      <c r="D32" s="24">
        <f t="shared" si="3"/>
        <v>7.25</v>
      </c>
      <c r="E32" s="24">
        <f t="shared" si="4"/>
        <v>6.86</v>
      </c>
      <c r="F32" s="24">
        <f t="shared" si="5"/>
        <v>7.11</v>
      </c>
      <c r="H32" s="28">
        <v>46113</v>
      </c>
      <c r="I32" s="32">
        <v>2.1568230612244896</v>
      </c>
      <c r="J32" s="32">
        <v>2.1419000000000001</v>
      </c>
      <c r="K32" s="32">
        <v>1.9072850056929693</v>
      </c>
      <c r="L32" s="32">
        <v>2.073258793969849</v>
      </c>
      <c r="M32" s="54">
        <f t="shared" si="0"/>
        <v>2026</v>
      </c>
    </row>
    <row r="33" spans="2:13">
      <c r="B33" s="23">
        <f t="shared" si="1"/>
        <v>2041</v>
      </c>
      <c r="C33" s="24">
        <f t="shared" si="2"/>
        <v>7.61</v>
      </c>
      <c r="D33" s="24">
        <f t="shared" si="3"/>
        <v>7.5</v>
      </c>
      <c r="E33" s="24">
        <f t="shared" si="4"/>
        <v>7.08</v>
      </c>
      <c r="F33" s="24">
        <f t="shared" si="5"/>
        <v>7.36</v>
      </c>
      <c r="H33" s="28">
        <v>46143</v>
      </c>
      <c r="I33" s="32">
        <v>2.0262108163265307</v>
      </c>
      <c r="J33" s="32">
        <v>2.0121000000000002</v>
      </c>
      <c r="K33" s="32">
        <v>1.6643548844167935</v>
      </c>
      <c r="L33" s="32">
        <v>1.948535175879397</v>
      </c>
      <c r="M33" s="54">
        <f t="shared" si="0"/>
        <v>2026</v>
      </c>
    </row>
    <row r="34" spans="2:13">
      <c r="B34" s="23">
        <f t="shared" si="1"/>
        <v>2042</v>
      </c>
      <c r="C34" s="24">
        <f t="shared" si="2"/>
        <v>8.01</v>
      </c>
      <c r="D34" s="24">
        <f t="shared" si="3"/>
        <v>7.9</v>
      </c>
      <c r="E34" s="24">
        <f t="shared" si="4"/>
        <v>7.43</v>
      </c>
      <c r="F34" s="24">
        <f t="shared" si="5"/>
        <v>7.76</v>
      </c>
      <c r="H34" s="28">
        <v>46174</v>
      </c>
      <c r="I34" s="32">
        <v>2.2286597959183672</v>
      </c>
      <c r="J34" s="32">
        <v>2.2132999999999998</v>
      </c>
      <c r="K34" s="32">
        <v>1.7520839458239759</v>
      </c>
      <c r="L34" s="32">
        <v>2.1594899497487439</v>
      </c>
      <c r="M34" s="54">
        <f t="shared" si="0"/>
        <v>2026</v>
      </c>
    </row>
    <row r="35" spans="2:13">
      <c r="B35" s="23">
        <f t="shared" si="1"/>
        <v>2043</v>
      </c>
      <c r="C35" s="24">
        <f t="shared" si="2"/>
        <v>8.4</v>
      </c>
      <c r="D35" s="24">
        <f t="shared" si="3"/>
        <v>8.2799999999999994</v>
      </c>
      <c r="E35" s="24">
        <f t="shared" si="4"/>
        <v>7.76</v>
      </c>
      <c r="F35" s="24">
        <f t="shared" si="5"/>
        <v>8.14</v>
      </c>
      <c r="H35" s="28">
        <v>46204</v>
      </c>
      <c r="I35" s="32">
        <v>3.0189659183673467</v>
      </c>
      <c r="J35" s="32">
        <v>2.9986000000000002</v>
      </c>
      <c r="K35" s="32">
        <v>2.4821113821987861</v>
      </c>
      <c r="L35" s="32">
        <v>2.8402939698492462</v>
      </c>
      <c r="M35" s="54">
        <f t="shared" si="0"/>
        <v>2026</v>
      </c>
    </row>
    <row r="36" spans="2:13">
      <c r="B36" s="23">
        <f t="shared" si="1"/>
        <v>2044</v>
      </c>
      <c r="C36" s="24">
        <f t="shared" si="2"/>
        <v>8.7799999999999994</v>
      </c>
      <c r="D36" s="24">
        <f t="shared" si="3"/>
        <v>8.66</v>
      </c>
      <c r="E36" s="24">
        <f t="shared" si="4"/>
        <v>8.08</v>
      </c>
      <c r="F36" s="24">
        <f t="shared" si="5"/>
        <v>8.52</v>
      </c>
      <c r="H36" s="28">
        <v>46235</v>
      </c>
      <c r="I36" s="32">
        <v>3.2123332653061225</v>
      </c>
      <c r="J36" s="32">
        <v>3.1907000000000001</v>
      </c>
      <c r="K36" s="32">
        <v>2.6696825070288321</v>
      </c>
      <c r="L36" s="32">
        <v>2.9786859296482411</v>
      </c>
      <c r="M36" s="54">
        <f t="shared" si="0"/>
        <v>2026</v>
      </c>
    </row>
    <row r="37" spans="2:13">
      <c r="B37" s="23">
        <f t="shared" si="1"/>
        <v>2045</v>
      </c>
      <c r="C37" s="24">
        <f t="shared" si="2"/>
        <v>9.18</v>
      </c>
      <c r="D37" s="24">
        <f t="shared" si="3"/>
        <v>9.0399999999999991</v>
      </c>
      <c r="E37" s="24">
        <f t="shared" si="4"/>
        <v>8.42</v>
      </c>
      <c r="F37" s="24">
        <f t="shared" si="5"/>
        <v>8.91</v>
      </c>
      <c r="H37" s="28">
        <v>46266</v>
      </c>
      <c r="I37" s="32">
        <v>3.0503944897959183</v>
      </c>
      <c r="J37" s="32">
        <v>3.0297999999999998</v>
      </c>
      <c r="K37" s="32">
        <v>2.5669023963085484</v>
      </c>
      <c r="L37" s="32">
        <v>2.8250175879396986</v>
      </c>
      <c r="M37" s="54">
        <f t="shared" si="0"/>
        <v>2026</v>
      </c>
    </row>
    <row r="38" spans="2:13" hidden="1">
      <c r="B38" s="23"/>
      <c r="C38" s="24"/>
      <c r="D38" s="24"/>
      <c r="E38" s="24"/>
      <c r="F38" s="24"/>
      <c r="H38" s="28">
        <v>46296</v>
      </c>
      <c r="I38" s="32">
        <v>2.9897822448979592</v>
      </c>
      <c r="J38" s="32">
        <v>2.9695999999999998</v>
      </c>
      <c r="K38" s="32">
        <v>2.5756649935113813</v>
      </c>
      <c r="L38" s="32">
        <v>2.7853190954773868</v>
      </c>
      <c r="M38" s="54">
        <f t="shared" si="0"/>
        <v>2026</v>
      </c>
    </row>
    <row r="39" spans="2:13" hidden="1">
      <c r="B39" s="23"/>
      <c r="C39" s="24"/>
      <c r="D39" s="24"/>
      <c r="E39" s="24"/>
      <c r="F39" s="24"/>
      <c r="H39" s="28">
        <v>46327</v>
      </c>
      <c r="I39" s="32">
        <v>3.622129183673469</v>
      </c>
      <c r="J39" s="32">
        <v>3.5979000000000001</v>
      </c>
      <c r="K39" s="32">
        <v>3.6832572799494185</v>
      </c>
      <c r="L39" s="32">
        <v>3.3681331658291458</v>
      </c>
      <c r="M39" s="54">
        <f t="shared" si="0"/>
        <v>2026</v>
      </c>
    </row>
    <row r="40" spans="2:13" hidden="1">
      <c r="B40" s="23"/>
      <c r="C40" s="24"/>
      <c r="D40" s="24"/>
      <c r="E40" s="24"/>
      <c r="F40" s="24"/>
      <c r="H40" s="28">
        <v>46357</v>
      </c>
      <c r="I40" s="32">
        <v>4.6822312244897963</v>
      </c>
      <c r="J40" s="32">
        <v>4.6512000000000002</v>
      </c>
      <c r="K40" s="32">
        <v>4.9701219962195244</v>
      </c>
      <c r="L40" s="32">
        <v>4.354464824120603</v>
      </c>
      <c r="M40" s="54">
        <f t="shared" si="0"/>
        <v>2026</v>
      </c>
    </row>
    <row r="41" spans="2:13" hidden="1">
      <c r="B41" s="23"/>
      <c r="C41" s="24"/>
      <c r="D41" s="24"/>
      <c r="E41" s="24"/>
      <c r="F41" s="24"/>
      <c r="H41" s="28">
        <v>46388</v>
      </c>
      <c r="I41" s="32">
        <v>5.1279455102040821</v>
      </c>
      <c r="J41" s="32">
        <v>5.0941000000000001</v>
      </c>
      <c r="K41" s="32">
        <v>5.4567554091133044</v>
      </c>
      <c r="L41" s="32">
        <v>4.8428065326633165</v>
      </c>
      <c r="M41" s="54">
        <f t="shared" si="0"/>
        <v>2027</v>
      </c>
    </row>
    <row r="42" spans="2:13" hidden="1">
      <c r="B42" s="23"/>
      <c r="C42" s="24"/>
      <c r="D42" s="24"/>
      <c r="E42" s="24"/>
      <c r="F42" s="24"/>
      <c r="H42" s="28">
        <v>46419</v>
      </c>
      <c r="I42" s="32">
        <v>4.7500883673469385</v>
      </c>
      <c r="J42" s="32">
        <v>4.7186000000000003</v>
      </c>
      <c r="K42" s="32">
        <v>4.8482703504107239</v>
      </c>
      <c r="L42" s="32">
        <v>4.4698417085427131</v>
      </c>
      <c r="M42" s="54">
        <f t="shared" si="0"/>
        <v>2027</v>
      </c>
    </row>
    <row r="43" spans="2:13" hidden="1">
      <c r="B43" s="23"/>
      <c r="C43" s="24"/>
      <c r="D43" s="24"/>
      <c r="E43" s="24"/>
      <c r="F43" s="24"/>
      <c r="H43" s="28">
        <v>46447</v>
      </c>
      <c r="I43" s="32">
        <v>3.1036597959183672</v>
      </c>
      <c r="J43" s="32">
        <v>3.0827</v>
      </c>
      <c r="K43" s="32">
        <v>3.2313134430409716</v>
      </c>
      <c r="L43" s="32">
        <v>2.951248743718593</v>
      </c>
      <c r="M43" s="54">
        <f t="shared" si="0"/>
        <v>2027</v>
      </c>
    </row>
    <row r="44" spans="2:13" hidden="1">
      <c r="B44" s="23"/>
      <c r="C44" s="24"/>
      <c r="D44" s="24"/>
      <c r="E44" s="24"/>
      <c r="F44" s="24"/>
      <c r="H44" s="28">
        <v>46478</v>
      </c>
      <c r="I44" s="32">
        <v>2.699578163265306</v>
      </c>
      <c r="J44" s="32">
        <v>2.6812</v>
      </c>
      <c r="K44" s="32">
        <v>2.5028838920384424</v>
      </c>
      <c r="L44" s="32">
        <v>2.5633090452261302</v>
      </c>
      <c r="M44" s="54">
        <f t="shared" si="0"/>
        <v>2027</v>
      </c>
    </row>
    <row r="45" spans="2:13" hidden="1">
      <c r="B45" s="23"/>
      <c r="C45" s="24"/>
      <c r="D45" s="24"/>
      <c r="E45" s="24"/>
      <c r="F45" s="24"/>
      <c r="H45" s="28">
        <v>46508</v>
      </c>
      <c r="I45" s="32">
        <v>2.6597822448979591</v>
      </c>
      <c r="J45" s="32">
        <v>2.6417000000000002</v>
      </c>
      <c r="K45" s="32">
        <v>2.4472156274557415</v>
      </c>
      <c r="L45" s="32">
        <v>2.5467261306532665</v>
      </c>
      <c r="M45" s="54">
        <f t="shared" si="0"/>
        <v>2027</v>
      </c>
    </row>
    <row r="46" spans="2:13" hidden="1">
      <c r="B46" s="23"/>
      <c r="C46" s="24"/>
      <c r="D46" s="24"/>
      <c r="E46" s="24"/>
      <c r="F46" s="24"/>
      <c r="H46" s="28">
        <v>46539</v>
      </c>
      <c r="I46" s="32">
        <v>2.7949863265306121</v>
      </c>
      <c r="J46" s="32">
        <v>2.7759999999999998</v>
      </c>
      <c r="K46" s="32">
        <v>2.5444804564071832</v>
      </c>
      <c r="L46" s="32">
        <v>2.7351683417085426</v>
      </c>
      <c r="M46" s="54">
        <f t="shared" si="0"/>
        <v>2027</v>
      </c>
    </row>
    <row r="47" spans="2:13" hidden="1">
      <c r="B47" s="23"/>
      <c r="C47" s="24"/>
      <c r="D47" s="24"/>
      <c r="E47" s="24"/>
      <c r="F47" s="24"/>
      <c r="H47" s="28">
        <v>46569</v>
      </c>
      <c r="I47" s="32">
        <v>3.434782244897959</v>
      </c>
      <c r="J47" s="32">
        <v>3.4117000000000002</v>
      </c>
      <c r="K47" s="32">
        <v>3.0271964729044014</v>
      </c>
      <c r="L47" s="32">
        <v>3.1643140703517583</v>
      </c>
      <c r="M47" s="54">
        <f t="shared" si="0"/>
        <v>2027</v>
      </c>
    </row>
    <row r="48" spans="2:13" hidden="1">
      <c r="B48" s="23"/>
      <c r="C48" s="24"/>
      <c r="D48" s="24"/>
      <c r="E48" s="24"/>
      <c r="F48" s="24"/>
      <c r="H48" s="28">
        <v>46600</v>
      </c>
      <c r="I48" s="32">
        <v>3.4827414285714284</v>
      </c>
      <c r="J48" s="32">
        <v>3.4594</v>
      </c>
      <c r="K48" s="32">
        <v>3.103379523879616</v>
      </c>
      <c r="L48" s="32">
        <v>3.2618015075376885</v>
      </c>
      <c r="M48" s="54">
        <f t="shared" si="0"/>
        <v>2027</v>
      </c>
    </row>
    <row r="49" spans="2:15">
      <c r="H49" s="28">
        <v>46631</v>
      </c>
      <c r="I49" s="32">
        <v>3.4460067346938774</v>
      </c>
      <c r="J49" s="32">
        <v>3.4228999999999998</v>
      </c>
      <c r="K49" s="32">
        <v>3.0720403527071323</v>
      </c>
      <c r="L49" s="32">
        <v>3.167831658291457</v>
      </c>
      <c r="M49" s="54">
        <f t="shared" si="0"/>
        <v>2027</v>
      </c>
      <c r="N49" s="3"/>
      <c r="O49" s="3"/>
    </row>
    <row r="50" spans="2:15">
      <c r="H50" s="28">
        <v>46661</v>
      </c>
      <c r="I50" s="32">
        <v>3.2301904081632653</v>
      </c>
      <c r="J50" s="32">
        <v>3.2084000000000001</v>
      </c>
      <c r="K50" s="32">
        <v>3.0402372793297929</v>
      </c>
      <c r="L50" s="32">
        <v>3.1210979899497486</v>
      </c>
      <c r="M50" s="54">
        <f t="shared" si="0"/>
        <v>2027</v>
      </c>
      <c r="N50" s="3"/>
      <c r="O50" s="3"/>
    </row>
    <row r="51" spans="2:15">
      <c r="H51" s="28">
        <v>46692</v>
      </c>
      <c r="I51" s="32">
        <v>3.6689659183673466</v>
      </c>
      <c r="J51" s="32">
        <v>3.6444000000000001</v>
      </c>
      <c r="K51" s="32">
        <v>4.1729318295194737</v>
      </c>
      <c r="L51" s="32">
        <v>3.3874296482412061</v>
      </c>
      <c r="M51" s="54">
        <f t="shared" si="0"/>
        <v>2027</v>
      </c>
      <c r="N51" s="3"/>
      <c r="O51" s="3"/>
    </row>
    <row r="52" spans="2:15">
      <c r="H52" s="28">
        <v>46722</v>
      </c>
      <c r="I52" s="32">
        <v>5.0194761224489799</v>
      </c>
      <c r="J52" s="32">
        <v>4.9863</v>
      </c>
      <c r="K52" s="32">
        <v>5.8195269333105717</v>
      </c>
      <c r="L52" s="32">
        <v>4.4210979899497485</v>
      </c>
      <c r="M52" s="54">
        <f t="shared" si="0"/>
        <v>2027</v>
      </c>
      <c r="N52" s="3"/>
      <c r="O52" s="3"/>
    </row>
    <row r="53" spans="2:15">
      <c r="B53" s="56" t="str">
        <f>"Official Forward Price Curve Forecast dated   "&amp;TEXT(H5,"MMM dd, YYYY")</f>
        <v>Official Forward Price Curve Forecast dated   Dec 31, 2025</v>
      </c>
      <c r="H53" s="28">
        <v>46753</v>
      </c>
      <c r="I53" s="32">
        <v>5.5960067346938782</v>
      </c>
      <c r="J53" s="32">
        <v>5.5590999999999999</v>
      </c>
      <c r="K53" s="32">
        <v>6.2737387365538702</v>
      </c>
      <c r="L53" s="32">
        <v>5.0291381909547734</v>
      </c>
      <c r="M53" s="54">
        <f t="shared" si="0"/>
        <v>2028</v>
      </c>
      <c r="N53" s="3"/>
      <c r="O53" s="3"/>
    </row>
    <row r="54" spans="2:15">
      <c r="H54" s="28">
        <v>46784</v>
      </c>
      <c r="I54" s="32">
        <v>4.7347822448979597</v>
      </c>
      <c r="J54" s="32">
        <v>4.7034000000000002</v>
      </c>
      <c r="K54" s="32">
        <v>5.3199042586808298</v>
      </c>
      <c r="L54" s="32">
        <v>4.5552688442211045</v>
      </c>
      <c r="M54" s="54">
        <f t="shared" si="0"/>
        <v>2028</v>
      </c>
      <c r="N54" s="3"/>
      <c r="O54" s="3"/>
    </row>
    <row r="55" spans="2:15">
      <c r="H55" s="28">
        <v>46813</v>
      </c>
      <c r="I55" s="32">
        <v>3.0108026530612242</v>
      </c>
      <c r="J55" s="32">
        <v>2.9904000000000002</v>
      </c>
      <c r="K55" s="32">
        <v>3.4261523690804254</v>
      </c>
      <c r="L55" s="32">
        <v>3.0934597989949744</v>
      </c>
      <c r="M55" s="54">
        <f t="shared" si="0"/>
        <v>2028</v>
      </c>
      <c r="N55" s="3"/>
      <c r="O55" s="3"/>
    </row>
    <row r="56" spans="2:15">
      <c r="H56" s="28">
        <v>46844</v>
      </c>
      <c r="I56" s="32">
        <v>2.5888638775510202</v>
      </c>
      <c r="J56" s="32">
        <v>2.5712000000000002</v>
      </c>
      <c r="K56" s="32">
        <v>2.5160277878426913</v>
      </c>
      <c r="L56" s="32">
        <v>2.5045150753768843</v>
      </c>
      <c r="M56" s="54">
        <f t="shared" si="0"/>
        <v>2028</v>
      </c>
      <c r="N56" s="3"/>
      <c r="O56" s="3"/>
    </row>
    <row r="57" spans="2:15">
      <c r="H57" s="28">
        <v>46874</v>
      </c>
      <c r="I57" s="32">
        <v>2.5868230612244898</v>
      </c>
      <c r="J57" s="32">
        <v>2.5691999999999999</v>
      </c>
      <c r="K57" s="32">
        <v>2.3496415303677294</v>
      </c>
      <c r="L57" s="32">
        <v>2.4371783919597991</v>
      </c>
      <c r="M57" s="54">
        <f t="shared" si="0"/>
        <v>2028</v>
      </c>
      <c r="N57" s="3"/>
      <c r="O57" s="3"/>
    </row>
    <row r="58" spans="2:15">
      <c r="H58" s="28">
        <v>46905</v>
      </c>
      <c r="I58" s="32">
        <v>2.7000883673469387</v>
      </c>
      <c r="J58" s="32">
        <v>2.6817000000000002</v>
      </c>
      <c r="K58" s="32">
        <v>2.5194812820343957</v>
      </c>
      <c r="L58" s="32">
        <v>2.5763743718592962</v>
      </c>
      <c r="M58" s="54">
        <f t="shared" si="0"/>
        <v>2028</v>
      </c>
      <c r="N58" s="3"/>
      <c r="O58" s="3"/>
    </row>
    <row r="59" spans="2:15">
      <c r="H59" s="28">
        <v>46935</v>
      </c>
      <c r="I59" s="32">
        <v>3.2796802040816324</v>
      </c>
      <c r="J59" s="32">
        <v>3.2576000000000001</v>
      </c>
      <c r="K59" s="32">
        <v>3.0122485129701571</v>
      </c>
      <c r="L59" s="32">
        <v>3.0417010050251254</v>
      </c>
      <c r="M59" s="54">
        <f t="shared" si="0"/>
        <v>2028</v>
      </c>
      <c r="N59" s="3"/>
      <c r="O59" s="3"/>
    </row>
    <row r="60" spans="2:15">
      <c r="H60" s="28">
        <v>46966</v>
      </c>
      <c r="I60" s="32">
        <v>3.3475373469387755</v>
      </c>
      <c r="J60" s="32">
        <v>3.3250000000000002</v>
      </c>
      <c r="K60" s="32">
        <v>3.0898232705599393</v>
      </c>
      <c r="L60" s="32">
        <v>3.1085351758793967</v>
      </c>
      <c r="M60" s="54">
        <f t="shared" si="0"/>
        <v>2028</v>
      </c>
      <c r="N60" s="3"/>
      <c r="O60" s="3"/>
    </row>
    <row r="61" spans="2:15">
      <c r="H61" s="28">
        <v>46997</v>
      </c>
      <c r="I61" s="32">
        <v>3.305190408163265</v>
      </c>
      <c r="J61" s="32">
        <v>3.2829999999999999</v>
      </c>
      <c r="K61" s="32">
        <v>3.0760608384825496</v>
      </c>
      <c r="L61" s="32">
        <v>3.0869271356783914</v>
      </c>
      <c r="M61" s="54">
        <f t="shared" si="0"/>
        <v>2028</v>
      </c>
      <c r="N61" s="3"/>
      <c r="O61" s="3"/>
    </row>
    <row r="62" spans="2:15">
      <c r="H62" s="28">
        <v>47027</v>
      </c>
      <c r="I62" s="32">
        <v>3.0939659183673469</v>
      </c>
      <c r="J62" s="32">
        <v>3.0731000000000002</v>
      </c>
      <c r="K62" s="32">
        <v>2.9753940600288322</v>
      </c>
      <c r="L62" s="32">
        <v>3.0195904522613066</v>
      </c>
      <c r="M62" s="54">
        <f t="shared" si="0"/>
        <v>2028</v>
      </c>
      <c r="N62" s="3"/>
      <c r="O62" s="3"/>
    </row>
    <row r="63" spans="2:15">
      <c r="H63" s="28">
        <v>47058</v>
      </c>
      <c r="I63" s="32">
        <v>3.4960067346938777</v>
      </c>
      <c r="J63" s="32">
        <v>3.4725000000000001</v>
      </c>
      <c r="K63" s="32">
        <v>4.198549540165402</v>
      </c>
      <c r="L63" s="32">
        <v>3.2045150753768841</v>
      </c>
      <c r="M63" s="54">
        <f t="shared" si="0"/>
        <v>2028</v>
      </c>
      <c r="N63" s="3"/>
      <c r="O63" s="3"/>
    </row>
    <row r="64" spans="2:15">
      <c r="H64" s="28">
        <v>47088</v>
      </c>
      <c r="I64" s="32">
        <v>4.9434557142857143</v>
      </c>
      <c r="J64" s="32">
        <v>4.9108000000000001</v>
      </c>
      <c r="K64" s="32">
        <v>5.6641196946838654</v>
      </c>
      <c r="L64" s="32">
        <v>4.1854195979899496</v>
      </c>
      <c r="M64" s="54">
        <f t="shared" si="0"/>
        <v>2028</v>
      </c>
      <c r="N64" s="3"/>
      <c r="O64" s="3"/>
    </row>
    <row r="65" spans="8:15">
      <c r="H65" s="28">
        <v>47119</v>
      </c>
      <c r="I65" s="32">
        <v>4.7149863265306129</v>
      </c>
      <c r="J65" s="32">
        <v>4.6837</v>
      </c>
      <c r="K65" s="32">
        <v>6.0386949527602427</v>
      </c>
      <c r="L65" s="32">
        <v>4.7999924623115575</v>
      </c>
      <c r="M65" s="54">
        <f t="shared" ref="M65:M112" si="6">YEAR(H65)</f>
        <v>2029</v>
      </c>
      <c r="N65" s="3"/>
      <c r="O65" s="3"/>
    </row>
    <row r="66" spans="8:15">
      <c r="H66" s="28">
        <v>47150</v>
      </c>
      <c r="I66" s="32">
        <v>5.2813128571428569</v>
      </c>
      <c r="J66" s="32">
        <v>5.2389999999999999</v>
      </c>
      <c r="K66" s="32">
        <v>5.588503635292362</v>
      </c>
      <c r="L66" s="32">
        <v>5.0935603015075372</v>
      </c>
      <c r="M66" s="54">
        <f t="shared" si="6"/>
        <v>2029</v>
      </c>
      <c r="N66" s="3"/>
      <c r="O66" s="3"/>
    </row>
    <row r="67" spans="8:15">
      <c r="H67" s="28">
        <v>47178</v>
      </c>
      <c r="I67" s="32">
        <v>4.0495781632653065</v>
      </c>
      <c r="J67" s="32">
        <v>4.0084</v>
      </c>
      <c r="K67" s="32">
        <v>4.2521044724815376</v>
      </c>
      <c r="L67" s="32">
        <v>4.1165753768844215</v>
      </c>
      <c r="M67" s="54">
        <f t="shared" si="6"/>
        <v>2029</v>
      </c>
      <c r="N67" s="3"/>
      <c r="O67" s="3"/>
    </row>
    <row r="68" spans="8:15">
      <c r="H68" s="28">
        <v>47209</v>
      </c>
      <c r="I68" s="32">
        <v>3.7266189795918367</v>
      </c>
      <c r="J68" s="32">
        <v>3.6861999999999999</v>
      </c>
      <c r="K68" s="32">
        <v>3.6188779628533134</v>
      </c>
      <c r="L68" s="32">
        <v>3.6251180904522613</v>
      </c>
      <c r="M68" s="54">
        <f t="shared" si="6"/>
        <v>2029</v>
      </c>
      <c r="N68" s="3"/>
      <c r="O68" s="3"/>
    </row>
    <row r="69" spans="8:15">
      <c r="H69" s="28">
        <v>47239</v>
      </c>
      <c r="I69" s="32">
        <v>3.7401904081632655</v>
      </c>
      <c r="J69" s="32">
        <v>3.6995</v>
      </c>
      <c r="K69" s="32">
        <v>3.4939851803682345</v>
      </c>
      <c r="L69" s="32">
        <v>3.5731582914572861</v>
      </c>
      <c r="M69" s="54">
        <f t="shared" si="6"/>
        <v>2029</v>
      </c>
      <c r="N69" s="3"/>
      <c r="O69" s="3"/>
    </row>
    <row r="70" spans="8:15">
      <c r="H70" s="28">
        <v>47270</v>
      </c>
      <c r="I70" s="32">
        <v>3.8284557142857141</v>
      </c>
      <c r="J70" s="32">
        <v>3.7875000000000001</v>
      </c>
      <c r="K70" s="32">
        <v>3.5926417159342439</v>
      </c>
      <c r="L70" s="32">
        <v>3.6877311557788945</v>
      </c>
      <c r="M70" s="54">
        <f t="shared" si="6"/>
        <v>2029</v>
      </c>
      <c r="N70" s="3"/>
      <c r="O70" s="3"/>
    </row>
    <row r="71" spans="8:15">
      <c r="H71" s="28">
        <v>47300</v>
      </c>
      <c r="I71" s="32">
        <v>4.2617210204081628</v>
      </c>
      <c r="J71" s="32">
        <v>4.22</v>
      </c>
      <c r="K71" s="32">
        <v>3.9729899792266066</v>
      </c>
      <c r="L71" s="32">
        <v>4.0089371859296481</v>
      </c>
      <c r="M71" s="54">
        <f t="shared" si="6"/>
        <v>2029</v>
      </c>
      <c r="N71" s="3"/>
      <c r="O71" s="3"/>
    </row>
    <row r="72" spans="8:15">
      <c r="H72" s="28">
        <v>47331</v>
      </c>
      <c r="I72" s="32">
        <v>4.3213128571428578</v>
      </c>
      <c r="J72" s="32">
        <v>4.2793000000000001</v>
      </c>
      <c r="K72" s="32">
        <v>4.1523654984375327</v>
      </c>
      <c r="L72" s="32">
        <v>4.0676306532663311</v>
      </c>
      <c r="M72" s="54">
        <f t="shared" si="6"/>
        <v>2029</v>
      </c>
      <c r="N72" s="3"/>
      <c r="O72" s="3"/>
    </row>
    <row r="73" spans="8:15">
      <c r="H73" s="28">
        <v>47362</v>
      </c>
      <c r="I73" s="32">
        <v>4.3663128571428569</v>
      </c>
      <c r="J73" s="32">
        <v>4.3228</v>
      </c>
      <c r="K73" s="32">
        <v>4.2153531089190697</v>
      </c>
      <c r="L73" s="32">
        <v>4.1320527638190949</v>
      </c>
      <c r="M73" s="54">
        <f t="shared" si="6"/>
        <v>2029</v>
      </c>
      <c r="N73" s="3"/>
      <c r="O73" s="3"/>
    </row>
    <row r="74" spans="8:15">
      <c r="H74" s="28">
        <v>47392</v>
      </c>
      <c r="I74" s="32">
        <v>4.279884285714286</v>
      </c>
      <c r="J74" s="32">
        <v>4.2352999999999996</v>
      </c>
      <c r="K74" s="32">
        <v>4.1844778399514411</v>
      </c>
      <c r="L74" s="32">
        <v>4.1876306532663312</v>
      </c>
      <c r="M74" s="54">
        <f t="shared" si="6"/>
        <v>2029</v>
      </c>
      <c r="N74" s="3"/>
      <c r="O74" s="3"/>
    </row>
    <row r="75" spans="8:15">
      <c r="H75" s="28">
        <v>47423</v>
      </c>
      <c r="I75" s="32">
        <v>4.5847822448979594</v>
      </c>
      <c r="J75" s="32">
        <v>4.5395000000000003</v>
      </c>
      <c r="K75" s="32">
        <v>4.9678540298846734</v>
      </c>
      <c r="L75" s="32">
        <v>4.2768768844221094</v>
      </c>
      <c r="M75" s="54">
        <f t="shared" si="6"/>
        <v>2029</v>
      </c>
      <c r="N75" s="3"/>
      <c r="O75" s="3"/>
    </row>
    <row r="76" spans="8:15">
      <c r="H76" s="28">
        <v>47453</v>
      </c>
      <c r="I76" s="32">
        <v>5.4525373469387759</v>
      </c>
      <c r="J76" s="32">
        <v>5.4097</v>
      </c>
      <c r="K76" s="32">
        <v>5.8902462472063739</v>
      </c>
      <c r="L76" s="32">
        <v>4.686826633165829</v>
      </c>
      <c r="M76" s="54">
        <f t="shared" si="6"/>
        <v>2029</v>
      </c>
      <c r="N76" s="3"/>
      <c r="O76" s="3"/>
    </row>
    <row r="77" spans="8:15">
      <c r="H77" s="28">
        <v>47484</v>
      </c>
      <c r="I77" s="32">
        <v>5.4487618367346942</v>
      </c>
      <c r="J77" s="32">
        <v>5.4028999999999998</v>
      </c>
      <c r="K77" s="32">
        <v>6.1639485480713194</v>
      </c>
      <c r="L77" s="32">
        <v>5.5227060301507533</v>
      </c>
      <c r="M77" s="54">
        <f t="shared" si="6"/>
        <v>2030</v>
      </c>
      <c r="N77" s="3"/>
      <c r="O77" s="3"/>
    </row>
    <row r="78" spans="8:15">
      <c r="H78" s="28">
        <v>47515</v>
      </c>
      <c r="I78" s="32">
        <v>5.8278434693877559</v>
      </c>
      <c r="J78" s="32">
        <v>5.7746000000000004</v>
      </c>
      <c r="K78" s="32">
        <v>5.8570514672144665</v>
      </c>
      <c r="L78" s="32">
        <v>5.6318517587939692</v>
      </c>
      <c r="M78" s="54">
        <f t="shared" si="6"/>
        <v>2030</v>
      </c>
      <c r="N78" s="3"/>
      <c r="O78" s="3"/>
    </row>
    <row r="79" spans="8:15">
      <c r="H79" s="28">
        <v>47543</v>
      </c>
      <c r="I79" s="32">
        <v>5.088251632653062</v>
      </c>
      <c r="J79" s="32">
        <v>5.0263999999999998</v>
      </c>
      <c r="K79" s="32">
        <v>5.0781081205720788</v>
      </c>
      <c r="L79" s="32">
        <v>5.1395904522613058</v>
      </c>
      <c r="M79" s="54">
        <f t="shared" si="6"/>
        <v>2030</v>
      </c>
      <c r="N79" s="3"/>
      <c r="O79" s="3"/>
    </row>
    <row r="80" spans="8:15">
      <c r="H80" s="28">
        <v>47574</v>
      </c>
      <c r="I80" s="32">
        <v>4.8643740816326533</v>
      </c>
      <c r="J80" s="32">
        <v>4.8011999999999997</v>
      </c>
      <c r="K80" s="32">
        <v>4.7217281378639342</v>
      </c>
      <c r="L80" s="32">
        <v>4.7457211055276378</v>
      </c>
      <c r="M80" s="54">
        <f t="shared" si="6"/>
        <v>2030</v>
      </c>
      <c r="N80" s="3"/>
      <c r="O80" s="3"/>
    </row>
    <row r="81" spans="8:15">
      <c r="H81" s="28">
        <v>47604</v>
      </c>
      <c r="I81" s="32">
        <v>4.8935577551020408</v>
      </c>
      <c r="J81" s="32">
        <v>4.8296999999999999</v>
      </c>
      <c r="K81" s="32">
        <v>4.6384319197475969</v>
      </c>
      <c r="L81" s="32">
        <v>4.7091381909547732</v>
      </c>
      <c r="M81" s="54">
        <f t="shared" si="6"/>
        <v>2030</v>
      </c>
      <c r="N81" s="3"/>
      <c r="O81" s="3"/>
    </row>
    <row r="82" spans="8:15">
      <c r="H82" s="28">
        <v>47635</v>
      </c>
      <c r="I82" s="32">
        <v>4.9568230612244903</v>
      </c>
      <c r="J82" s="32">
        <v>4.8933</v>
      </c>
      <c r="K82" s="32">
        <v>4.6658536945235207</v>
      </c>
      <c r="L82" s="32">
        <v>4.7990879396984925</v>
      </c>
      <c r="M82" s="54">
        <f t="shared" si="6"/>
        <v>2030</v>
      </c>
      <c r="N82" s="3"/>
      <c r="O82" s="3"/>
    </row>
    <row r="83" spans="8:15">
      <c r="H83" s="28">
        <v>47665</v>
      </c>
      <c r="I83" s="32">
        <v>5.2437618367346941</v>
      </c>
      <c r="J83" s="32">
        <v>5.1824000000000003</v>
      </c>
      <c r="K83" s="32">
        <v>4.9336799007936269</v>
      </c>
      <c r="L83" s="32">
        <v>4.9761733668341703</v>
      </c>
      <c r="M83" s="54">
        <f t="shared" si="6"/>
        <v>2030</v>
      </c>
      <c r="N83" s="3"/>
      <c r="O83" s="3"/>
    </row>
    <row r="84" spans="8:15">
      <c r="H84" s="28">
        <v>47696</v>
      </c>
      <c r="I84" s="32">
        <v>5.2949863265306121</v>
      </c>
      <c r="J84" s="32">
        <v>5.2335000000000003</v>
      </c>
      <c r="K84" s="32">
        <v>5.2149077263151247</v>
      </c>
      <c r="L84" s="32">
        <v>5.0266256281407031</v>
      </c>
      <c r="M84" s="54">
        <f t="shared" si="6"/>
        <v>2030</v>
      </c>
      <c r="N84" s="3"/>
      <c r="O84" s="3"/>
    </row>
    <row r="85" spans="8:15">
      <c r="H85" s="28">
        <v>47727</v>
      </c>
      <c r="I85" s="32">
        <v>5.4273332653061228</v>
      </c>
      <c r="J85" s="32">
        <v>5.3627000000000002</v>
      </c>
      <c r="K85" s="32">
        <v>5.354696924045018</v>
      </c>
      <c r="L85" s="32">
        <v>5.1770778894472356</v>
      </c>
      <c r="M85" s="54">
        <f t="shared" si="6"/>
        <v>2030</v>
      </c>
      <c r="N85" s="3"/>
      <c r="O85" s="3"/>
    </row>
    <row r="86" spans="8:15">
      <c r="H86" s="28">
        <v>47757</v>
      </c>
      <c r="I86" s="32">
        <v>5.4658026530612247</v>
      </c>
      <c r="J86" s="32">
        <v>5.3975</v>
      </c>
      <c r="K86" s="32">
        <v>5.3935616198740508</v>
      </c>
      <c r="L86" s="32">
        <v>5.3556708542713567</v>
      </c>
      <c r="M86" s="54">
        <f t="shared" si="6"/>
        <v>2030</v>
      </c>
      <c r="N86" s="3"/>
      <c r="O86" s="3"/>
    </row>
    <row r="87" spans="8:15">
      <c r="H87" s="28">
        <v>47788</v>
      </c>
      <c r="I87" s="32">
        <v>5.6735577551020411</v>
      </c>
      <c r="J87" s="32">
        <v>5.6064999999999996</v>
      </c>
      <c r="K87" s="32">
        <v>5.7370554302250891</v>
      </c>
      <c r="L87" s="32">
        <v>5.3492386934673357</v>
      </c>
      <c r="M87" s="54">
        <f t="shared" si="6"/>
        <v>2030</v>
      </c>
      <c r="N87" s="3"/>
      <c r="O87" s="3"/>
    </row>
    <row r="88" spans="8:15">
      <c r="H88" s="28">
        <v>47818</v>
      </c>
      <c r="I88" s="32">
        <v>5.9617210204081639</v>
      </c>
      <c r="J88" s="32">
        <v>5.9085999999999999</v>
      </c>
      <c r="K88" s="32">
        <v>6.1164243444183111</v>
      </c>
      <c r="L88" s="32">
        <v>5.1883341708542705</v>
      </c>
      <c r="M88" s="54">
        <f t="shared" si="6"/>
        <v>2030</v>
      </c>
      <c r="N88" s="3"/>
      <c r="O88" s="3"/>
    </row>
    <row r="89" spans="8:15">
      <c r="H89" s="28">
        <v>47849</v>
      </c>
      <c r="I89" s="32">
        <v>6.1826393877551027</v>
      </c>
      <c r="J89" s="32">
        <v>6.1219999999999999</v>
      </c>
      <c r="K89" s="32">
        <v>6.2891505986929692</v>
      </c>
      <c r="L89" s="32">
        <v>6.2455201005025121</v>
      </c>
      <c r="M89" s="54">
        <f t="shared" si="6"/>
        <v>2031</v>
      </c>
      <c r="N89" s="3"/>
      <c r="O89" s="3"/>
    </row>
    <row r="90" spans="8:15">
      <c r="H90" s="28">
        <v>47880</v>
      </c>
      <c r="I90" s="32">
        <v>6.118149591836735</v>
      </c>
      <c r="J90" s="32">
        <v>6.0591999999999997</v>
      </c>
      <c r="K90" s="32">
        <v>6.1200324726783011</v>
      </c>
      <c r="L90" s="32">
        <v>5.917781407035176</v>
      </c>
      <c r="M90" s="54">
        <f t="shared" si="6"/>
        <v>2031</v>
      </c>
      <c r="N90" s="3"/>
      <c r="O90" s="3"/>
    </row>
    <row r="91" spans="8:15">
      <c r="H91" s="28">
        <v>47908</v>
      </c>
      <c r="I91" s="32">
        <v>5.3818230612244902</v>
      </c>
      <c r="J91" s="32">
        <v>5.3140999999999998</v>
      </c>
      <c r="K91" s="32">
        <v>5.2821220013297925</v>
      </c>
      <c r="L91" s="32">
        <v>5.4287361809045223</v>
      </c>
      <c r="M91" s="54">
        <f t="shared" si="6"/>
        <v>2031</v>
      </c>
      <c r="N91" s="3"/>
      <c r="O91" s="3"/>
    </row>
    <row r="92" spans="8:15">
      <c r="H92" s="28">
        <v>47939</v>
      </c>
      <c r="I92" s="32">
        <v>5.1901904081632653</v>
      </c>
      <c r="J92" s="32">
        <v>5.1204999999999998</v>
      </c>
      <c r="K92" s="32">
        <v>4.9477000563181601</v>
      </c>
      <c r="L92" s="32">
        <v>5.0666256281407032</v>
      </c>
      <c r="M92" s="54">
        <f t="shared" si="6"/>
        <v>2031</v>
      </c>
      <c r="N92" s="3"/>
      <c r="O92" s="3"/>
    </row>
    <row r="93" spans="8:15">
      <c r="H93" s="28">
        <v>47969</v>
      </c>
      <c r="I93" s="32">
        <v>5.2212108163265309</v>
      </c>
      <c r="J93" s="32">
        <v>5.1509</v>
      </c>
      <c r="K93" s="32">
        <v>4.9036808915462835</v>
      </c>
      <c r="L93" s="32">
        <v>5.0318517587939695</v>
      </c>
      <c r="M93" s="54">
        <f t="shared" si="6"/>
        <v>2031</v>
      </c>
      <c r="N93" s="3"/>
      <c r="O93" s="3"/>
    </row>
    <row r="94" spans="8:15">
      <c r="H94" s="28">
        <v>48000</v>
      </c>
      <c r="I94" s="32">
        <v>5.3004965306122456</v>
      </c>
      <c r="J94" s="32">
        <v>5.2301000000000002</v>
      </c>
      <c r="K94" s="32">
        <v>4.9331644538993427</v>
      </c>
      <c r="L94" s="32">
        <v>5.13758040201005</v>
      </c>
      <c r="M94" s="54">
        <f t="shared" si="6"/>
        <v>2031</v>
      </c>
      <c r="N94" s="3"/>
      <c r="O94" s="3"/>
    </row>
    <row r="95" spans="8:15">
      <c r="H95" s="28">
        <v>48030</v>
      </c>
      <c r="I95" s="32">
        <v>5.5146802040816327</v>
      </c>
      <c r="J95" s="32">
        <v>5.4478999999999997</v>
      </c>
      <c r="K95" s="32">
        <v>5.144497680555892</v>
      </c>
      <c r="L95" s="32">
        <v>5.2430075376884417</v>
      </c>
      <c r="M95" s="54">
        <f t="shared" si="6"/>
        <v>2031</v>
      </c>
      <c r="N95" s="3"/>
      <c r="O95" s="3"/>
    </row>
    <row r="96" spans="8:15">
      <c r="H96" s="28">
        <v>48061</v>
      </c>
      <c r="I96" s="32">
        <v>5.5847822448979603</v>
      </c>
      <c r="J96" s="32">
        <v>5.5175999999999998</v>
      </c>
      <c r="K96" s="32">
        <v>5.3882009721734958</v>
      </c>
      <c r="L96" s="32">
        <v>5.3120527638190946</v>
      </c>
      <c r="M96" s="54">
        <f t="shared" si="6"/>
        <v>2031</v>
      </c>
      <c r="N96" s="3"/>
      <c r="O96" s="3"/>
    </row>
    <row r="97" spans="8:15">
      <c r="H97" s="28">
        <v>48092</v>
      </c>
      <c r="I97" s="32">
        <v>5.6184557142857141</v>
      </c>
      <c r="J97" s="32">
        <v>5.5499000000000001</v>
      </c>
      <c r="K97" s="32">
        <v>5.4661365425892772</v>
      </c>
      <c r="L97" s="32">
        <v>5.3653190954773864</v>
      </c>
      <c r="M97" s="54">
        <f t="shared" si="6"/>
        <v>2031</v>
      </c>
      <c r="N97" s="3"/>
      <c r="O97" s="3"/>
    </row>
    <row r="98" spans="8:15">
      <c r="H98" s="28">
        <v>48122</v>
      </c>
      <c r="I98" s="32">
        <v>5.6713128571428575</v>
      </c>
      <c r="J98" s="32">
        <v>5.5987999999999998</v>
      </c>
      <c r="K98" s="32">
        <v>5.5526285314501767</v>
      </c>
      <c r="L98" s="32">
        <v>5.5580829145728643</v>
      </c>
      <c r="M98" s="54">
        <f t="shared" si="6"/>
        <v>2031</v>
      </c>
      <c r="N98" s="3"/>
      <c r="O98" s="3"/>
    </row>
    <row r="99" spans="8:15">
      <c r="H99" s="28">
        <v>48153</v>
      </c>
      <c r="I99" s="32">
        <v>5.8775373469387757</v>
      </c>
      <c r="J99" s="32">
        <v>5.8064999999999998</v>
      </c>
      <c r="K99" s="32">
        <v>5.9404507747096602</v>
      </c>
      <c r="L99" s="32">
        <v>5.5501432160804018</v>
      </c>
      <c r="M99" s="54">
        <f t="shared" si="6"/>
        <v>2031</v>
      </c>
      <c r="N99" s="3"/>
      <c r="O99" s="3"/>
    </row>
    <row r="100" spans="8:15">
      <c r="H100" s="28">
        <v>48183</v>
      </c>
      <c r="I100" s="32">
        <v>6.1629455102040813</v>
      </c>
      <c r="J100" s="32">
        <v>6.1058000000000003</v>
      </c>
      <c r="K100" s="32">
        <v>6.2993049025103698</v>
      </c>
      <c r="L100" s="32">
        <v>5.3865251256281406</v>
      </c>
      <c r="M100" s="54">
        <f t="shared" si="6"/>
        <v>2031</v>
      </c>
      <c r="N100" s="3"/>
      <c r="O100" s="3"/>
    </row>
    <row r="101" spans="8:15">
      <c r="H101" s="28">
        <v>48214</v>
      </c>
      <c r="I101" s="32">
        <v>6.3623332653061224</v>
      </c>
      <c r="J101" s="32">
        <v>6.2980999999999998</v>
      </c>
      <c r="K101" s="32">
        <v>6.4803298517830052</v>
      </c>
      <c r="L101" s="32">
        <v>6.422505025125627</v>
      </c>
      <c r="M101" s="54">
        <f t="shared" si="6"/>
        <v>2032</v>
      </c>
      <c r="N101" s="3"/>
      <c r="O101" s="3"/>
    </row>
    <row r="102" spans="8:15">
      <c r="H102" s="28">
        <v>48245</v>
      </c>
      <c r="I102" s="32">
        <v>6.0584557142857145</v>
      </c>
      <c r="J102" s="32">
        <v>6.0006000000000004</v>
      </c>
      <c r="K102" s="32">
        <v>6.060137543562468</v>
      </c>
      <c r="L102" s="32">
        <v>5.8589874371859292</v>
      </c>
      <c r="M102" s="54">
        <f t="shared" si="6"/>
        <v>2032</v>
      </c>
      <c r="N102" s="3"/>
      <c r="O102" s="3"/>
    </row>
    <row r="103" spans="8:15">
      <c r="H103" s="28">
        <v>48274</v>
      </c>
      <c r="I103" s="32">
        <v>5.5028434693877557</v>
      </c>
      <c r="J103" s="32">
        <v>5.4325999999999999</v>
      </c>
      <c r="K103" s="32">
        <v>5.3446972542959035</v>
      </c>
      <c r="L103" s="32">
        <v>5.5479321608040193</v>
      </c>
      <c r="M103" s="54">
        <f t="shared" si="6"/>
        <v>2032</v>
      </c>
      <c r="N103" s="3"/>
      <c r="O103" s="3"/>
    </row>
    <row r="104" spans="8:15">
      <c r="H104" s="28">
        <v>48305</v>
      </c>
      <c r="I104" s="32">
        <v>5.300292448979592</v>
      </c>
      <c r="J104" s="32">
        <v>5.2283999999999997</v>
      </c>
      <c r="K104" s="32">
        <v>5.0155328676059678</v>
      </c>
      <c r="L104" s="32">
        <v>5.1750678391959797</v>
      </c>
      <c r="M104" s="54">
        <f t="shared" si="6"/>
        <v>2032</v>
      </c>
      <c r="N104" s="3"/>
      <c r="O104" s="3"/>
    </row>
    <row r="105" spans="8:15">
      <c r="H105" s="28">
        <v>48335</v>
      </c>
      <c r="I105" s="32">
        <v>5.3319251020408167</v>
      </c>
      <c r="J105" s="32">
        <v>5.2594000000000003</v>
      </c>
      <c r="K105" s="32">
        <v>4.9599676924021248</v>
      </c>
      <c r="L105" s="32">
        <v>5.1408969849246224</v>
      </c>
      <c r="M105" s="54">
        <f t="shared" si="6"/>
        <v>2032</v>
      </c>
      <c r="N105" s="3"/>
      <c r="O105" s="3"/>
    </row>
    <row r="106" spans="8:15">
      <c r="H106" s="28">
        <v>48366</v>
      </c>
      <c r="I106" s="32">
        <v>5.3741700000000003</v>
      </c>
      <c r="J106" s="32">
        <v>5.3022999999999998</v>
      </c>
      <c r="K106" s="32">
        <v>4.9897605228917561</v>
      </c>
      <c r="L106" s="32">
        <v>5.2101432160804011</v>
      </c>
      <c r="M106" s="54">
        <f t="shared" si="6"/>
        <v>2032</v>
      </c>
      <c r="N106" s="3"/>
      <c r="O106" s="3"/>
    </row>
    <row r="107" spans="8:15">
      <c r="H107" s="28">
        <v>48396</v>
      </c>
      <c r="I107" s="32">
        <v>5.6241700000000003</v>
      </c>
      <c r="J107" s="32">
        <v>5.5552000000000001</v>
      </c>
      <c r="K107" s="32">
        <v>5.2319174738265044</v>
      </c>
      <c r="L107" s="32">
        <v>5.3508467336683418</v>
      </c>
      <c r="M107" s="54">
        <f t="shared" si="6"/>
        <v>2032</v>
      </c>
      <c r="N107" s="3"/>
      <c r="O107" s="3"/>
    </row>
    <row r="108" spans="8:15">
      <c r="H108" s="28">
        <v>48427</v>
      </c>
      <c r="I108" s="32">
        <v>5.6865169387755099</v>
      </c>
      <c r="J108" s="32">
        <v>5.6172000000000004</v>
      </c>
      <c r="K108" s="32">
        <v>5.4355189970687912</v>
      </c>
      <c r="L108" s="32">
        <v>5.4122537688442209</v>
      </c>
      <c r="M108" s="54">
        <f t="shared" si="6"/>
        <v>2032</v>
      </c>
      <c r="N108" s="3"/>
      <c r="O108" s="3"/>
    </row>
    <row r="109" spans="8:15">
      <c r="H109" s="28">
        <v>48458</v>
      </c>
      <c r="I109" s="32">
        <v>5.7338638775510207</v>
      </c>
      <c r="J109" s="32">
        <v>5.6631</v>
      </c>
      <c r="K109" s="32">
        <v>5.5710815302655536</v>
      </c>
      <c r="L109" s="32">
        <v>5.4789874371859293</v>
      </c>
      <c r="M109" s="54">
        <f t="shared" si="6"/>
        <v>2032</v>
      </c>
      <c r="N109" s="3"/>
      <c r="O109" s="3"/>
    </row>
    <row r="110" spans="8:15">
      <c r="H110" s="28">
        <v>48488</v>
      </c>
      <c r="I110" s="32">
        <v>5.7916189795918376</v>
      </c>
      <c r="J110" s="32">
        <v>5.7167000000000003</v>
      </c>
      <c r="K110" s="32">
        <v>5.6099462260945874</v>
      </c>
      <c r="L110" s="32">
        <v>5.676575376884422</v>
      </c>
      <c r="M110" s="54">
        <f t="shared" si="6"/>
        <v>2032</v>
      </c>
      <c r="N110" s="3"/>
      <c r="O110" s="3"/>
    </row>
    <row r="111" spans="8:15">
      <c r="H111" s="28">
        <v>48519</v>
      </c>
      <c r="I111" s="32">
        <v>6.0145781632653064</v>
      </c>
      <c r="J111" s="32">
        <v>5.9408000000000003</v>
      </c>
      <c r="K111" s="32">
        <v>6.0394165784122418</v>
      </c>
      <c r="L111" s="32">
        <v>5.6851180904522609</v>
      </c>
      <c r="M111" s="54">
        <f t="shared" si="6"/>
        <v>2032</v>
      </c>
      <c r="N111" s="3"/>
      <c r="O111" s="3"/>
    </row>
    <row r="112" spans="8:15">
      <c r="H112" s="28">
        <v>48549</v>
      </c>
      <c r="I112" s="32">
        <v>6.2870271428571431</v>
      </c>
      <c r="J112" s="32">
        <v>6.2274000000000003</v>
      </c>
      <c r="K112" s="32">
        <v>6.3516743069696506</v>
      </c>
      <c r="L112" s="32">
        <v>5.5087361809045223</v>
      </c>
      <c r="M112" s="54">
        <f t="shared" si="6"/>
        <v>2032</v>
      </c>
      <c r="N112" s="3"/>
      <c r="O112" s="3"/>
    </row>
    <row r="113" spans="8:15">
      <c r="H113" s="28">
        <v>48580</v>
      </c>
      <c r="I113" s="32">
        <v>6.4032516326530615</v>
      </c>
      <c r="J113" s="32">
        <v>6.3381999999999996</v>
      </c>
      <c r="K113" s="32">
        <v>6.3327058612599902</v>
      </c>
      <c r="L113" s="32">
        <v>6.4628065326633166</v>
      </c>
      <c r="M113" s="54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6.3541699999999999</v>
      </c>
      <c r="J114" s="32">
        <v>6.2904</v>
      </c>
      <c r="K114" s="32">
        <v>6.2550795589807784</v>
      </c>
      <c r="L114" s="32">
        <v>6.1502437185929644</v>
      </c>
      <c r="M114" s="54">
        <f t="shared" si="7"/>
        <v>2033</v>
      </c>
      <c r="N114" s="3"/>
      <c r="O114" s="3"/>
    </row>
    <row r="115" spans="8:15">
      <c r="H115" s="28">
        <v>48639</v>
      </c>
      <c r="I115" s="32">
        <v>5.6363128571428573</v>
      </c>
      <c r="J115" s="32">
        <v>5.5635000000000003</v>
      </c>
      <c r="K115" s="32">
        <v>5.3914998322969137</v>
      </c>
      <c r="L115" s="32">
        <v>5.6793894472361801</v>
      </c>
      <c r="M115" s="54">
        <f t="shared" si="7"/>
        <v>2033</v>
      </c>
      <c r="N115" s="3"/>
      <c r="O115" s="3"/>
    </row>
    <row r="116" spans="8:15">
      <c r="H116" s="28">
        <v>48670</v>
      </c>
      <c r="I116" s="32">
        <v>5.3852924489795928</v>
      </c>
      <c r="J116" s="32">
        <v>5.3117000000000001</v>
      </c>
      <c r="K116" s="32">
        <v>5.055428457223571</v>
      </c>
      <c r="L116" s="32">
        <v>5.2587864321608038</v>
      </c>
      <c r="M116" s="54">
        <f t="shared" si="7"/>
        <v>2033</v>
      </c>
      <c r="N116" s="3"/>
      <c r="O116" s="3"/>
    </row>
    <row r="117" spans="8:15">
      <c r="H117" s="28">
        <v>48700</v>
      </c>
      <c r="I117" s="32">
        <v>5.4175373469387766</v>
      </c>
      <c r="J117" s="32">
        <v>5.3432000000000004</v>
      </c>
      <c r="K117" s="32">
        <v>5.0005849076717244</v>
      </c>
      <c r="L117" s="32">
        <v>5.2252185929648238</v>
      </c>
      <c r="M117" s="54">
        <f t="shared" si="7"/>
        <v>2033</v>
      </c>
      <c r="N117" s="3"/>
      <c r="O117" s="3"/>
    </row>
    <row r="118" spans="8:15">
      <c r="H118" s="28">
        <v>48731</v>
      </c>
      <c r="I118" s="32">
        <v>5.4772312244897963</v>
      </c>
      <c r="J118" s="32">
        <v>5.4032999999999998</v>
      </c>
      <c r="K118" s="32">
        <v>5.0253263585973702</v>
      </c>
      <c r="L118" s="32">
        <v>5.311650753768844</v>
      </c>
      <c r="M118" s="54">
        <f t="shared" si="7"/>
        <v>2033</v>
      </c>
      <c r="N118" s="3"/>
      <c r="O118" s="3"/>
    </row>
    <row r="119" spans="8:15">
      <c r="H119" s="28">
        <v>48761</v>
      </c>
      <c r="I119" s="32">
        <v>5.715598571428572</v>
      </c>
      <c r="J119" s="32">
        <v>5.6448</v>
      </c>
      <c r="K119" s="32">
        <v>5.2610917680429949</v>
      </c>
      <c r="L119" s="32">
        <v>5.4408969849246231</v>
      </c>
      <c r="M119" s="54">
        <f t="shared" si="7"/>
        <v>2033</v>
      </c>
      <c r="N119" s="3"/>
      <c r="O119" s="3"/>
    </row>
    <row r="120" spans="8:15">
      <c r="H120" s="28">
        <v>48792</v>
      </c>
      <c r="I120" s="32">
        <v>5.7807006122448978</v>
      </c>
      <c r="J120" s="32">
        <v>5.7095000000000002</v>
      </c>
      <c r="K120" s="32">
        <v>5.4349004607956504</v>
      </c>
      <c r="L120" s="32">
        <v>5.5050175879396983</v>
      </c>
      <c r="M120" s="54">
        <f t="shared" si="7"/>
        <v>2033</v>
      </c>
      <c r="N120" s="3"/>
      <c r="O120" s="3"/>
    </row>
    <row r="121" spans="8:15">
      <c r="H121" s="28">
        <v>48823</v>
      </c>
      <c r="I121" s="32">
        <v>5.8150883673469389</v>
      </c>
      <c r="J121" s="32">
        <v>5.7427000000000001</v>
      </c>
      <c r="K121" s="32">
        <v>5.5427319510799196</v>
      </c>
      <c r="L121" s="32">
        <v>5.5589874371859294</v>
      </c>
      <c r="M121" s="54">
        <f t="shared" si="7"/>
        <v>2033</v>
      </c>
      <c r="N121" s="3"/>
      <c r="O121" s="3"/>
    </row>
    <row r="122" spans="8:15">
      <c r="H122" s="28">
        <v>48853</v>
      </c>
      <c r="I122" s="32">
        <v>5.8675373469387759</v>
      </c>
      <c r="J122" s="32">
        <v>5.7911999999999999</v>
      </c>
      <c r="K122" s="32">
        <v>5.6332444257162377</v>
      </c>
      <c r="L122" s="32">
        <v>5.7513492462311548</v>
      </c>
      <c r="M122" s="54">
        <f t="shared" si="7"/>
        <v>2033</v>
      </c>
      <c r="N122" s="3"/>
      <c r="O122" s="3"/>
    </row>
    <row r="123" spans="8:15">
      <c r="H123" s="28">
        <v>48884</v>
      </c>
      <c r="I123" s="32">
        <v>6.1227414285714286</v>
      </c>
      <c r="J123" s="32">
        <v>6.0467000000000004</v>
      </c>
      <c r="K123" s="32">
        <v>6.0983837031183619</v>
      </c>
      <c r="L123" s="32">
        <v>5.7916507537688435</v>
      </c>
      <c r="M123" s="54">
        <f t="shared" si="7"/>
        <v>2033</v>
      </c>
      <c r="N123" s="3"/>
      <c r="O123" s="3"/>
    </row>
    <row r="124" spans="8:15">
      <c r="H124" s="28">
        <v>48914</v>
      </c>
      <c r="I124" s="32">
        <v>6.3665169387755105</v>
      </c>
      <c r="J124" s="32">
        <v>6.3052999999999999</v>
      </c>
      <c r="K124" s="32">
        <v>6.3487878043616597</v>
      </c>
      <c r="L124" s="32">
        <v>5.5870276381909543</v>
      </c>
      <c r="M124" s="54">
        <f t="shared" si="7"/>
        <v>2033</v>
      </c>
      <c r="N124" s="3"/>
      <c r="O124" s="3"/>
    </row>
    <row r="125" spans="8:15">
      <c r="H125" s="28">
        <v>48945</v>
      </c>
      <c r="I125" s="32">
        <v>6.5812108163265313</v>
      </c>
      <c r="J125" s="32">
        <v>6.5126999999999997</v>
      </c>
      <c r="K125" s="32">
        <v>6.5326992562422861</v>
      </c>
      <c r="L125" s="32">
        <v>6.6381834170854273</v>
      </c>
      <c r="M125" s="54">
        <f t="shared" si="7"/>
        <v>2034</v>
      </c>
      <c r="N125" s="3"/>
      <c r="O125" s="3"/>
    </row>
    <row r="126" spans="8:15">
      <c r="H126" s="28">
        <v>48976</v>
      </c>
      <c r="I126" s="32">
        <v>6.5336597959183678</v>
      </c>
      <c r="J126" s="32">
        <v>6.4663000000000004</v>
      </c>
      <c r="K126" s="32">
        <v>6.3761064897587252</v>
      </c>
      <c r="L126" s="32">
        <v>6.3270276381909545</v>
      </c>
      <c r="M126" s="54">
        <f t="shared" si="7"/>
        <v>2034</v>
      </c>
      <c r="N126" s="3"/>
      <c r="O126" s="3"/>
    </row>
    <row r="127" spans="8:15">
      <c r="H127" s="28">
        <v>49004</v>
      </c>
      <c r="I127" s="32">
        <v>5.8089659183673472</v>
      </c>
      <c r="J127" s="32">
        <v>5.7325999999999997</v>
      </c>
      <c r="K127" s="32">
        <v>5.5717000665386944</v>
      </c>
      <c r="L127" s="32">
        <v>5.8494396984924615</v>
      </c>
      <c r="M127" s="54">
        <f t="shared" si="7"/>
        <v>2034</v>
      </c>
      <c r="N127" s="3"/>
      <c r="O127" s="3"/>
    </row>
    <row r="128" spans="8:15">
      <c r="H128" s="28">
        <v>49035</v>
      </c>
      <c r="I128" s="32">
        <v>5.5652924489795925</v>
      </c>
      <c r="J128" s="32">
        <v>5.4881000000000002</v>
      </c>
      <c r="K128" s="32">
        <v>5.2120212237071319</v>
      </c>
      <c r="L128" s="32">
        <v>5.4360728643216074</v>
      </c>
      <c r="M128" s="54">
        <f t="shared" si="7"/>
        <v>2034</v>
      </c>
      <c r="N128" s="3"/>
      <c r="O128" s="3"/>
    </row>
    <row r="129" spans="8:15">
      <c r="H129" s="28">
        <v>49065</v>
      </c>
      <c r="I129" s="32">
        <v>5.5985577551020409</v>
      </c>
      <c r="J129" s="32">
        <v>5.5206</v>
      </c>
      <c r="K129" s="32">
        <v>5.1535695458952961</v>
      </c>
      <c r="L129" s="32">
        <v>5.4035100502512563</v>
      </c>
      <c r="M129" s="54">
        <f t="shared" si="7"/>
        <v>2034</v>
      </c>
      <c r="N129" s="3"/>
      <c r="O129" s="3"/>
    </row>
    <row r="130" spans="8:15">
      <c r="H130" s="28">
        <v>49096</v>
      </c>
      <c r="I130" s="32">
        <v>5.6430475510204081</v>
      </c>
      <c r="J130" s="32">
        <v>5.5658000000000003</v>
      </c>
      <c r="K130" s="32">
        <v>5.1704246593383925</v>
      </c>
      <c r="L130" s="32">
        <v>5.4749673366834166</v>
      </c>
      <c r="M130" s="54">
        <f t="shared" si="7"/>
        <v>2034</v>
      </c>
      <c r="N130" s="3"/>
      <c r="O130" s="3"/>
    </row>
    <row r="131" spans="8:15">
      <c r="H131" s="28">
        <v>49126</v>
      </c>
      <c r="I131" s="32">
        <v>5.8775373469387757</v>
      </c>
      <c r="J131" s="32">
        <v>5.8034999999999997</v>
      </c>
      <c r="K131" s="32">
        <v>5.3770673192569545</v>
      </c>
      <c r="L131" s="32">
        <v>5.6003944723618089</v>
      </c>
      <c r="M131" s="54">
        <f t="shared" si="7"/>
        <v>2034</v>
      </c>
      <c r="N131" s="3"/>
      <c r="O131" s="3"/>
    </row>
    <row r="132" spans="8:15">
      <c r="H132" s="28">
        <v>49157</v>
      </c>
      <c r="I132" s="32">
        <v>5.9404965306122453</v>
      </c>
      <c r="J132" s="32">
        <v>5.8661000000000003</v>
      </c>
      <c r="K132" s="32">
        <v>5.5584015366661612</v>
      </c>
      <c r="L132" s="32">
        <v>5.6624045226130653</v>
      </c>
      <c r="M132" s="54">
        <f t="shared" si="7"/>
        <v>2034</v>
      </c>
      <c r="N132" s="3"/>
      <c r="O132" s="3"/>
    </row>
    <row r="133" spans="8:15">
      <c r="H133" s="28">
        <v>49188</v>
      </c>
      <c r="I133" s="32">
        <v>5.978659795918368</v>
      </c>
      <c r="J133" s="32">
        <v>5.9029999999999996</v>
      </c>
      <c r="K133" s="32">
        <v>5.7256125091719783</v>
      </c>
      <c r="L133" s="32">
        <v>5.7200929648241203</v>
      </c>
      <c r="M133" s="54">
        <f t="shared" si="7"/>
        <v>2034</v>
      </c>
      <c r="N133" s="3"/>
      <c r="O133" s="3"/>
    </row>
    <row r="134" spans="8:15">
      <c r="H134" s="28">
        <v>49218</v>
      </c>
      <c r="I134" s="32">
        <v>6.0310067346938778</v>
      </c>
      <c r="J134" s="32">
        <v>5.9513999999999996</v>
      </c>
      <c r="K134" s="32">
        <v>5.7734459809615579</v>
      </c>
      <c r="L134" s="32">
        <v>5.9123542713567838</v>
      </c>
      <c r="M134" s="54">
        <f t="shared" si="7"/>
        <v>2034</v>
      </c>
      <c r="N134" s="3"/>
      <c r="O134" s="3"/>
    </row>
    <row r="135" spans="8:15">
      <c r="H135" s="28">
        <v>49249</v>
      </c>
      <c r="I135" s="32">
        <v>6.2827414285714287</v>
      </c>
      <c r="J135" s="32">
        <v>6.2035</v>
      </c>
      <c r="K135" s="32">
        <v>6.2079677128431969</v>
      </c>
      <c r="L135" s="32">
        <v>5.9492386934673362</v>
      </c>
      <c r="M135" s="54">
        <f t="shared" si="7"/>
        <v>2034</v>
      </c>
      <c r="N135" s="3"/>
      <c r="O135" s="3"/>
    </row>
    <row r="136" spans="8:15">
      <c r="H136" s="28">
        <v>49279</v>
      </c>
      <c r="I136" s="32">
        <v>6.5139659183673473</v>
      </c>
      <c r="J136" s="32">
        <v>6.4497999999999998</v>
      </c>
      <c r="K136" s="32">
        <v>6.4956901692326756</v>
      </c>
      <c r="L136" s="32">
        <v>5.7322537688442203</v>
      </c>
      <c r="M136" s="54">
        <f t="shared" si="7"/>
        <v>2034</v>
      </c>
      <c r="N136" s="3"/>
      <c r="O136" s="3"/>
    </row>
    <row r="137" spans="8:15">
      <c r="H137" s="28">
        <v>49310</v>
      </c>
      <c r="I137" s="32">
        <v>6.7352924489795925</v>
      </c>
      <c r="J137" s="32">
        <v>6.6637000000000004</v>
      </c>
      <c r="K137" s="32">
        <v>6.6776429229150231</v>
      </c>
      <c r="L137" s="32">
        <v>6.7899422110552763</v>
      </c>
      <c r="M137" s="54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6.6403944897959182</v>
      </c>
      <c r="J138" s="32">
        <v>6.5709</v>
      </c>
      <c r="K138" s="32">
        <v>6.4729074165053122</v>
      </c>
      <c r="L138" s="32">
        <v>6.4321532663316585</v>
      </c>
      <c r="M138" s="54">
        <f t="shared" si="8"/>
        <v>2035</v>
      </c>
      <c r="N138" s="3"/>
      <c r="O138" s="3"/>
    </row>
    <row r="139" spans="8:15">
      <c r="H139" s="28">
        <v>49369</v>
      </c>
      <c r="I139" s="32">
        <v>6.0013128571428576</v>
      </c>
      <c r="J139" s="32">
        <v>5.9211999999999998</v>
      </c>
      <c r="K139" s="32">
        <v>5.6928300866954986</v>
      </c>
      <c r="L139" s="32">
        <v>6.038886934673366</v>
      </c>
      <c r="M139" s="54">
        <f t="shared" si="8"/>
        <v>2035</v>
      </c>
      <c r="N139" s="3"/>
      <c r="O139" s="3"/>
    </row>
    <row r="140" spans="8:15">
      <c r="H140" s="28">
        <v>49400</v>
      </c>
      <c r="I140" s="32">
        <v>5.746414897959184</v>
      </c>
      <c r="J140" s="32">
        <v>5.6656000000000004</v>
      </c>
      <c r="K140" s="32">
        <v>5.3490270082078908</v>
      </c>
      <c r="L140" s="32">
        <v>5.6144648241206028</v>
      </c>
      <c r="M140" s="54">
        <f t="shared" si="8"/>
        <v>2035</v>
      </c>
      <c r="N140" s="3"/>
      <c r="O140" s="3"/>
    </row>
    <row r="141" spans="8:15">
      <c r="H141" s="28">
        <v>49430</v>
      </c>
      <c r="I141" s="32">
        <v>5.7808026530612251</v>
      </c>
      <c r="J141" s="32">
        <v>5.6992000000000003</v>
      </c>
      <c r="K141" s="32">
        <v>5.2773798899023774</v>
      </c>
      <c r="L141" s="32">
        <v>5.5830075376884425</v>
      </c>
      <c r="M141" s="54">
        <f t="shared" si="8"/>
        <v>2035</v>
      </c>
      <c r="N141" s="3"/>
      <c r="O141" s="3"/>
    </row>
    <row r="142" spans="8:15">
      <c r="H142" s="28">
        <v>49461</v>
      </c>
      <c r="I142" s="32">
        <v>5.8168230612244898</v>
      </c>
      <c r="J142" s="32">
        <v>5.7361000000000004</v>
      </c>
      <c r="K142" s="32">
        <v>5.2181550417491147</v>
      </c>
      <c r="L142" s="32">
        <v>5.6461231155778888</v>
      </c>
      <c r="M142" s="54">
        <f t="shared" si="8"/>
        <v>2035</v>
      </c>
      <c r="N142" s="3"/>
      <c r="O142" s="3"/>
    </row>
    <row r="143" spans="8:15">
      <c r="H143" s="28">
        <v>49491</v>
      </c>
      <c r="I143" s="32">
        <v>6.0386597959183677</v>
      </c>
      <c r="J143" s="32">
        <v>5.9614000000000003</v>
      </c>
      <c r="K143" s="32">
        <v>5.5601540561067271</v>
      </c>
      <c r="L143" s="32">
        <v>5.7590879396984915</v>
      </c>
      <c r="M143" s="54">
        <f t="shared" si="8"/>
        <v>2035</v>
      </c>
      <c r="N143" s="3"/>
      <c r="O143" s="3"/>
    </row>
    <row r="144" spans="8:15">
      <c r="H144" s="28">
        <v>49522</v>
      </c>
      <c r="I144" s="32">
        <v>6.124986326530613</v>
      </c>
      <c r="J144" s="32">
        <v>6.0469999999999997</v>
      </c>
      <c r="K144" s="32">
        <v>5.7363338045730909</v>
      </c>
      <c r="L144" s="32">
        <v>5.8441130653266322</v>
      </c>
      <c r="M144" s="54">
        <f t="shared" si="8"/>
        <v>2035</v>
      </c>
      <c r="N144" s="3"/>
      <c r="O144" s="3"/>
    </row>
    <row r="145" spans="8:15">
      <c r="H145" s="28">
        <v>49553</v>
      </c>
      <c r="I145" s="32">
        <v>6.1531495918367352</v>
      </c>
      <c r="J145" s="32">
        <v>6.0739999999999998</v>
      </c>
      <c r="K145" s="32">
        <v>5.8280833517556907</v>
      </c>
      <c r="L145" s="32">
        <v>5.8919522613065318</v>
      </c>
      <c r="M145" s="54">
        <f t="shared" si="8"/>
        <v>2035</v>
      </c>
      <c r="N145" s="3"/>
      <c r="O145" s="3"/>
    </row>
    <row r="146" spans="8:15">
      <c r="H146" s="28">
        <v>49583</v>
      </c>
      <c r="I146" s="32">
        <v>6.1969251020408169</v>
      </c>
      <c r="J146" s="32">
        <v>6.1139000000000001</v>
      </c>
      <c r="K146" s="32">
        <v>5.8695252820561459</v>
      </c>
      <c r="L146" s="32">
        <v>6.0757713567839193</v>
      </c>
      <c r="M146" s="54">
        <f t="shared" si="8"/>
        <v>2035</v>
      </c>
      <c r="N146" s="3"/>
      <c r="O146" s="3"/>
    </row>
    <row r="147" spans="8:15">
      <c r="H147" s="28">
        <v>49614</v>
      </c>
      <c r="I147" s="32">
        <v>6.4619251020408166</v>
      </c>
      <c r="J147" s="32">
        <v>6.3791000000000002</v>
      </c>
      <c r="K147" s="32">
        <v>6.333118218775418</v>
      </c>
      <c r="L147" s="32">
        <v>6.1257211055276377</v>
      </c>
      <c r="M147" s="54">
        <f t="shared" si="8"/>
        <v>2035</v>
      </c>
      <c r="N147" s="3"/>
      <c r="O147" s="3"/>
    </row>
    <row r="148" spans="8:15">
      <c r="H148" s="28">
        <v>49644</v>
      </c>
      <c r="I148" s="32">
        <v>6.6907006122448989</v>
      </c>
      <c r="J148" s="32">
        <v>6.6231</v>
      </c>
      <c r="K148" s="32">
        <v>6.6535200082625181</v>
      </c>
      <c r="L148" s="32">
        <v>5.9063241206030144</v>
      </c>
      <c r="M148" s="54">
        <f t="shared" si="8"/>
        <v>2035</v>
      </c>
      <c r="N148" s="3"/>
      <c r="O148" s="3"/>
    </row>
    <row r="149" spans="8:15">
      <c r="H149" s="28">
        <v>49675</v>
      </c>
      <c r="I149" s="32">
        <v>6.9355985714285717</v>
      </c>
      <c r="J149" s="32">
        <v>6.86</v>
      </c>
      <c r="K149" s="32">
        <v>6.8398025158568538</v>
      </c>
      <c r="L149" s="32">
        <v>6.9871281407035175</v>
      </c>
      <c r="M149" s="54">
        <f t="shared" si="7"/>
        <v>2036</v>
      </c>
      <c r="N149" s="3"/>
      <c r="O149" s="3"/>
    </row>
    <row r="150" spans="8:15">
      <c r="H150" s="28">
        <v>49706</v>
      </c>
      <c r="I150" s="32">
        <v>6.68212918367347</v>
      </c>
      <c r="J150" s="32">
        <v>6.6117999999999997</v>
      </c>
      <c r="K150" s="32">
        <v>6.472185790853314</v>
      </c>
      <c r="L150" s="32">
        <v>6.4732587939698485</v>
      </c>
      <c r="M150" s="54">
        <f t="shared" si="7"/>
        <v>2036</v>
      </c>
      <c r="N150" s="3"/>
      <c r="O150" s="3"/>
    </row>
    <row r="151" spans="8:15">
      <c r="H151" s="28">
        <v>49735</v>
      </c>
      <c r="I151" s="32">
        <v>6.2182516326530619</v>
      </c>
      <c r="J151" s="32">
        <v>6.1337000000000002</v>
      </c>
      <c r="K151" s="32">
        <v>5.8688036564041477</v>
      </c>
      <c r="L151" s="32">
        <v>6.2525552763819094</v>
      </c>
      <c r="M151" s="54">
        <f t="shared" si="7"/>
        <v>2036</v>
      </c>
      <c r="N151" s="3"/>
      <c r="O151" s="3"/>
    </row>
    <row r="152" spans="8:15">
      <c r="H152" s="28">
        <v>49766</v>
      </c>
      <c r="I152" s="32">
        <v>5.9328434693877554</v>
      </c>
      <c r="J152" s="32">
        <v>5.8483000000000001</v>
      </c>
      <c r="K152" s="32">
        <v>5.5159287125771375</v>
      </c>
      <c r="L152" s="32">
        <v>5.7980829145728636</v>
      </c>
      <c r="M152" s="54">
        <f t="shared" si="7"/>
        <v>2036</v>
      </c>
      <c r="N152" s="3"/>
      <c r="O152" s="3"/>
    </row>
    <row r="153" spans="8:15">
      <c r="H153" s="28">
        <v>49796</v>
      </c>
      <c r="I153" s="32">
        <v>5.9682516326530619</v>
      </c>
      <c r="J153" s="32">
        <v>5.883</v>
      </c>
      <c r="K153" s="32">
        <v>5.3885102403100662</v>
      </c>
      <c r="L153" s="32">
        <v>5.7676306532663313</v>
      </c>
      <c r="M153" s="54">
        <f t="shared" si="7"/>
        <v>2036</v>
      </c>
      <c r="N153" s="3"/>
      <c r="O153" s="3"/>
    </row>
    <row r="154" spans="8:15">
      <c r="H154" s="28">
        <v>49827</v>
      </c>
      <c r="I154" s="32">
        <v>6.0054965306122456</v>
      </c>
      <c r="J154" s="32">
        <v>5.9210000000000003</v>
      </c>
      <c r="K154" s="32">
        <v>5.3873762571426411</v>
      </c>
      <c r="L154" s="32">
        <v>5.8319522613065322</v>
      </c>
      <c r="M154" s="54">
        <f t="shared" si="7"/>
        <v>2036</v>
      </c>
      <c r="N154" s="3"/>
      <c r="O154" s="3"/>
    </row>
    <row r="155" spans="8:15">
      <c r="H155" s="28">
        <v>49857</v>
      </c>
      <c r="I155" s="32">
        <v>6.2486597959183676</v>
      </c>
      <c r="J155" s="32">
        <v>6.1672000000000002</v>
      </c>
      <c r="K155" s="32">
        <v>5.7088089404183116</v>
      </c>
      <c r="L155" s="32">
        <v>5.9659221105527633</v>
      </c>
      <c r="M155" s="54">
        <f t="shared" si="7"/>
        <v>2036</v>
      </c>
      <c r="N155" s="3"/>
      <c r="O155" s="3"/>
    </row>
    <row r="156" spans="8:15">
      <c r="H156" s="28">
        <v>49888</v>
      </c>
      <c r="I156" s="32">
        <v>6.3245781632653069</v>
      </c>
      <c r="J156" s="32">
        <v>6.2426000000000004</v>
      </c>
      <c r="K156" s="32">
        <v>5.9201421670748617</v>
      </c>
      <c r="L156" s="32">
        <v>6.040695979899497</v>
      </c>
      <c r="M156" s="54">
        <f t="shared" si="7"/>
        <v>2036</v>
      </c>
      <c r="N156" s="3"/>
      <c r="O156" s="3"/>
    </row>
    <row r="157" spans="8:15">
      <c r="H157" s="28">
        <v>49919</v>
      </c>
      <c r="I157" s="32">
        <v>6.3529455102040817</v>
      </c>
      <c r="J157" s="32">
        <v>6.2698</v>
      </c>
      <c r="K157" s="32">
        <v>5.9970468437020745</v>
      </c>
      <c r="L157" s="32">
        <v>6.0887361809045224</v>
      </c>
      <c r="M157" s="54">
        <f t="shared" si="7"/>
        <v>2036</v>
      </c>
      <c r="N157" s="3"/>
      <c r="O157" s="3"/>
    </row>
    <row r="158" spans="8:15">
      <c r="H158" s="28">
        <v>49949</v>
      </c>
      <c r="I158" s="32">
        <v>6.3912108163265309</v>
      </c>
      <c r="J158" s="32">
        <v>6.3044000000000002</v>
      </c>
      <c r="K158" s="32">
        <v>6.0318910537556905</v>
      </c>
      <c r="L158" s="32">
        <v>6.2671281407035169</v>
      </c>
      <c r="M158" s="54">
        <f t="shared" si="7"/>
        <v>2036</v>
      </c>
      <c r="N158" s="3"/>
      <c r="O158" s="3"/>
    </row>
    <row r="159" spans="8:15">
      <c r="H159" s="28">
        <v>49980</v>
      </c>
      <c r="I159" s="32">
        <v>6.6434557142857145</v>
      </c>
      <c r="J159" s="32">
        <v>6.5571000000000002</v>
      </c>
      <c r="K159" s="32">
        <v>6.4722888802321705</v>
      </c>
      <c r="L159" s="32">
        <v>6.3045150753768837</v>
      </c>
      <c r="M159" s="54">
        <f t="shared" si="7"/>
        <v>2036</v>
      </c>
      <c r="N159" s="3"/>
      <c r="O159" s="3"/>
    </row>
    <row r="160" spans="8:15">
      <c r="H160" s="28">
        <v>50010</v>
      </c>
      <c r="I160" s="32">
        <v>6.902231224489797</v>
      </c>
      <c r="J160" s="32">
        <v>6.8304</v>
      </c>
      <c r="K160" s="32">
        <v>6.8493898280905423</v>
      </c>
      <c r="L160" s="32">
        <v>6.1146658291457285</v>
      </c>
      <c r="M160" s="54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7.0607006122448981</v>
      </c>
      <c r="J161" s="32">
        <v>6.9825999999999997</v>
      </c>
      <c r="K161" s="32">
        <v>6.9319644205548805</v>
      </c>
      <c r="L161" s="32">
        <v>7.1103442211055263</v>
      </c>
      <c r="M161" s="54">
        <f t="shared" si="9"/>
        <v>2037</v>
      </c>
      <c r="N161" s="3"/>
      <c r="O161" s="3"/>
    </row>
    <row r="162" spans="8:15">
      <c r="H162" s="28">
        <v>50072</v>
      </c>
      <c r="I162" s="32">
        <v>7.0291700000000006</v>
      </c>
      <c r="J162" s="32">
        <v>6.9519000000000002</v>
      </c>
      <c r="K162" s="32">
        <v>6.7544445101633794</v>
      </c>
      <c r="L162" s="32">
        <v>6.8150678391959794</v>
      </c>
      <c r="M162" s="54">
        <f t="shared" si="9"/>
        <v>2037</v>
      </c>
      <c r="N162" s="3"/>
      <c r="O162" s="3"/>
    </row>
    <row r="163" spans="8:15">
      <c r="H163" s="28">
        <v>50100</v>
      </c>
      <c r="I163" s="32">
        <v>6.3954965306122453</v>
      </c>
      <c r="J163" s="32">
        <v>6.3075000000000001</v>
      </c>
      <c r="K163" s="32">
        <v>6.0041600108431972</v>
      </c>
      <c r="L163" s="32">
        <v>6.4271281407035179</v>
      </c>
      <c r="M163" s="54">
        <f t="shared" si="9"/>
        <v>2037</v>
      </c>
      <c r="N163" s="3"/>
      <c r="O163" s="3"/>
    </row>
    <row r="164" spans="8:15">
      <c r="H164" s="28">
        <v>50131</v>
      </c>
      <c r="I164" s="32">
        <v>6.0875373469387766</v>
      </c>
      <c r="J164" s="32">
        <v>5.9999000000000002</v>
      </c>
      <c r="K164" s="32">
        <v>5.6482954750293377</v>
      </c>
      <c r="L164" s="32">
        <v>5.95044472361809</v>
      </c>
      <c r="M164" s="54">
        <f t="shared" si="9"/>
        <v>2037</v>
      </c>
      <c r="N164" s="3"/>
      <c r="O164" s="3"/>
    </row>
    <row r="165" spans="8:15">
      <c r="H165" s="28">
        <v>50161</v>
      </c>
      <c r="I165" s="32">
        <v>6.1238638775510212</v>
      </c>
      <c r="J165" s="32">
        <v>6.0354999999999999</v>
      </c>
      <c r="K165" s="32">
        <v>5.5095887157774399</v>
      </c>
      <c r="L165" s="32">
        <v>5.9208969849246227</v>
      </c>
      <c r="M165" s="54">
        <f t="shared" si="9"/>
        <v>2037</v>
      </c>
      <c r="N165" s="3"/>
      <c r="O165" s="3"/>
    </row>
    <row r="166" spans="8:15">
      <c r="H166" s="28">
        <v>50192</v>
      </c>
      <c r="I166" s="32">
        <v>6.1799863265306128</v>
      </c>
      <c r="J166" s="32">
        <v>6.0921000000000003</v>
      </c>
      <c r="K166" s="32">
        <v>5.5426288617010631</v>
      </c>
      <c r="L166" s="32">
        <v>6.0038115577889437</v>
      </c>
      <c r="M166" s="54">
        <f t="shared" si="9"/>
        <v>2037</v>
      </c>
      <c r="N166" s="3"/>
      <c r="O166" s="3"/>
    </row>
    <row r="167" spans="8:15">
      <c r="H167" s="28">
        <v>50222</v>
      </c>
      <c r="I167" s="32">
        <v>6.4408026530612252</v>
      </c>
      <c r="J167" s="32">
        <v>6.3555000000000001</v>
      </c>
      <c r="K167" s="32">
        <v>5.9001428275766319</v>
      </c>
      <c r="L167" s="32">
        <v>6.1551683417085421</v>
      </c>
      <c r="M167" s="54">
        <f t="shared" si="9"/>
        <v>2037</v>
      </c>
      <c r="N167" s="3"/>
      <c r="O167" s="3"/>
    </row>
    <row r="168" spans="8:15">
      <c r="H168" s="28">
        <v>50253</v>
      </c>
      <c r="I168" s="32">
        <v>6.5019251020408166</v>
      </c>
      <c r="J168" s="32">
        <v>6.4164000000000003</v>
      </c>
      <c r="K168" s="32">
        <v>6.0825079387744054</v>
      </c>
      <c r="L168" s="32">
        <v>6.2153693467336684</v>
      </c>
      <c r="M168" s="54">
        <f t="shared" si="9"/>
        <v>2037</v>
      </c>
      <c r="N168" s="3"/>
      <c r="O168" s="3"/>
    </row>
    <row r="169" spans="8:15">
      <c r="H169" s="28">
        <v>50284</v>
      </c>
      <c r="I169" s="32">
        <v>6.5410067346938785</v>
      </c>
      <c r="J169" s="32">
        <v>6.4541000000000004</v>
      </c>
      <c r="K169" s="32">
        <v>6.156216844657056</v>
      </c>
      <c r="L169" s="32">
        <v>6.2739623115577885</v>
      </c>
      <c r="M169" s="54">
        <f t="shared" si="9"/>
        <v>2037</v>
      </c>
      <c r="N169" s="3"/>
      <c r="O169" s="3"/>
    </row>
    <row r="170" spans="8:15">
      <c r="H170" s="28">
        <v>50314</v>
      </c>
      <c r="I170" s="32">
        <v>6.5803944897959186</v>
      </c>
      <c r="J170" s="32">
        <v>6.4897999999999998</v>
      </c>
      <c r="K170" s="32">
        <v>6.1919888591203849</v>
      </c>
      <c r="L170" s="32">
        <v>6.4534597989949738</v>
      </c>
      <c r="M170" s="54">
        <f t="shared" si="9"/>
        <v>2037</v>
      </c>
      <c r="N170" s="3"/>
      <c r="O170" s="3"/>
    </row>
    <row r="171" spans="8:15">
      <c r="H171" s="28">
        <v>50345</v>
      </c>
      <c r="I171" s="32">
        <v>6.7995781632653065</v>
      </c>
      <c r="J171" s="32">
        <v>6.7100999999999997</v>
      </c>
      <c r="K171" s="32">
        <v>6.6103255585214971</v>
      </c>
      <c r="L171" s="32">
        <v>6.4582839195979895</v>
      </c>
      <c r="M171" s="54">
        <f t="shared" si="9"/>
        <v>2037</v>
      </c>
      <c r="N171" s="3"/>
      <c r="O171" s="3"/>
    </row>
    <row r="172" spans="8:15">
      <c r="H172" s="28">
        <v>50375</v>
      </c>
      <c r="I172" s="32">
        <v>7.0352924489795923</v>
      </c>
      <c r="J172" s="32">
        <v>6.9607999999999999</v>
      </c>
      <c r="K172" s="32">
        <v>6.9816535011638861</v>
      </c>
      <c r="L172" s="32">
        <v>6.2457211055276378</v>
      </c>
      <c r="M172" s="54">
        <f t="shared" si="9"/>
        <v>2037</v>
      </c>
      <c r="N172" s="3"/>
      <c r="O172" s="3"/>
    </row>
    <row r="173" spans="8:15">
      <c r="H173" s="28">
        <v>50406</v>
      </c>
      <c r="I173" s="32">
        <v>7.3127414285714289</v>
      </c>
      <c r="J173" s="32">
        <v>7.2294999999999998</v>
      </c>
      <c r="K173" s="32">
        <v>7.1798943767056143</v>
      </c>
      <c r="L173" s="32">
        <v>7.3585854271356776</v>
      </c>
      <c r="M173" s="54">
        <f t="shared" si="9"/>
        <v>2038</v>
      </c>
      <c r="N173" s="3"/>
      <c r="O173" s="3"/>
    </row>
    <row r="174" spans="8:15">
      <c r="H174" s="28">
        <v>50437</v>
      </c>
      <c r="I174" s="32">
        <v>7.2162108163265311</v>
      </c>
      <c r="J174" s="32">
        <v>7.1352000000000002</v>
      </c>
      <c r="K174" s="32">
        <v>6.9094909359640875</v>
      </c>
      <c r="L174" s="32">
        <v>6.9992889447236175</v>
      </c>
      <c r="M174" s="54">
        <f t="shared" si="9"/>
        <v>2038</v>
      </c>
      <c r="N174" s="3"/>
      <c r="O174" s="3"/>
    </row>
    <row r="175" spans="8:15">
      <c r="H175" s="28">
        <v>50465</v>
      </c>
      <c r="I175" s="32">
        <v>6.5932516326530619</v>
      </c>
      <c r="J175" s="32">
        <v>6.5012999999999996</v>
      </c>
      <c r="K175" s="32">
        <v>6.1863189432832577</v>
      </c>
      <c r="L175" s="32">
        <v>6.6219020100502508</v>
      </c>
      <c r="M175" s="54">
        <f t="shared" si="9"/>
        <v>2038</v>
      </c>
      <c r="N175" s="3"/>
      <c r="O175" s="3"/>
    </row>
    <row r="176" spans="8:15">
      <c r="H176" s="28">
        <v>50496</v>
      </c>
      <c r="I176" s="32">
        <v>6.320496530612246</v>
      </c>
      <c r="J176" s="32">
        <v>6.2282000000000002</v>
      </c>
      <c r="K176" s="32">
        <v>5.7738583384769857</v>
      </c>
      <c r="L176" s="32">
        <v>6.1798919597989945</v>
      </c>
      <c r="M176" s="54">
        <f t="shared" si="9"/>
        <v>2038</v>
      </c>
      <c r="N176" s="3"/>
      <c r="O176" s="3"/>
    </row>
    <row r="177" spans="8:15">
      <c r="H177" s="28">
        <v>50526</v>
      </c>
      <c r="I177" s="32">
        <v>6.3581495918367343</v>
      </c>
      <c r="J177" s="32">
        <v>6.2651000000000003</v>
      </c>
      <c r="K177" s="32">
        <v>5.6932424442109264</v>
      </c>
      <c r="L177" s="32">
        <v>6.1516507537688438</v>
      </c>
      <c r="M177" s="54">
        <f t="shared" si="9"/>
        <v>2038</v>
      </c>
      <c r="N177" s="3"/>
      <c r="O177" s="3"/>
    </row>
    <row r="178" spans="8:15">
      <c r="H178" s="28">
        <v>50557</v>
      </c>
      <c r="I178" s="32">
        <v>6.4113128571428577</v>
      </c>
      <c r="J178" s="32">
        <v>6.3186999999999998</v>
      </c>
      <c r="K178" s="32">
        <v>5.7274681179914015</v>
      </c>
      <c r="L178" s="32">
        <v>6.2316507537688439</v>
      </c>
      <c r="M178" s="54">
        <f t="shared" si="9"/>
        <v>2038</v>
      </c>
      <c r="N178" s="3"/>
      <c r="O178" s="3"/>
    </row>
    <row r="179" spans="8:15">
      <c r="H179" s="28">
        <v>50587</v>
      </c>
      <c r="I179" s="32">
        <v>6.670904693877552</v>
      </c>
      <c r="J179" s="32">
        <v>6.5810000000000004</v>
      </c>
      <c r="K179" s="32">
        <v>6.0740546097081438</v>
      </c>
      <c r="L179" s="32">
        <v>6.3818015075376877</v>
      </c>
      <c r="M179" s="54">
        <f t="shared" si="9"/>
        <v>2038</v>
      </c>
      <c r="N179" s="3"/>
      <c r="O179" s="3"/>
    </row>
    <row r="180" spans="8:15">
      <c r="H180" s="28">
        <v>50618</v>
      </c>
      <c r="I180" s="32">
        <v>6.7383536734693879</v>
      </c>
      <c r="J180" s="32">
        <v>6.6479999999999997</v>
      </c>
      <c r="K180" s="32">
        <v>6.3048717289686396</v>
      </c>
      <c r="L180" s="32">
        <v>6.4482336683417083</v>
      </c>
      <c r="M180" s="54">
        <f t="shared" si="9"/>
        <v>2038</v>
      </c>
      <c r="N180" s="3"/>
      <c r="O180" s="3"/>
    </row>
    <row r="181" spans="8:15">
      <c r="H181" s="28">
        <v>50649</v>
      </c>
      <c r="I181" s="32">
        <v>6.7683536734693881</v>
      </c>
      <c r="J181" s="32">
        <v>6.6768000000000001</v>
      </c>
      <c r="K181" s="32">
        <v>6.3471383742999503</v>
      </c>
      <c r="L181" s="32">
        <v>6.497881909547738</v>
      </c>
      <c r="M181" s="54">
        <f t="shared" si="9"/>
        <v>2038</v>
      </c>
      <c r="N181" s="3"/>
      <c r="O181" s="3"/>
    </row>
    <row r="182" spans="8:15">
      <c r="H182" s="28">
        <v>50679</v>
      </c>
      <c r="I182" s="32">
        <v>6.8086597959183681</v>
      </c>
      <c r="J182" s="32">
        <v>6.7134</v>
      </c>
      <c r="K182" s="32">
        <v>6.3840443719307043</v>
      </c>
      <c r="L182" s="32">
        <v>6.6782839195979893</v>
      </c>
      <c r="M182" s="54">
        <f t="shared" si="9"/>
        <v>2038</v>
      </c>
      <c r="N182" s="3"/>
      <c r="O182" s="3"/>
    </row>
    <row r="183" spans="8:15">
      <c r="H183" s="28">
        <v>50710</v>
      </c>
      <c r="I183" s="32">
        <v>7.0263128571428579</v>
      </c>
      <c r="J183" s="32">
        <v>6.9322999999999997</v>
      </c>
      <c r="K183" s="32">
        <v>6.8164012268563487</v>
      </c>
      <c r="L183" s="32">
        <v>6.6816005025125627</v>
      </c>
      <c r="M183" s="54">
        <f t="shared" si="9"/>
        <v>2038</v>
      </c>
      <c r="N183" s="3"/>
      <c r="O183" s="3"/>
    </row>
    <row r="184" spans="8:15">
      <c r="H184" s="28">
        <v>50740</v>
      </c>
      <c r="I184" s="32">
        <v>7.2780475510204088</v>
      </c>
      <c r="J184" s="32">
        <v>7.1985999999999999</v>
      </c>
      <c r="K184" s="32">
        <v>7.1665958468330802</v>
      </c>
      <c r="L184" s="32">
        <v>6.4848165829145721</v>
      </c>
      <c r="M184" s="54">
        <f t="shared" si="9"/>
        <v>2038</v>
      </c>
      <c r="N184" s="3"/>
      <c r="O184" s="3"/>
    </row>
    <row r="185" spans="8:15">
      <c r="H185" s="28">
        <v>50771</v>
      </c>
      <c r="I185" s="32">
        <v>7.4920271428571432</v>
      </c>
      <c r="J185" s="32">
        <v>7.4051999999999998</v>
      </c>
      <c r="K185" s="32">
        <v>7.3674139568462325</v>
      </c>
      <c r="L185" s="32">
        <v>7.5351683417085429</v>
      </c>
      <c r="M185" s="54">
        <f t="shared" si="9"/>
        <v>2039</v>
      </c>
      <c r="N185" s="3"/>
      <c r="O185" s="3"/>
    </row>
    <row r="186" spans="8:15">
      <c r="H186" s="28">
        <v>50802</v>
      </c>
      <c r="I186" s="32">
        <v>7.4065169387755105</v>
      </c>
      <c r="J186" s="32">
        <v>7.3216999999999999</v>
      </c>
      <c r="K186" s="32">
        <v>7.0740215846196266</v>
      </c>
      <c r="L186" s="32">
        <v>7.1867261306532662</v>
      </c>
      <c r="M186" s="54">
        <f t="shared" si="9"/>
        <v>2039</v>
      </c>
      <c r="N186" s="3"/>
      <c r="O186" s="3"/>
    </row>
    <row r="187" spans="8:15">
      <c r="H187" s="28">
        <v>50830</v>
      </c>
      <c r="I187" s="32">
        <v>6.7867210204081632</v>
      </c>
      <c r="J187" s="32">
        <v>6.6909000000000001</v>
      </c>
      <c r="K187" s="32">
        <v>6.3680655182078905</v>
      </c>
      <c r="L187" s="32">
        <v>6.8124547738693462</v>
      </c>
      <c r="M187" s="54">
        <f t="shared" si="9"/>
        <v>2039</v>
      </c>
      <c r="N187" s="3"/>
      <c r="O187" s="3"/>
    </row>
    <row r="188" spans="8:15">
      <c r="H188" s="28">
        <v>50861</v>
      </c>
      <c r="I188" s="32">
        <v>6.51682306122449</v>
      </c>
      <c r="J188" s="32">
        <v>6.4206000000000003</v>
      </c>
      <c r="K188" s="32">
        <v>5.9111218464248871</v>
      </c>
      <c r="L188" s="32">
        <v>6.3732587939698488</v>
      </c>
      <c r="M188" s="54">
        <f t="shared" si="9"/>
        <v>2039</v>
      </c>
      <c r="N188" s="3"/>
      <c r="O188" s="3"/>
    </row>
    <row r="189" spans="8:15">
      <c r="H189" s="28">
        <v>50891</v>
      </c>
      <c r="I189" s="32">
        <v>6.5555985714285718</v>
      </c>
      <c r="J189" s="32">
        <v>6.4585999999999997</v>
      </c>
      <c r="K189" s="32">
        <v>5.8634430087035918</v>
      </c>
      <c r="L189" s="32">
        <v>6.346123115577889</v>
      </c>
      <c r="M189" s="54">
        <f t="shared" si="9"/>
        <v>2039</v>
      </c>
      <c r="N189" s="3"/>
      <c r="O189" s="3"/>
    </row>
    <row r="190" spans="8:15">
      <c r="H190" s="28">
        <v>50922</v>
      </c>
      <c r="I190" s="32">
        <v>6.6157006122448987</v>
      </c>
      <c r="J190" s="32">
        <v>6.5190000000000001</v>
      </c>
      <c r="K190" s="32">
        <v>5.8986995762726355</v>
      </c>
      <c r="L190" s="32">
        <v>6.4329572864321607</v>
      </c>
      <c r="M190" s="54">
        <f t="shared" si="9"/>
        <v>2039</v>
      </c>
      <c r="N190" s="3"/>
      <c r="O190" s="3"/>
    </row>
    <row r="191" spans="8:15">
      <c r="H191" s="28">
        <v>50952</v>
      </c>
      <c r="I191" s="32">
        <v>6.9392720408163271</v>
      </c>
      <c r="J191" s="32">
        <v>6.8440000000000003</v>
      </c>
      <c r="K191" s="32">
        <v>6.3218814764800202</v>
      </c>
      <c r="L191" s="32">
        <v>6.6461231155778888</v>
      </c>
      <c r="M191" s="54">
        <f t="shared" si="9"/>
        <v>2039</v>
      </c>
      <c r="N191" s="3"/>
      <c r="O191" s="3"/>
    </row>
    <row r="192" spans="8:15">
      <c r="H192" s="28">
        <v>50983</v>
      </c>
      <c r="I192" s="32">
        <v>7.0359046938775514</v>
      </c>
      <c r="J192" s="32">
        <v>6.9396000000000004</v>
      </c>
      <c r="K192" s="32">
        <v>6.5642446061724833</v>
      </c>
      <c r="L192" s="32">
        <v>6.7412989949748736</v>
      </c>
      <c r="M192" s="54">
        <f t="shared" si="9"/>
        <v>2039</v>
      </c>
      <c r="N192" s="3"/>
      <c r="O192" s="3"/>
    </row>
    <row r="193" spans="8:15">
      <c r="H193" s="28">
        <v>51014</v>
      </c>
      <c r="I193" s="32">
        <v>7.078149591836735</v>
      </c>
      <c r="J193" s="32">
        <v>6.9805000000000001</v>
      </c>
      <c r="K193" s="32">
        <v>6.6037278382746587</v>
      </c>
      <c r="L193" s="32">
        <v>6.8030075376884414</v>
      </c>
      <c r="M193" s="54">
        <f t="shared" si="9"/>
        <v>2039</v>
      </c>
      <c r="N193" s="3"/>
      <c r="O193" s="3"/>
    </row>
    <row r="194" spans="8:15">
      <c r="H194" s="28">
        <v>51044</v>
      </c>
      <c r="I194" s="32">
        <v>7.1202924489795922</v>
      </c>
      <c r="J194" s="32">
        <v>7.0189000000000004</v>
      </c>
      <c r="K194" s="32">
        <v>6.6420770872094081</v>
      </c>
      <c r="L194" s="32">
        <v>6.9852185929648236</v>
      </c>
      <c r="M194" s="54">
        <f t="shared" si="9"/>
        <v>2039</v>
      </c>
      <c r="N194" s="3"/>
      <c r="O194" s="3"/>
    </row>
    <row r="195" spans="8:15">
      <c r="H195" s="28">
        <v>51075</v>
      </c>
      <c r="I195" s="32">
        <v>7.3691700000000004</v>
      </c>
      <c r="J195" s="32">
        <v>7.2683</v>
      </c>
      <c r="K195" s="32">
        <v>7.0655682555533632</v>
      </c>
      <c r="L195" s="32">
        <v>7.019288944723618</v>
      </c>
      <c r="M195" s="54">
        <f t="shared" si="9"/>
        <v>2039</v>
      </c>
      <c r="N195" s="3"/>
      <c r="O195" s="3"/>
    </row>
    <row r="196" spans="8:15">
      <c r="H196" s="28">
        <v>51105</v>
      </c>
      <c r="I196" s="32">
        <v>7.6086597959183679</v>
      </c>
      <c r="J196" s="32">
        <v>7.5225999999999997</v>
      </c>
      <c r="K196" s="32">
        <v>7.4262779921734952</v>
      </c>
      <c r="L196" s="32">
        <v>6.8104447236180894</v>
      </c>
      <c r="M196" s="54">
        <f t="shared" si="9"/>
        <v>2039</v>
      </c>
      <c r="N196" s="3"/>
      <c r="O196" s="3"/>
    </row>
    <row r="197" spans="8:15">
      <c r="H197" s="28">
        <v>51136</v>
      </c>
      <c r="I197" s="32">
        <v>7.8796802040816329</v>
      </c>
      <c r="J197" s="32">
        <v>7.7851999999999997</v>
      </c>
      <c r="K197" s="32">
        <v>7.6343123587066266</v>
      </c>
      <c r="L197" s="32">
        <v>7.9170778894472358</v>
      </c>
      <c r="M197" s="54">
        <f t="shared" si="9"/>
        <v>2040</v>
      </c>
      <c r="N197" s="3"/>
      <c r="O197" s="3"/>
    </row>
    <row r="198" spans="8:15">
      <c r="H198" s="28">
        <v>51167</v>
      </c>
      <c r="I198" s="32">
        <v>7.4745781632653063</v>
      </c>
      <c r="J198" s="32">
        <v>7.3883999999999999</v>
      </c>
      <c r="K198" s="32">
        <v>7.1351535862817403</v>
      </c>
      <c r="L198" s="32">
        <v>7.2537613065326632</v>
      </c>
      <c r="M198" s="54">
        <f t="shared" si="9"/>
        <v>2040</v>
      </c>
      <c r="N198" s="3"/>
      <c r="O198" s="3"/>
    </row>
    <row r="199" spans="8:15">
      <c r="H199" s="28">
        <v>51196</v>
      </c>
      <c r="I199" s="32">
        <v>7.0731495918367351</v>
      </c>
      <c r="J199" s="32">
        <v>6.9714999999999998</v>
      </c>
      <c r="K199" s="32">
        <v>6.6380566014339912</v>
      </c>
      <c r="L199" s="32">
        <v>7.0945653266331652</v>
      </c>
      <c r="M199" s="54">
        <f t="shared" si="9"/>
        <v>2040</v>
      </c>
      <c r="N199" s="3"/>
      <c r="O199" s="3"/>
    </row>
    <row r="200" spans="8:15">
      <c r="H200" s="28">
        <v>51227</v>
      </c>
      <c r="I200" s="32">
        <v>6.8227414285714287</v>
      </c>
      <c r="J200" s="32">
        <v>6.7203999999999997</v>
      </c>
      <c r="K200" s="32">
        <v>6.1897208927855338</v>
      </c>
      <c r="L200" s="32">
        <v>6.6745653266331653</v>
      </c>
      <c r="M200" s="54">
        <f t="shared" si="9"/>
        <v>2040</v>
      </c>
      <c r="N200" s="3"/>
      <c r="O200" s="3"/>
    </row>
    <row r="201" spans="8:15">
      <c r="H201" s="28">
        <v>51257</v>
      </c>
      <c r="I201" s="32">
        <v>6.8634557142857151</v>
      </c>
      <c r="J201" s="32">
        <v>6.7602000000000002</v>
      </c>
      <c r="K201" s="32">
        <v>6.1323516534516944</v>
      </c>
      <c r="L201" s="32">
        <v>6.6493391959798993</v>
      </c>
      <c r="M201" s="54">
        <f t="shared" si="9"/>
        <v>2040</v>
      </c>
      <c r="N201" s="3"/>
      <c r="O201" s="3"/>
    </row>
    <row r="202" spans="8:15">
      <c r="H202" s="28">
        <v>51288</v>
      </c>
      <c r="I202" s="32">
        <v>6.9404965306122453</v>
      </c>
      <c r="J202" s="32">
        <v>6.8373999999999997</v>
      </c>
      <c r="K202" s="32">
        <v>6.1691545617035919</v>
      </c>
      <c r="L202" s="32">
        <v>6.7528567839195972</v>
      </c>
      <c r="M202" s="54">
        <f t="shared" si="9"/>
        <v>2040</v>
      </c>
      <c r="N202" s="3"/>
      <c r="O202" s="3"/>
    </row>
    <row r="203" spans="8:15">
      <c r="H203" s="28">
        <v>51318</v>
      </c>
      <c r="I203" s="32">
        <v>7.2844761224489796</v>
      </c>
      <c r="J203" s="32">
        <v>7.1822999999999997</v>
      </c>
      <c r="K203" s="32">
        <v>6.5949652410718258</v>
      </c>
      <c r="L203" s="32">
        <v>6.9861231155778887</v>
      </c>
      <c r="M203" s="54">
        <f t="shared" si="9"/>
        <v>2040</v>
      </c>
      <c r="N203" s="3"/>
      <c r="O203" s="3"/>
    </row>
    <row r="204" spans="8:15">
      <c r="H204" s="28">
        <v>51349</v>
      </c>
      <c r="I204" s="32">
        <v>7.3429455102040819</v>
      </c>
      <c r="J204" s="32">
        <v>7.2405999999999997</v>
      </c>
      <c r="K204" s="32">
        <v>6.846606414861407</v>
      </c>
      <c r="L204" s="32">
        <v>7.0437110552763809</v>
      </c>
      <c r="M204" s="54">
        <f t="shared" si="9"/>
        <v>2040</v>
      </c>
      <c r="N204" s="3"/>
      <c r="O204" s="3"/>
    </row>
    <row r="205" spans="8:15">
      <c r="H205" s="28">
        <v>51380</v>
      </c>
      <c r="I205" s="32">
        <v>7.3901904081632654</v>
      </c>
      <c r="J205" s="32">
        <v>7.2862999999999998</v>
      </c>
      <c r="K205" s="32">
        <v>6.8877390770252926</v>
      </c>
      <c r="L205" s="32">
        <v>7.1103442211055263</v>
      </c>
      <c r="M205" s="54">
        <f t="shared" si="9"/>
        <v>2040</v>
      </c>
      <c r="N205" s="3"/>
      <c r="O205" s="3"/>
    </row>
    <row r="206" spans="8:15">
      <c r="H206" s="28">
        <v>51410</v>
      </c>
      <c r="I206" s="32">
        <v>7.4345781632653063</v>
      </c>
      <c r="J206" s="32">
        <v>7.3269000000000002</v>
      </c>
      <c r="K206" s="32">
        <v>6.9277377560217506</v>
      </c>
      <c r="L206" s="32">
        <v>7.2947663316582911</v>
      </c>
      <c r="M206" s="54">
        <f t="shared" si="9"/>
        <v>2040</v>
      </c>
      <c r="N206" s="3"/>
      <c r="O206" s="3"/>
    </row>
    <row r="207" spans="8:15">
      <c r="H207" s="28">
        <v>51441</v>
      </c>
      <c r="I207" s="32">
        <v>7.7211087755102046</v>
      </c>
      <c r="J207" s="32">
        <v>7.6131000000000002</v>
      </c>
      <c r="K207" s="32">
        <v>7.3603007897051089</v>
      </c>
      <c r="L207" s="32">
        <v>7.3659221105527637</v>
      </c>
      <c r="M207" s="54">
        <f t="shared" si="9"/>
        <v>2040</v>
      </c>
      <c r="N207" s="3"/>
      <c r="O207" s="3"/>
    </row>
    <row r="208" spans="8:15">
      <c r="H208" s="28">
        <v>51471</v>
      </c>
      <c r="I208" s="32">
        <v>8.0070271428571438</v>
      </c>
      <c r="J208" s="32">
        <v>7.9131</v>
      </c>
      <c r="K208" s="32">
        <v>7.7763695227713718</v>
      </c>
      <c r="L208" s="32">
        <v>7.2028065326633159</v>
      </c>
      <c r="M208" s="54">
        <f t="shared" si="9"/>
        <v>2040</v>
      </c>
      <c r="N208" s="3"/>
      <c r="O208" s="3"/>
    </row>
    <row r="209" spans="8:15">
      <c r="H209" s="28">
        <v>51502</v>
      </c>
      <c r="I209" s="32">
        <v>8.0601904081632654</v>
      </c>
      <c r="J209" s="32">
        <v>7.9621000000000004</v>
      </c>
      <c r="K209" s="32">
        <v>7.8025542250010123</v>
      </c>
      <c r="L209" s="32">
        <v>8.0947663316582901</v>
      </c>
      <c r="M209" s="54">
        <f t="shared" si="9"/>
        <v>2041</v>
      </c>
      <c r="N209" s="3"/>
      <c r="O209" s="3"/>
    </row>
    <row r="210" spans="8:15">
      <c r="H210" s="28">
        <v>51533</v>
      </c>
      <c r="I210" s="32">
        <v>7.9226393877551029</v>
      </c>
      <c r="J210" s="32">
        <v>7.8274999999999997</v>
      </c>
      <c r="K210" s="32">
        <v>7.5246252596029342</v>
      </c>
      <c r="L210" s="32">
        <v>7.6950678391959793</v>
      </c>
      <c r="M210" s="54">
        <f t="shared" si="9"/>
        <v>2041</v>
      </c>
      <c r="N210" s="3"/>
      <c r="O210" s="3"/>
    </row>
    <row r="211" spans="8:15">
      <c r="H211" s="28">
        <v>51561</v>
      </c>
      <c r="I211" s="32">
        <v>7.3374353061224493</v>
      </c>
      <c r="J211" s="32">
        <v>7.2305000000000001</v>
      </c>
      <c r="K211" s="32">
        <v>6.8744405471527568</v>
      </c>
      <c r="L211" s="32">
        <v>7.3548668341708536</v>
      </c>
      <c r="M211" s="54">
        <f t="shared" si="9"/>
        <v>2041</v>
      </c>
      <c r="N211" s="3"/>
      <c r="O211" s="3"/>
    </row>
    <row r="212" spans="8:15">
      <c r="H212" s="28">
        <v>51592</v>
      </c>
      <c r="I212" s="32">
        <v>7.0578434693877554</v>
      </c>
      <c r="J212" s="32">
        <v>6.9508000000000001</v>
      </c>
      <c r="K212" s="32">
        <v>6.42445540844259</v>
      </c>
      <c r="L212" s="32">
        <v>6.9061231155778886</v>
      </c>
      <c r="M212" s="54">
        <f t="shared" si="9"/>
        <v>2041</v>
      </c>
      <c r="N212" s="3"/>
      <c r="O212" s="3"/>
    </row>
    <row r="213" spans="8:15">
      <c r="H213" s="28">
        <v>51622</v>
      </c>
      <c r="I213" s="32">
        <v>7.0998842857142863</v>
      </c>
      <c r="J213" s="32">
        <v>6.9919000000000002</v>
      </c>
      <c r="K213" s="32">
        <v>6.3442003270025289</v>
      </c>
      <c r="L213" s="32">
        <v>6.8822035175879392</v>
      </c>
      <c r="M213" s="54">
        <f t="shared" si="9"/>
        <v>2041</v>
      </c>
      <c r="N213" s="3"/>
      <c r="O213" s="3"/>
    </row>
    <row r="214" spans="8:15">
      <c r="H214" s="28">
        <v>51653</v>
      </c>
      <c r="I214" s="32">
        <v>7.199578163265306</v>
      </c>
      <c r="J214" s="32">
        <v>7.0911999999999997</v>
      </c>
      <c r="K214" s="32">
        <v>6.3381180536499748</v>
      </c>
      <c r="L214" s="32">
        <v>7.0080326633165821</v>
      </c>
      <c r="M214" s="54">
        <f t="shared" si="9"/>
        <v>2041</v>
      </c>
      <c r="N214" s="3"/>
      <c r="O214" s="3"/>
    </row>
    <row r="215" spans="8:15">
      <c r="H215" s="28">
        <v>51683</v>
      </c>
      <c r="I215" s="32">
        <v>7.5439659183673475</v>
      </c>
      <c r="J215" s="32">
        <v>7.4366000000000003</v>
      </c>
      <c r="K215" s="32">
        <v>6.8052675739398083</v>
      </c>
      <c r="L215" s="32">
        <v>7.2417010050251251</v>
      </c>
      <c r="M215" s="54">
        <f t="shared" si="9"/>
        <v>2041</v>
      </c>
      <c r="N215" s="3"/>
      <c r="O215" s="3"/>
    </row>
    <row r="216" spans="8:15">
      <c r="H216" s="28">
        <v>51714</v>
      </c>
      <c r="I216" s="32">
        <v>7.5998842857142863</v>
      </c>
      <c r="J216" s="32">
        <v>7.4923000000000002</v>
      </c>
      <c r="K216" s="32">
        <v>7.0679393112670716</v>
      </c>
      <c r="L216" s="32">
        <v>7.296776381909547</v>
      </c>
      <c r="M216" s="54">
        <f t="shared" si="9"/>
        <v>2041</v>
      </c>
      <c r="N216" s="3"/>
      <c r="O216" s="3"/>
    </row>
    <row r="217" spans="8:15">
      <c r="H217" s="28">
        <v>51745</v>
      </c>
      <c r="I217" s="32">
        <v>7.6451904081632653</v>
      </c>
      <c r="J217" s="32">
        <v>7.5362</v>
      </c>
      <c r="K217" s="32">
        <v>7.1103090459772389</v>
      </c>
      <c r="L217" s="32">
        <v>7.3614999999999995</v>
      </c>
      <c r="M217" s="54">
        <f t="shared" si="9"/>
        <v>2041</v>
      </c>
      <c r="N217" s="3"/>
      <c r="O217" s="3"/>
    </row>
    <row r="218" spans="8:15">
      <c r="H218" s="28">
        <v>51775</v>
      </c>
      <c r="I218" s="32">
        <v>7.6911087755102043</v>
      </c>
      <c r="J218" s="32">
        <v>7.5782999999999996</v>
      </c>
      <c r="K218" s="32">
        <v>7.158039428387962</v>
      </c>
      <c r="L218" s="32">
        <v>7.5474296482412058</v>
      </c>
      <c r="M218" s="54">
        <f t="shared" si="9"/>
        <v>2041</v>
      </c>
      <c r="N218" s="3"/>
      <c r="O218" s="3"/>
    </row>
    <row r="219" spans="8:15">
      <c r="H219" s="28">
        <v>51806</v>
      </c>
      <c r="I219" s="32">
        <v>7.9403944897959189</v>
      </c>
      <c r="J219" s="32">
        <v>7.8281000000000001</v>
      </c>
      <c r="K219" s="32">
        <v>7.5419442752508852</v>
      </c>
      <c r="L219" s="32">
        <v>7.5819020100502508</v>
      </c>
      <c r="M219" s="54">
        <f t="shared" si="9"/>
        <v>2041</v>
      </c>
      <c r="N219" s="3"/>
      <c r="O219" s="3"/>
    </row>
    <row r="220" spans="8:15">
      <c r="H220" s="28">
        <v>51836</v>
      </c>
      <c r="I220" s="32">
        <v>8.2147822448979593</v>
      </c>
      <c r="J220" s="32">
        <v>8.1166</v>
      </c>
      <c r="K220" s="32">
        <v>7.9230657088846748</v>
      </c>
      <c r="L220" s="32">
        <v>7.4074296482412052</v>
      </c>
      <c r="M220" s="54">
        <f t="shared" si="9"/>
        <v>2041</v>
      </c>
      <c r="N220" s="3"/>
      <c r="O220" s="3"/>
    </row>
    <row r="221" spans="8:15">
      <c r="H221" s="28">
        <v>51867</v>
      </c>
      <c r="I221" s="32">
        <v>8.4663128571428565</v>
      </c>
      <c r="J221" s="32">
        <v>8.36</v>
      </c>
      <c r="K221" s="32">
        <v>8.1453264097000506</v>
      </c>
      <c r="L221" s="32">
        <v>8.4947663316582904</v>
      </c>
      <c r="M221" s="54">
        <f t="shared" si="9"/>
        <v>2042</v>
      </c>
      <c r="N221" s="3"/>
      <c r="O221" s="3"/>
    </row>
    <row r="222" spans="8:15">
      <c r="H222" s="28">
        <v>51898</v>
      </c>
      <c r="I222" s="32">
        <v>8.2623332653061237</v>
      </c>
      <c r="J222" s="32">
        <v>8.1603999999999992</v>
      </c>
      <c r="K222" s="32">
        <v>7.8372953456757717</v>
      </c>
      <c r="L222" s="32">
        <v>8.0296407035175879</v>
      </c>
      <c r="M222" s="54">
        <f t="shared" si="9"/>
        <v>2042</v>
      </c>
      <c r="N222" s="3"/>
      <c r="O222" s="3"/>
    </row>
    <row r="223" spans="8:15">
      <c r="H223" s="28">
        <v>51926</v>
      </c>
      <c r="I223" s="32">
        <v>7.6887618367346944</v>
      </c>
      <c r="J223" s="32">
        <v>7.5747999999999998</v>
      </c>
      <c r="K223" s="32">
        <v>7.1920589234107233</v>
      </c>
      <c r="L223" s="32">
        <v>7.700896984924622</v>
      </c>
      <c r="M223" s="54">
        <f t="shared" si="9"/>
        <v>2042</v>
      </c>
      <c r="N223" s="3"/>
      <c r="O223" s="3"/>
    </row>
    <row r="224" spans="8:15">
      <c r="H224" s="28">
        <v>51957</v>
      </c>
      <c r="I224" s="32">
        <v>7.483965918367347</v>
      </c>
      <c r="J224" s="32">
        <v>7.3684000000000003</v>
      </c>
      <c r="K224" s="32">
        <v>6.7204250151406182</v>
      </c>
      <c r="L224" s="32">
        <v>7.3258216080402008</v>
      </c>
      <c r="M224" s="54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7.5285577551020415</v>
      </c>
      <c r="J225" s="32">
        <v>7.4119999999999999</v>
      </c>
      <c r="K225" s="32">
        <v>6.6766120291264546</v>
      </c>
      <c r="L225" s="32">
        <v>7.3044145728643208</v>
      </c>
      <c r="M225" s="54">
        <f t="shared" si="10"/>
        <v>2042</v>
      </c>
      <c r="N225" s="3"/>
      <c r="O225" s="3"/>
    </row>
    <row r="226" spans="8:15">
      <c r="H226" s="28">
        <v>52018</v>
      </c>
      <c r="I226" s="32">
        <v>7.6352924489795928</v>
      </c>
      <c r="J226" s="32">
        <v>7.5182000000000002</v>
      </c>
      <c r="K226" s="32">
        <v>6.7633617414344975</v>
      </c>
      <c r="L226" s="32">
        <v>7.4371783919597991</v>
      </c>
      <c r="M226" s="54">
        <f t="shared" si="10"/>
        <v>2042</v>
      </c>
      <c r="N226" s="3"/>
      <c r="O226" s="3"/>
    </row>
    <row r="227" spans="8:15">
      <c r="H227" s="28">
        <v>52048</v>
      </c>
      <c r="I227" s="32">
        <v>7.9561087755102049</v>
      </c>
      <c r="J227" s="32">
        <v>7.8404999999999996</v>
      </c>
      <c r="K227" s="32">
        <v>7.1873168119833082</v>
      </c>
      <c r="L227" s="32">
        <v>7.6476306532663312</v>
      </c>
      <c r="M227" s="54">
        <f t="shared" si="10"/>
        <v>2042</v>
      </c>
      <c r="N227" s="3"/>
      <c r="O227" s="3"/>
    </row>
    <row r="228" spans="8:15">
      <c r="H228" s="28">
        <v>52079</v>
      </c>
      <c r="I228" s="32">
        <v>8.004374081632653</v>
      </c>
      <c r="J228" s="32">
        <v>7.8887</v>
      </c>
      <c r="K228" s="32">
        <v>7.4290614054026314</v>
      </c>
      <c r="L228" s="32">
        <v>7.6951683417085421</v>
      </c>
      <c r="M228" s="54">
        <f t="shared" si="10"/>
        <v>2042</v>
      </c>
      <c r="N228" s="3"/>
      <c r="O228" s="3"/>
    </row>
    <row r="229" spans="8:15">
      <c r="H229" s="28">
        <v>52110</v>
      </c>
      <c r="I229" s="32">
        <v>8.044680204081633</v>
      </c>
      <c r="J229" s="32">
        <v>7.9276</v>
      </c>
      <c r="K229" s="32">
        <v>7.4736991064476479</v>
      </c>
      <c r="L229" s="32">
        <v>7.754967336683416</v>
      </c>
      <c r="M229" s="54">
        <f t="shared" si="10"/>
        <v>2042</v>
      </c>
      <c r="N229" s="3"/>
      <c r="O229" s="3"/>
    </row>
    <row r="230" spans="8:15">
      <c r="H230" s="28">
        <v>52140</v>
      </c>
      <c r="I230" s="32">
        <v>8.0924353061224501</v>
      </c>
      <c r="J230" s="32">
        <v>7.9714999999999998</v>
      </c>
      <c r="K230" s="32">
        <v>7.5223572932680831</v>
      </c>
      <c r="L230" s="32">
        <v>7.9427060301507533</v>
      </c>
      <c r="M230" s="54">
        <f t="shared" si="10"/>
        <v>2042</v>
      </c>
      <c r="N230" s="3"/>
      <c r="O230" s="3"/>
    </row>
    <row r="231" spans="8:15">
      <c r="H231" s="28">
        <v>52171</v>
      </c>
      <c r="I231" s="32">
        <v>8.3479455102040827</v>
      </c>
      <c r="J231" s="32">
        <v>8.2273999999999994</v>
      </c>
      <c r="K231" s="32">
        <v>7.8793558122493685</v>
      </c>
      <c r="L231" s="32">
        <v>7.9833090452261306</v>
      </c>
      <c r="M231" s="54">
        <f t="shared" si="10"/>
        <v>2042</v>
      </c>
      <c r="N231" s="3"/>
      <c r="O231" s="3"/>
    </row>
    <row r="232" spans="8:15">
      <c r="H232" s="28">
        <v>52201</v>
      </c>
      <c r="I232" s="32">
        <v>8.6399863265306127</v>
      </c>
      <c r="J232" s="32">
        <v>8.5333000000000006</v>
      </c>
      <c r="K232" s="32">
        <v>8.2822291048219547</v>
      </c>
      <c r="L232" s="32">
        <v>7.8262236180904514</v>
      </c>
      <c r="M232" s="54">
        <f t="shared" si="10"/>
        <v>2042</v>
      </c>
      <c r="N232" s="3"/>
      <c r="O232" s="3"/>
    </row>
    <row r="233" spans="8:15">
      <c r="H233" s="28">
        <v>52232</v>
      </c>
      <c r="I233" s="32">
        <v>8.8923332653061227</v>
      </c>
      <c r="J233" s="32">
        <v>8.7774999999999999</v>
      </c>
      <c r="K233" s="32">
        <v>8.541911250162368</v>
      </c>
      <c r="L233" s="32">
        <v>8.9143643216080388</v>
      </c>
      <c r="M233" s="54">
        <f t="shared" si="10"/>
        <v>2043</v>
      </c>
      <c r="N233" s="3"/>
      <c r="O233" s="3"/>
    </row>
    <row r="234" spans="8:15">
      <c r="H234" s="28">
        <v>52263</v>
      </c>
      <c r="I234" s="32">
        <v>8.6831495918367345</v>
      </c>
      <c r="J234" s="32">
        <v>8.5729000000000006</v>
      </c>
      <c r="K234" s="32">
        <v>8.2202723881289828</v>
      </c>
      <c r="L234" s="32">
        <v>8.4441130653266327</v>
      </c>
      <c r="M234" s="54">
        <f t="shared" si="10"/>
        <v>2043</v>
      </c>
      <c r="N234" s="3"/>
      <c r="O234" s="3"/>
    </row>
    <row r="235" spans="8:15">
      <c r="H235" s="28">
        <v>52291</v>
      </c>
      <c r="I235" s="32">
        <v>8.0914148979591847</v>
      </c>
      <c r="J235" s="32">
        <v>7.9695</v>
      </c>
      <c r="K235" s="32">
        <v>7.5488512636342939</v>
      </c>
      <c r="L235" s="32">
        <v>8.0974798994974879</v>
      </c>
      <c r="M235" s="54">
        <f t="shared" si="10"/>
        <v>2043</v>
      </c>
      <c r="N235" s="3"/>
      <c r="O235" s="3"/>
    </row>
    <row r="236" spans="8:15">
      <c r="H236" s="28">
        <v>52322</v>
      </c>
      <c r="I236" s="32">
        <v>7.8351904081632657</v>
      </c>
      <c r="J236" s="32">
        <v>7.7126000000000001</v>
      </c>
      <c r="K236" s="32">
        <v>7.0350022547223068</v>
      </c>
      <c r="L236" s="32">
        <v>7.6717512562814063</v>
      </c>
      <c r="M236" s="54">
        <f t="shared" si="10"/>
        <v>2043</v>
      </c>
      <c r="N236" s="3"/>
      <c r="O236" s="3"/>
    </row>
    <row r="237" spans="8:15">
      <c r="H237" s="28">
        <v>52352</v>
      </c>
      <c r="I237" s="32">
        <v>7.8818230612244911</v>
      </c>
      <c r="J237" s="32">
        <v>7.7582000000000004</v>
      </c>
      <c r="K237" s="32">
        <v>6.949334980892262</v>
      </c>
      <c r="L237" s="32">
        <v>7.6523542713567831</v>
      </c>
      <c r="M237" s="54">
        <f t="shared" si="10"/>
        <v>2043</v>
      </c>
      <c r="N237" s="3"/>
      <c r="O237" s="3"/>
    </row>
    <row r="238" spans="8:15">
      <c r="H238" s="28">
        <v>52383</v>
      </c>
      <c r="I238" s="32">
        <v>8.0316189795918369</v>
      </c>
      <c r="J238" s="32">
        <v>7.9066000000000001</v>
      </c>
      <c r="K238" s="32">
        <v>6.9910861793292876</v>
      </c>
      <c r="L238" s="32">
        <v>7.827530150753768</v>
      </c>
      <c r="M238" s="54">
        <f t="shared" si="10"/>
        <v>2043</v>
      </c>
      <c r="N238" s="3"/>
      <c r="O238" s="3"/>
    </row>
    <row r="239" spans="8:15">
      <c r="H239" s="28">
        <v>52413</v>
      </c>
      <c r="I239" s="32">
        <v>8.3187618367346943</v>
      </c>
      <c r="J239" s="32">
        <v>8.1959</v>
      </c>
      <c r="K239" s="32">
        <v>7.5210171313429441</v>
      </c>
      <c r="L239" s="32">
        <v>8.0048165829145717</v>
      </c>
      <c r="M239" s="54">
        <f t="shared" si="10"/>
        <v>2043</v>
      </c>
      <c r="N239" s="3"/>
      <c r="O239" s="3"/>
    </row>
    <row r="240" spans="8:15">
      <c r="H240" s="28">
        <v>52444</v>
      </c>
      <c r="I240" s="32">
        <v>8.3691700000000004</v>
      </c>
      <c r="J240" s="32">
        <v>8.2462</v>
      </c>
      <c r="K240" s="32">
        <v>7.7268866209200819</v>
      </c>
      <c r="L240" s="32">
        <v>8.0544648241206023</v>
      </c>
      <c r="M240" s="54">
        <f t="shared" si="10"/>
        <v>2043</v>
      </c>
      <c r="N240" s="3"/>
      <c r="O240" s="3"/>
    </row>
    <row r="241" spans="8:15">
      <c r="H241" s="28">
        <v>52475</v>
      </c>
      <c r="I241" s="32">
        <v>8.4187618367346939</v>
      </c>
      <c r="J241" s="32">
        <v>8.2942</v>
      </c>
      <c r="K241" s="32">
        <v>7.7960595941330304</v>
      </c>
      <c r="L241" s="32">
        <v>8.1234095477386941</v>
      </c>
      <c r="M241" s="54">
        <f t="shared" si="10"/>
        <v>2043</v>
      </c>
      <c r="N241" s="3"/>
      <c r="O241" s="3"/>
    </row>
    <row r="242" spans="8:15">
      <c r="H242" s="28">
        <v>52505</v>
      </c>
      <c r="I242" s="32">
        <v>8.4691700000000001</v>
      </c>
      <c r="J242" s="32">
        <v>8.3407999999999998</v>
      </c>
      <c r="K242" s="32">
        <v>7.8652325673459798</v>
      </c>
      <c r="L242" s="32">
        <v>8.3137613065326619</v>
      </c>
      <c r="M242" s="54">
        <f t="shared" si="10"/>
        <v>2043</v>
      </c>
      <c r="N242" s="3"/>
      <c r="O242" s="3"/>
    </row>
    <row r="243" spans="8:15">
      <c r="H243" s="28">
        <v>52536</v>
      </c>
      <c r="I243" s="32">
        <v>8.7335577551020407</v>
      </c>
      <c r="J243" s="32">
        <v>8.6052999999999997</v>
      </c>
      <c r="K243" s="32">
        <v>8.2247052314198292</v>
      </c>
      <c r="L243" s="32">
        <v>8.3631080402010056</v>
      </c>
      <c r="M243" s="54">
        <f t="shared" si="10"/>
        <v>2043</v>
      </c>
      <c r="N243" s="3"/>
      <c r="O243" s="3"/>
    </row>
    <row r="244" spans="8:15">
      <c r="H244" s="28">
        <v>52566</v>
      </c>
      <c r="I244" s="32">
        <v>9.0522312244897964</v>
      </c>
      <c r="J244" s="32">
        <v>8.9373000000000005</v>
      </c>
      <c r="K244" s="32">
        <v>8.6698451693237235</v>
      </c>
      <c r="L244" s="32">
        <v>8.2322537688442203</v>
      </c>
      <c r="M244" s="54">
        <f t="shared" si="10"/>
        <v>2043</v>
      </c>
      <c r="N244" s="3"/>
      <c r="O244" s="3"/>
    </row>
    <row r="245" spans="8:15">
      <c r="H245" s="28">
        <v>52597</v>
      </c>
      <c r="I245" s="32">
        <v>9.2442720408163286</v>
      </c>
      <c r="J245" s="32">
        <v>9.1225000000000005</v>
      </c>
      <c r="K245" s="32">
        <v>8.8255101313975715</v>
      </c>
      <c r="L245" s="32">
        <v>9.2609974874371854</v>
      </c>
      <c r="M245" s="54">
        <f t="shared" si="10"/>
        <v>2044</v>
      </c>
      <c r="N245" s="3"/>
      <c r="O245" s="3"/>
    </row>
    <row r="246" spans="8:15">
      <c r="H246" s="28">
        <v>52628</v>
      </c>
      <c r="I246" s="32">
        <v>8.8901904081632654</v>
      </c>
      <c r="J246" s="32">
        <v>8.7757000000000005</v>
      </c>
      <c r="K246" s="32">
        <v>8.3286193253075371</v>
      </c>
      <c r="L246" s="32">
        <v>8.6480326633165827</v>
      </c>
      <c r="M246" s="54">
        <f t="shared" si="10"/>
        <v>2044</v>
      </c>
      <c r="N246" s="3"/>
      <c r="O246" s="3"/>
    </row>
    <row r="247" spans="8:15">
      <c r="H247" s="28">
        <v>52657</v>
      </c>
      <c r="I247" s="32">
        <v>8.4742720408163272</v>
      </c>
      <c r="J247" s="32">
        <v>8.3446999999999996</v>
      </c>
      <c r="K247" s="32">
        <v>7.8894585713773395</v>
      </c>
      <c r="L247" s="32">
        <v>8.4745653266331651</v>
      </c>
      <c r="M247" s="54">
        <f t="shared" si="10"/>
        <v>2044</v>
      </c>
      <c r="N247" s="3"/>
      <c r="O247" s="3"/>
    </row>
    <row r="248" spans="8:15">
      <c r="H248" s="28">
        <v>52688</v>
      </c>
      <c r="I248" s="32">
        <v>8.2642720408163282</v>
      </c>
      <c r="J248" s="32">
        <v>8.1331000000000007</v>
      </c>
      <c r="K248" s="32">
        <v>7.4729259361062219</v>
      </c>
      <c r="L248" s="32">
        <v>8.0943643216080403</v>
      </c>
      <c r="M248" s="54">
        <f t="shared" si="10"/>
        <v>2044</v>
      </c>
      <c r="N248" s="3"/>
      <c r="O248" s="3"/>
    </row>
    <row r="249" spans="8:15">
      <c r="H249" s="28">
        <v>52718</v>
      </c>
      <c r="I249" s="32">
        <v>8.313353673469388</v>
      </c>
      <c r="J249" s="32">
        <v>8.1812000000000005</v>
      </c>
      <c r="K249" s="32">
        <v>7.2833961130778961</v>
      </c>
      <c r="L249" s="32">
        <v>8.0773793969849255</v>
      </c>
      <c r="M249" s="54">
        <f t="shared" si="10"/>
        <v>2044</v>
      </c>
      <c r="N249" s="3"/>
      <c r="O249" s="3"/>
    </row>
    <row r="250" spans="8:15">
      <c r="H250" s="28">
        <v>52749</v>
      </c>
      <c r="I250" s="32">
        <v>8.4651904081632665</v>
      </c>
      <c r="J250" s="32">
        <v>8.3315000000000001</v>
      </c>
      <c r="K250" s="32">
        <v>7.3238586942792114</v>
      </c>
      <c r="L250" s="32">
        <v>8.2545653266331662</v>
      </c>
      <c r="M250" s="54">
        <f t="shared" si="10"/>
        <v>2044</v>
      </c>
      <c r="N250" s="3"/>
      <c r="O250" s="3"/>
    </row>
    <row r="251" spans="8:15">
      <c r="H251" s="28">
        <v>52779</v>
      </c>
      <c r="I251" s="32">
        <v>8.7526393877551012</v>
      </c>
      <c r="J251" s="32">
        <v>8.6211000000000002</v>
      </c>
      <c r="K251" s="32">
        <v>7.8647686651411233</v>
      </c>
      <c r="L251" s="32">
        <v>8.4321532663316585</v>
      </c>
      <c r="M251" s="54">
        <f t="shared" si="10"/>
        <v>2044</v>
      </c>
      <c r="N251" s="3"/>
      <c r="O251" s="3"/>
    </row>
    <row r="252" spans="8:15">
      <c r="H252" s="28">
        <v>52810</v>
      </c>
      <c r="I252" s="32">
        <v>8.8055985714285718</v>
      </c>
      <c r="J252" s="32">
        <v>8.6739999999999995</v>
      </c>
      <c r="K252" s="32">
        <v>8.0595560464911493</v>
      </c>
      <c r="L252" s="32">
        <v>8.4843140703517577</v>
      </c>
      <c r="M252" s="54">
        <f t="shared" si="10"/>
        <v>2044</v>
      </c>
      <c r="N252" s="3"/>
      <c r="O252" s="3"/>
    </row>
    <row r="253" spans="8:15">
      <c r="H253" s="28">
        <v>52841</v>
      </c>
      <c r="I253" s="32">
        <v>8.7997822448979601</v>
      </c>
      <c r="J253" s="32">
        <v>8.6677</v>
      </c>
      <c r="K253" s="32">
        <v>8.1079049651750132</v>
      </c>
      <c r="L253" s="32">
        <v>8.4986859296482411</v>
      </c>
      <c r="M253" s="54">
        <f t="shared" si="10"/>
        <v>2044</v>
      </c>
      <c r="N253" s="3"/>
      <c r="O253" s="3"/>
    </row>
    <row r="254" spans="8:15">
      <c r="H254" s="28">
        <v>52871</v>
      </c>
      <c r="I254" s="32">
        <v>8.8519251020408163</v>
      </c>
      <c r="J254" s="32">
        <v>8.7158999999999995</v>
      </c>
      <c r="K254" s="32">
        <v>8.2150148298072843</v>
      </c>
      <c r="L254" s="32">
        <v>8.6907462311557779</v>
      </c>
      <c r="M254" s="54">
        <f t="shared" si="10"/>
        <v>2044</v>
      </c>
      <c r="N254" s="3"/>
      <c r="O254" s="3"/>
    </row>
    <row r="255" spans="8:15">
      <c r="H255" s="28">
        <v>52902</v>
      </c>
      <c r="I255" s="32">
        <v>9.1136597959183678</v>
      </c>
      <c r="J255" s="32">
        <v>8.9779</v>
      </c>
      <c r="K255" s="32">
        <v>8.5608796958720283</v>
      </c>
      <c r="L255" s="32">
        <v>8.7374798994974867</v>
      </c>
      <c r="M255" s="54">
        <f t="shared" si="10"/>
        <v>2044</v>
      </c>
      <c r="N255" s="3"/>
      <c r="O255" s="3"/>
    </row>
    <row r="256" spans="8:15">
      <c r="H256" s="28">
        <v>52932</v>
      </c>
      <c r="I256" s="32">
        <v>9.439578163265308</v>
      </c>
      <c r="J256" s="32">
        <v>9.3169000000000004</v>
      </c>
      <c r="K256" s="32">
        <v>8.9752989988765819</v>
      </c>
      <c r="L256" s="32">
        <v>8.6137613065326626</v>
      </c>
      <c r="M256" s="54">
        <f t="shared" si="10"/>
        <v>2044</v>
      </c>
      <c r="N256" s="3"/>
      <c r="O256" s="3"/>
    </row>
    <row r="257" spans="8:15">
      <c r="H257" s="28">
        <v>52963</v>
      </c>
      <c r="I257" s="32">
        <v>9.7058026530612249</v>
      </c>
      <c r="J257" s="32">
        <v>9.5747</v>
      </c>
      <c r="K257" s="32">
        <v>9.2682790135877582</v>
      </c>
      <c r="L257" s="32">
        <v>9.7155703517587924</v>
      </c>
      <c r="M257" s="54">
        <f t="shared" si="10"/>
        <v>2045</v>
      </c>
      <c r="N257" s="3"/>
      <c r="O257" s="3"/>
    </row>
    <row r="258" spans="8:15">
      <c r="H258" s="28">
        <v>52994</v>
      </c>
      <c r="I258" s="32">
        <v>9.4591700000000003</v>
      </c>
      <c r="J258" s="32">
        <v>9.3332999999999995</v>
      </c>
      <c r="K258" s="32">
        <v>8.8739621394602963</v>
      </c>
      <c r="L258" s="32">
        <v>9.208434673366833</v>
      </c>
      <c r="M258" s="54">
        <f t="shared" si="10"/>
        <v>2045</v>
      </c>
      <c r="N258" s="3"/>
      <c r="O258" s="3"/>
    </row>
    <row r="259" spans="8:15">
      <c r="H259" s="28">
        <v>53022</v>
      </c>
      <c r="I259" s="32">
        <v>8.8015169387755101</v>
      </c>
      <c r="J259" s="32">
        <v>8.6654</v>
      </c>
      <c r="K259" s="32">
        <v>8.1781088321765303</v>
      </c>
      <c r="L259" s="32">
        <v>8.7968768844221099</v>
      </c>
      <c r="M259" s="54">
        <f t="shared" si="10"/>
        <v>2045</v>
      </c>
      <c r="N259" s="3"/>
      <c r="O259" s="3"/>
    </row>
    <row r="260" spans="8:15">
      <c r="H260" s="28">
        <v>53053</v>
      </c>
      <c r="I260" s="32">
        <v>8.6295781632653057</v>
      </c>
      <c r="J260" s="32">
        <v>8.4911999999999992</v>
      </c>
      <c r="K260" s="32">
        <v>7.753896038180577</v>
      </c>
      <c r="L260" s="32">
        <v>8.4541633165829122</v>
      </c>
      <c r="M260" s="54">
        <f t="shared" si="10"/>
        <v>2045</v>
      </c>
      <c r="N260" s="3"/>
      <c r="O260" s="3"/>
    </row>
    <row r="261" spans="8:15">
      <c r="H261" s="28">
        <v>53083</v>
      </c>
      <c r="I261" s="32">
        <v>8.6808026530612246</v>
      </c>
      <c r="J261" s="32">
        <v>8.5412999999999997</v>
      </c>
      <c r="K261" s="32">
        <v>7.6169417983692469</v>
      </c>
      <c r="L261" s="32">
        <v>8.4392889447236179</v>
      </c>
      <c r="M261" s="54">
        <f t="shared" si="10"/>
        <v>2045</v>
      </c>
      <c r="N261" s="3"/>
      <c r="O261" s="3"/>
    </row>
    <row r="262" spans="8:15">
      <c r="H262" s="28">
        <v>53114</v>
      </c>
      <c r="I262" s="32">
        <v>8.8162108163265316</v>
      </c>
      <c r="J262" s="32">
        <v>8.6754999999999995</v>
      </c>
      <c r="K262" s="32">
        <v>7.6626619378922616</v>
      </c>
      <c r="L262" s="32">
        <v>8.6002939698492451</v>
      </c>
      <c r="M262" s="54">
        <f t="shared" si="10"/>
        <v>2045</v>
      </c>
      <c r="N262" s="3"/>
      <c r="O262" s="3"/>
    </row>
    <row r="263" spans="8:15">
      <c r="H263" s="28">
        <v>53144</v>
      </c>
      <c r="I263" s="32">
        <v>9.1387618367346946</v>
      </c>
      <c r="J263" s="32">
        <v>8.9995999999999992</v>
      </c>
      <c r="K263" s="32">
        <v>8.1664081876762786</v>
      </c>
      <c r="L263" s="32">
        <v>8.8124547738693462</v>
      </c>
      <c r="M263" s="54">
        <f t="shared" si="10"/>
        <v>2045</v>
      </c>
      <c r="N263" s="3"/>
      <c r="O263" s="3"/>
    </row>
    <row r="264" spans="8:15">
      <c r="H264" s="28">
        <v>53175</v>
      </c>
      <c r="I264" s="32">
        <v>9.1936597959183661</v>
      </c>
      <c r="J264" s="32">
        <v>9.0541999999999998</v>
      </c>
      <c r="K264" s="32">
        <v>8.368205646788569</v>
      </c>
      <c r="L264" s="32">
        <v>8.8665251256281401</v>
      </c>
      <c r="M264" s="54">
        <f t="shared" si="10"/>
        <v>2045</v>
      </c>
      <c r="N264" s="3"/>
      <c r="O264" s="3"/>
    </row>
    <row r="265" spans="8:15">
      <c r="H265" s="28">
        <v>53206</v>
      </c>
      <c r="I265" s="32">
        <v>9.1896802040816326</v>
      </c>
      <c r="J265" s="32">
        <v>9.0497999999999994</v>
      </c>
      <c r="K265" s="32">
        <v>8.4184101742918571</v>
      </c>
      <c r="L265" s="32">
        <v>8.8827060301507537</v>
      </c>
      <c r="M265" s="54">
        <f t="shared" si="10"/>
        <v>2045</v>
      </c>
      <c r="N265" s="3"/>
      <c r="O265" s="3"/>
    </row>
    <row r="266" spans="8:15">
      <c r="H266" s="28">
        <v>53236</v>
      </c>
      <c r="I266" s="32">
        <v>9.2441700000000004</v>
      </c>
      <c r="J266" s="32">
        <v>9.1001999999999992</v>
      </c>
      <c r="K266" s="32">
        <v>8.5252107707875577</v>
      </c>
      <c r="L266" s="32">
        <v>9.0770778894472368</v>
      </c>
      <c r="M266" s="54">
        <f t="shared" si="10"/>
        <v>2045</v>
      </c>
      <c r="N266" s="3"/>
      <c r="O266" s="3"/>
    </row>
    <row r="267" spans="8:15">
      <c r="H267" s="28">
        <v>53267</v>
      </c>
      <c r="I267" s="32">
        <v>9.4912108163265305</v>
      </c>
      <c r="J267" s="32">
        <v>9.3478999999999992</v>
      </c>
      <c r="K267" s="32">
        <v>8.9131361034258987</v>
      </c>
      <c r="L267" s="32">
        <v>9.1093391959798993</v>
      </c>
      <c r="M267" s="54">
        <f t="shared" si="10"/>
        <v>2045</v>
      </c>
      <c r="N267" s="3"/>
      <c r="O267" s="3"/>
    </row>
    <row r="268" spans="8:15">
      <c r="H268" s="28">
        <v>53297</v>
      </c>
      <c r="I268" s="32">
        <v>9.801210816326531</v>
      </c>
      <c r="J268" s="32">
        <v>9.6713000000000005</v>
      </c>
      <c r="K268" s="32">
        <v>9.3203391499104722</v>
      </c>
      <c r="L268" s="32">
        <v>8.969942211055276</v>
      </c>
      <c r="M268" s="54">
        <f t="shared" si="10"/>
        <v>2045</v>
      </c>
      <c r="N268" s="3"/>
      <c r="O268" s="3"/>
    </row>
    <row r="269" spans="8:15">
      <c r="H269" s="28">
        <v>53328</v>
      </c>
      <c r="I269" s="32">
        <v>10.077639387755102</v>
      </c>
      <c r="J269" s="32">
        <v>9.9390999999999998</v>
      </c>
      <c r="K269" s="32">
        <v>9.6244528175381916</v>
      </c>
      <c r="L269" s="32">
        <v>10.081801507537687</v>
      </c>
      <c r="M269" s="54">
        <f t="shared" si="10"/>
        <v>2046</v>
      </c>
      <c r="N269" s="3"/>
      <c r="O269" s="3"/>
    </row>
    <row r="270" spans="8:15">
      <c r="H270" s="28">
        <v>53359</v>
      </c>
      <c r="I270" s="32">
        <v>9.8412108163265302</v>
      </c>
      <c r="J270" s="32">
        <v>9.7077000000000009</v>
      </c>
      <c r="K270" s="32">
        <v>9.205909939379362</v>
      </c>
      <c r="L270" s="32">
        <v>9.5847160804020088</v>
      </c>
      <c r="M270" s="54">
        <f t="shared" si="10"/>
        <v>2046</v>
      </c>
      <c r="N270" s="3"/>
      <c r="O270" s="3"/>
    </row>
    <row r="271" spans="8:15">
      <c r="H271" s="28">
        <v>53387</v>
      </c>
      <c r="I271" s="32">
        <v>9.1433536734693881</v>
      </c>
      <c r="J271" s="32">
        <v>9.0002999999999993</v>
      </c>
      <c r="K271" s="32">
        <v>8.477583477755692</v>
      </c>
      <c r="L271" s="32">
        <v>9.1335603015075364</v>
      </c>
      <c r="M271" s="54">
        <f t="shared" si="10"/>
        <v>2046</v>
      </c>
      <c r="N271" s="3"/>
      <c r="O271" s="3"/>
    </row>
    <row r="272" spans="8:15">
      <c r="H272" s="28">
        <v>53418</v>
      </c>
      <c r="I272" s="32">
        <v>8.9118230612244904</v>
      </c>
      <c r="J272" s="32">
        <v>8.7676999999999996</v>
      </c>
      <c r="K272" s="32">
        <v>7.9585284552114324</v>
      </c>
      <c r="L272" s="32">
        <v>8.7321532663316574</v>
      </c>
      <c r="M272" s="54">
        <f t="shared" si="10"/>
        <v>2046</v>
      </c>
      <c r="N272" s="3"/>
      <c r="O272" s="3"/>
    </row>
    <row r="273" spans="8:15">
      <c r="H273" s="28">
        <v>53448</v>
      </c>
      <c r="I273" s="32">
        <v>8.9646802040816329</v>
      </c>
      <c r="J273" s="32">
        <v>8.8194999999999997</v>
      </c>
      <c r="K273" s="32">
        <v>7.8158527548735464</v>
      </c>
      <c r="L273" s="32">
        <v>8.7188869346733657</v>
      </c>
      <c r="M273" s="54">
        <f t="shared" si="10"/>
        <v>2046</v>
      </c>
      <c r="N273" s="3"/>
      <c r="O273" s="3"/>
    </row>
    <row r="274" spans="8:15">
      <c r="H274" s="28">
        <v>53479</v>
      </c>
      <c r="I274" s="32">
        <v>9.1158026530612251</v>
      </c>
      <c r="J274" s="32">
        <v>8.9690999999999992</v>
      </c>
      <c r="K274" s="32">
        <v>7.8627584222534148</v>
      </c>
      <c r="L274" s="32">
        <v>8.8953693467336663</v>
      </c>
      <c r="M274" s="54">
        <f t="shared" si="10"/>
        <v>2046</v>
      </c>
      <c r="N274" s="3"/>
      <c r="O274" s="3"/>
    </row>
    <row r="275" spans="8:15">
      <c r="H275" s="28">
        <v>53509</v>
      </c>
      <c r="I275" s="32">
        <v>9.398047551020408</v>
      </c>
      <c r="J275" s="32">
        <v>9.2536000000000005</v>
      </c>
      <c r="K275" s="32">
        <v>8.3752672692402648</v>
      </c>
      <c r="L275" s="32">
        <v>9.0678316582914569</v>
      </c>
      <c r="M275" s="54">
        <f t="shared" si="10"/>
        <v>2046</v>
      </c>
      <c r="N275" s="3"/>
      <c r="O275" s="3"/>
    </row>
    <row r="276" spans="8:15">
      <c r="H276" s="28">
        <v>53540</v>
      </c>
      <c r="I276" s="32">
        <v>9.4549863265306122</v>
      </c>
      <c r="J276" s="32">
        <v>9.3102999999999998</v>
      </c>
      <c r="K276" s="32">
        <v>8.6155170666661611</v>
      </c>
      <c r="L276" s="32">
        <v>9.1239120603015067</v>
      </c>
      <c r="M276" s="54">
        <f t="shared" si="10"/>
        <v>2046</v>
      </c>
      <c r="N276" s="3"/>
      <c r="O276" s="3"/>
    </row>
    <row r="277" spans="8:15">
      <c r="H277" s="28">
        <v>53571</v>
      </c>
      <c r="I277" s="32">
        <v>9.4919251020408169</v>
      </c>
      <c r="J277" s="32">
        <v>9.3459000000000003</v>
      </c>
      <c r="K277" s="32">
        <v>8.6747934595088516</v>
      </c>
      <c r="L277" s="32">
        <v>9.1803944723618081</v>
      </c>
      <c r="M277" s="54">
        <f t="shared" si="10"/>
        <v>2046</v>
      </c>
      <c r="N277" s="3"/>
      <c r="O277" s="3"/>
    </row>
    <row r="278" spans="8:15">
      <c r="H278" s="28">
        <v>53601</v>
      </c>
      <c r="I278" s="32">
        <v>9.5481495918367347</v>
      </c>
      <c r="J278" s="32">
        <v>9.3981999999999992</v>
      </c>
      <c r="K278" s="32">
        <v>8.7604607333388991</v>
      </c>
      <c r="L278" s="32">
        <v>9.3764748743718584</v>
      </c>
      <c r="M278" s="54">
        <f t="shared" si="10"/>
        <v>2046</v>
      </c>
      <c r="N278" s="3"/>
      <c r="O278" s="3"/>
    </row>
    <row r="279" spans="8:15">
      <c r="H279" s="28">
        <v>53632</v>
      </c>
      <c r="I279" s="32">
        <v>9.7733536734693889</v>
      </c>
      <c r="J279" s="32">
        <v>9.6242999999999999</v>
      </c>
      <c r="K279" s="32">
        <v>9.1645710984577669</v>
      </c>
      <c r="L279" s="32">
        <v>9.3872286432160799</v>
      </c>
      <c r="M279" s="54">
        <f t="shared" si="10"/>
        <v>2046</v>
      </c>
      <c r="N279" s="3"/>
      <c r="O279" s="3"/>
    </row>
    <row r="280" spans="8:15">
      <c r="H280" s="28">
        <v>53662</v>
      </c>
      <c r="I280" s="32">
        <v>10.183965918367347</v>
      </c>
      <c r="J280" s="32">
        <v>10.0464</v>
      </c>
      <c r="K280" s="32">
        <v>9.6855848192003045</v>
      </c>
      <c r="L280" s="32">
        <v>9.3469271356783921</v>
      </c>
      <c r="M280" s="54">
        <f t="shared" si="10"/>
        <v>2046</v>
      </c>
      <c r="N280" s="3"/>
      <c r="O280" s="3"/>
    </row>
    <row r="281" spans="8:15">
      <c r="H281" s="28">
        <v>53693</v>
      </c>
      <c r="I281" s="32">
        <v>10.494986326530613</v>
      </c>
      <c r="J281" s="32">
        <v>10.348100000000001</v>
      </c>
      <c r="K281" s="32">
        <v>9.9790802808057659</v>
      </c>
      <c r="L281" s="32">
        <v>10.492856783919597</v>
      </c>
      <c r="M281" s="54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10.14508836734694</v>
      </c>
      <c r="J282" s="32">
        <v>10.0055</v>
      </c>
      <c r="K282" s="32">
        <v>9.4911582506762766</v>
      </c>
      <c r="L282" s="32">
        <v>9.8840125628140694</v>
      </c>
      <c r="M282" s="54">
        <f t="shared" si="11"/>
        <v>2047</v>
      </c>
      <c r="N282" s="3"/>
      <c r="O282" s="3"/>
    </row>
    <row r="283" spans="8:15">
      <c r="H283" s="28">
        <v>53752</v>
      </c>
      <c r="I283" s="32">
        <v>9.4726393877551018</v>
      </c>
      <c r="J283" s="32">
        <v>9.3231000000000002</v>
      </c>
      <c r="K283" s="32">
        <v>8.7722129225285776</v>
      </c>
      <c r="L283" s="32">
        <v>9.4578819095477389</v>
      </c>
      <c r="M283" s="54">
        <f t="shared" si="11"/>
        <v>2047</v>
      </c>
      <c r="N283" s="3"/>
      <c r="O283" s="3"/>
    </row>
    <row r="284" spans="8:15">
      <c r="H284" s="28">
        <v>53783</v>
      </c>
      <c r="I284" s="32">
        <v>9.2481495918367358</v>
      </c>
      <c r="J284" s="32">
        <v>9.0973000000000006</v>
      </c>
      <c r="K284" s="32">
        <v>8.2329523817283761</v>
      </c>
      <c r="L284" s="32">
        <v>9.0634095477386936</v>
      </c>
      <c r="M284" s="54">
        <f t="shared" si="11"/>
        <v>2047</v>
      </c>
      <c r="N284" s="3"/>
      <c r="O284" s="3"/>
    </row>
    <row r="285" spans="8:15">
      <c r="H285" s="28">
        <v>53813</v>
      </c>
      <c r="I285" s="32">
        <v>9.3029455102040828</v>
      </c>
      <c r="J285" s="32">
        <v>9.1509999999999998</v>
      </c>
      <c r="K285" s="32">
        <v>8.0752771767668179</v>
      </c>
      <c r="L285" s="32">
        <v>9.0520527638190948</v>
      </c>
      <c r="M285" s="54">
        <f t="shared" si="11"/>
        <v>2047</v>
      </c>
      <c r="N285" s="3"/>
      <c r="O285" s="3"/>
    </row>
    <row r="286" spans="8:15">
      <c r="H286" s="28">
        <v>53844</v>
      </c>
      <c r="I286" s="32">
        <v>9.468863877551021</v>
      </c>
      <c r="J286" s="32">
        <v>9.3150999999999993</v>
      </c>
      <c r="K286" s="32">
        <v>8.1794489941016693</v>
      </c>
      <c r="L286" s="32">
        <v>9.2431080402010029</v>
      </c>
      <c r="M286" s="54">
        <f t="shared" si="11"/>
        <v>2047</v>
      </c>
      <c r="N286" s="3"/>
      <c r="O286" s="3"/>
    </row>
    <row r="287" spans="8:15">
      <c r="H287" s="28">
        <v>53874</v>
      </c>
      <c r="I287" s="32">
        <v>9.7537618367346948</v>
      </c>
      <c r="J287" s="32">
        <v>9.6021999999999998</v>
      </c>
      <c r="K287" s="32">
        <v>8.6966999525159352</v>
      </c>
      <c r="L287" s="32">
        <v>9.4181834170854266</v>
      </c>
      <c r="M287" s="54">
        <f t="shared" si="11"/>
        <v>2047</v>
      </c>
      <c r="N287" s="3"/>
      <c r="O287" s="3"/>
    </row>
    <row r="288" spans="8:15">
      <c r="H288" s="28">
        <v>53905</v>
      </c>
      <c r="I288" s="32">
        <v>9.8128434693877562</v>
      </c>
      <c r="J288" s="32">
        <v>9.6609999999999996</v>
      </c>
      <c r="K288" s="32">
        <v>8.9525162461492176</v>
      </c>
      <c r="L288" s="32">
        <v>9.4763743718592952</v>
      </c>
      <c r="M288" s="54">
        <f t="shared" si="11"/>
        <v>2047</v>
      </c>
      <c r="N288" s="3"/>
      <c r="O288" s="3"/>
    </row>
    <row r="289" spans="8:15">
      <c r="H289" s="28">
        <v>53936</v>
      </c>
      <c r="I289" s="32">
        <v>9.8688638775510213</v>
      </c>
      <c r="J289" s="32">
        <v>9.7152999999999992</v>
      </c>
      <c r="K289" s="32">
        <v>9.0062258125336356</v>
      </c>
      <c r="L289" s="32">
        <v>9.5516507537688433</v>
      </c>
      <c r="M289" s="54">
        <f t="shared" si="11"/>
        <v>2047</v>
      </c>
      <c r="N289" s="3"/>
      <c r="O289" s="3"/>
    </row>
    <row r="290" spans="8:15">
      <c r="H290" s="28">
        <v>53966</v>
      </c>
      <c r="I290" s="32">
        <v>9.9272312244897964</v>
      </c>
      <c r="J290" s="32">
        <v>9.7697000000000003</v>
      </c>
      <c r="K290" s="32">
        <v>9.0819965059934233</v>
      </c>
      <c r="L290" s="32">
        <v>9.7498417085427125</v>
      </c>
      <c r="M290" s="54">
        <f t="shared" si="11"/>
        <v>2047</v>
      </c>
      <c r="N290" s="3"/>
      <c r="O290" s="3"/>
    </row>
    <row r="291" spans="8:15">
      <c r="H291" s="28">
        <v>53997</v>
      </c>
      <c r="I291" s="32">
        <v>10.183455714285715</v>
      </c>
      <c r="J291" s="32">
        <v>10.026300000000001</v>
      </c>
      <c r="K291" s="32">
        <v>9.5517748054441078</v>
      </c>
      <c r="L291" s="32">
        <v>9.7911482412060291</v>
      </c>
      <c r="M291" s="54">
        <f t="shared" si="11"/>
        <v>2047</v>
      </c>
      <c r="N291" s="3"/>
      <c r="O291" s="3"/>
    </row>
    <row r="292" spans="8:15">
      <c r="H292" s="28">
        <v>54027</v>
      </c>
      <c r="I292" s="32">
        <v>10.641823061224489</v>
      </c>
      <c r="J292" s="32">
        <v>10.495100000000001</v>
      </c>
      <c r="K292" s="32">
        <v>10.106911110588266</v>
      </c>
      <c r="L292" s="32">
        <v>9.7978819095477387</v>
      </c>
      <c r="M292" s="54">
        <f t="shared" si="11"/>
        <v>2047</v>
      </c>
      <c r="N292" s="3"/>
      <c r="O292" s="3"/>
    </row>
    <row r="293" spans="8:15">
      <c r="H293" s="28">
        <v>54058</v>
      </c>
      <c r="I293" s="32">
        <v>10.647945510204082</v>
      </c>
      <c r="J293" s="32">
        <v>10.497999999999999</v>
      </c>
      <c r="K293" s="32">
        <v>10.119591104187659</v>
      </c>
      <c r="L293" s="32">
        <v>10.643510050251257</v>
      </c>
      <c r="M293" s="54">
        <f t="shared" si="11"/>
        <v>2048</v>
      </c>
      <c r="N293" s="3"/>
      <c r="O293" s="3"/>
    </row>
    <row r="294" spans="8:15">
      <c r="H294" s="28">
        <v>54089</v>
      </c>
      <c r="I294" s="32">
        <v>10.317741428571429</v>
      </c>
      <c r="J294" s="32">
        <v>10.1747</v>
      </c>
      <c r="K294" s="32">
        <v>9.6214632255513415</v>
      </c>
      <c r="L294" s="32">
        <v>10.054062814070351</v>
      </c>
      <c r="M294" s="54">
        <f t="shared" si="11"/>
        <v>2048</v>
      </c>
      <c r="N294" s="3"/>
      <c r="O294" s="3"/>
    </row>
    <row r="295" spans="8:15">
      <c r="H295" s="28">
        <v>54118</v>
      </c>
      <c r="I295" s="32">
        <v>9.8487618367346954</v>
      </c>
      <c r="J295" s="32">
        <v>9.6917000000000009</v>
      </c>
      <c r="K295" s="32">
        <v>9.1048823480996468</v>
      </c>
      <c r="L295" s="32">
        <v>9.8283341708542693</v>
      </c>
      <c r="M295" s="54">
        <f t="shared" si="11"/>
        <v>2048</v>
      </c>
      <c r="N295" s="3"/>
      <c r="O295" s="3"/>
    </row>
    <row r="296" spans="8:15">
      <c r="H296" s="28">
        <v>54149</v>
      </c>
      <c r="I296" s="32">
        <v>9.7075373469387749</v>
      </c>
      <c r="J296" s="32">
        <v>9.5474999999999994</v>
      </c>
      <c r="K296" s="32">
        <v>8.5913941520136579</v>
      </c>
      <c r="L296" s="32">
        <v>9.5158718592964817</v>
      </c>
      <c r="M296" s="54">
        <f t="shared" si="11"/>
        <v>2048</v>
      </c>
      <c r="N296" s="3"/>
      <c r="O296" s="3"/>
    </row>
    <row r="297" spans="8:15">
      <c r="H297" s="28">
        <v>54179</v>
      </c>
      <c r="I297" s="32">
        <v>9.7650883673469391</v>
      </c>
      <c r="J297" s="32">
        <v>9.6038999999999994</v>
      </c>
      <c r="K297" s="32">
        <v>8.502376473370763</v>
      </c>
      <c r="L297" s="32">
        <v>9.5072286432160791</v>
      </c>
      <c r="M297" s="54">
        <f t="shared" si="11"/>
        <v>2048</v>
      </c>
      <c r="N297" s="3"/>
      <c r="O297" s="3"/>
    </row>
    <row r="298" spans="8:15">
      <c r="H298" s="28">
        <v>54210</v>
      </c>
      <c r="I298" s="32">
        <v>9.892435306122449</v>
      </c>
      <c r="J298" s="32">
        <v>9.7302</v>
      </c>
      <c r="K298" s="32">
        <v>8.5534057159049084</v>
      </c>
      <c r="L298" s="32">
        <v>9.6602939698492456</v>
      </c>
      <c r="M298" s="54">
        <f t="shared" si="11"/>
        <v>2048</v>
      </c>
      <c r="N298" s="3"/>
      <c r="O298" s="3"/>
    </row>
    <row r="299" spans="8:15">
      <c r="H299" s="28">
        <v>54240</v>
      </c>
      <c r="I299" s="32">
        <v>10.213557755102041</v>
      </c>
      <c r="J299" s="32">
        <v>10.0528</v>
      </c>
      <c r="K299" s="32">
        <v>9.0977691809585224</v>
      </c>
      <c r="L299" s="32">
        <v>9.8710477386934663</v>
      </c>
      <c r="M299" s="54">
        <f t="shared" si="11"/>
        <v>2048</v>
      </c>
      <c r="N299" s="3"/>
      <c r="O299" s="3"/>
    </row>
    <row r="300" spans="8:15">
      <c r="H300" s="28">
        <v>54271</v>
      </c>
      <c r="I300" s="32">
        <v>10.275292448979592</v>
      </c>
      <c r="J300" s="32">
        <v>10.1143</v>
      </c>
      <c r="K300" s="32">
        <v>9.3434311707744051</v>
      </c>
      <c r="L300" s="32">
        <v>9.9318517587939681</v>
      </c>
      <c r="M300" s="54">
        <f t="shared" si="11"/>
        <v>2048</v>
      </c>
      <c r="N300" s="3"/>
      <c r="O300" s="3"/>
    </row>
    <row r="301" spans="8:15">
      <c r="H301" s="28">
        <v>54302</v>
      </c>
      <c r="I301" s="32">
        <v>10.298251632653063</v>
      </c>
      <c r="J301" s="32">
        <v>10.136200000000001</v>
      </c>
      <c r="K301" s="32">
        <v>9.399511792872536</v>
      </c>
      <c r="L301" s="32">
        <v>9.9745653266331651</v>
      </c>
      <c r="M301" s="54">
        <f t="shared" si="11"/>
        <v>2048</v>
      </c>
      <c r="N301" s="3"/>
      <c r="O301" s="3"/>
    </row>
    <row r="302" spans="8:15">
      <c r="H302" s="28">
        <v>54332</v>
      </c>
      <c r="I302" s="32">
        <v>10.359170000000001</v>
      </c>
      <c r="J302" s="32">
        <v>10.193</v>
      </c>
      <c r="K302" s="32">
        <v>9.516724416632778</v>
      </c>
      <c r="L302" s="32">
        <v>10.175268844221105</v>
      </c>
      <c r="M302" s="54">
        <f t="shared" si="11"/>
        <v>2048</v>
      </c>
      <c r="N302" s="3"/>
      <c r="O302" s="3"/>
    </row>
    <row r="303" spans="8:15">
      <c r="H303" s="28">
        <v>54363</v>
      </c>
      <c r="I303" s="32">
        <v>10.641721020408163</v>
      </c>
      <c r="J303" s="32">
        <v>10.4754</v>
      </c>
      <c r="K303" s="32">
        <v>9.975059795030349</v>
      </c>
      <c r="L303" s="32">
        <v>10.242505025125627</v>
      </c>
      <c r="M303" s="54">
        <f t="shared" si="11"/>
        <v>2048</v>
      </c>
      <c r="N303" s="3"/>
      <c r="O303" s="3"/>
    </row>
    <row r="304" spans="8:15">
      <c r="H304" s="28">
        <v>54393</v>
      </c>
      <c r="I304" s="32">
        <v>11.044170000000001</v>
      </c>
      <c r="J304" s="32">
        <v>10.8895</v>
      </c>
      <c r="K304" s="32">
        <v>10.428653062000507</v>
      </c>
      <c r="L304" s="32">
        <v>10.194163316582914</v>
      </c>
      <c r="M304" s="54">
        <f t="shared" si="11"/>
        <v>2048</v>
      </c>
      <c r="N304" s="3"/>
      <c r="O304" s="3"/>
    </row>
    <row r="305" spans="8:15">
      <c r="H305" s="28">
        <v>54424</v>
      </c>
      <c r="I305" s="32">
        <v>11.366721020408164</v>
      </c>
      <c r="J305" s="32">
        <v>11.202400000000001</v>
      </c>
      <c r="K305" s="32">
        <v>10.783383614646942</v>
      </c>
      <c r="L305" s="32">
        <v>11.351449748743718</v>
      </c>
      <c r="M305" s="54">
        <f t="shared" si="10"/>
        <v>2049</v>
      </c>
      <c r="N305" s="3"/>
      <c r="O305" s="3"/>
    </row>
    <row r="306" spans="8:15">
      <c r="H306" s="28">
        <v>54455</v>
      </c>
      <c r="I306" s="32">
        <v>11.060598571428573</v>
      </c>
      <c r="J306" s="32">
        <v>10.902699999999999</v>
      </c>
      <c r="K306" s="32">
        <v>10.324842057491654</v>
      </c>
      <c r="L306" s="32">
        <v>10.785721105527637</v>
      </c>
      <c r="M306" s="54">
        <f t="shared" si="10"/>
        <v>2049</v>
      </c>
      <c r="N306" s="3"/>
      <c r="O306" s="3"/>
    </row>
    <row r="307" spans="8:15">
      <c r="H307" s="28">
        <v>54483</v>
      </c>
      <c r="I307" s="32">
        <v>10.439170000000001</v>
      </c>
      <c r="J307" s="32">
        <v>10.270300000000001</v>
      </c>
      <c r="K307" s="32">
        <v>9.5989897409605458</v>
      </c>
      <c r="L307" s="32">
        <v>10.409841708542713</v>
      </c>
      <c r="M307" s="54">
        <f t="shared" si="10"/>
        <v>2049</v>
      </c>
      <c r="N307" s="3"/>
      <c r="O307" s="3"/>
    </row>
    <row r="308" spans="8:15">
      <c r="H308" s="28">
        <v>54514</v>
      </c>
      <c r="I308" s="32">
        <v>10.225496530612245</v>
      </c>
      <c r="J308" s="32">
        <v>10.055099999999999</v>
      </c>
      <c r="K308" s="32">
        <v>8.9643715247177553</v>
      </c>
      <c r="L308" s="32">
        <v>10.026022613065326</v>
      </c>
      <c r="M308" s="54">
        <f t="shared" si="10"/>
        <v>2049</v>
      </c>
      <c r="N308" s="3"/>
      <c r="O308" s="3"/>
    </row>
    <row r="309" spans="8:15">
      <c r="H309" s="28">
        <v>54544</v>
      </c>
      <c r="I309" s="32">
        <v>10.286108775510204</v>
      </c>
      <c r="J309" s="32">
        <v>10.1144</v>
      </c>
      <c r="K309" s="32">
        <v>8.91633187417046</v>
      </c>
      <c r="L309" s="32">
        <v>10.020394472361808</v>
      </c>
      <c r="M309" s="54">
        <f t="shared" si="10"/>
        <v>2049</v>
      </c>
      <c r="N309" s="3"/>
      <c r="O309" s="3"/>
    </row>
    <row r="310" spans="8:15">
      <c r="H310" s="28">
        <v>54575</v>
      </c>
      <c r="I310" s="32">
        <v>10.394578163265308</v>
      </c>
      <c r="J310" s="32">
        <v>10.222300000000001</v>
      </c>
      <c r="K310" s="32">
        <v>8.9698352617971668</v>
      </c>
      <c r="L310" s="32">
        <v>10.154866834170853</v>
      </c>
      <c r="M310" s="54">
        <f t="shared" si="10"/>
        <v>2049</v>
      </c>
      <c r="N310" s="3"/>
      <c r="O310" s="3"/>
    </row>
    <row r="311" spans="8:15">
      <c r="H311" s="28">
        <v>54605</v>
      </c>
      <c r="I311" s="32">
        <v>10.67182306122449</v>
      </c>
      <c r="J311" s="32">
        <v>10.502000000000001</v>
      </c>
      <c r="K311" s="32">
        <v>9.4434278682655552</v>
      </c>
      <c r="L311" s="32">
        <v>10.322404522613065</v>
      </c>
      <c r="M311" s="54">
        <f t="shared" si="10"/>
        <v>2049</v>
      </c>
      <c r="N311" s="3"/>
      <c r="O311" s="3"/>
    </row>
    <row r="312" spans="8:15">
      <c r="H312" s="28">
        <v>54636</v>
      </c>
      <c r="I312" s="32">
        <v>10.735190408163266</v>
      </c>
      <c r="J312" s="32">
        <v>10.5649</v>
      </c>
      <c r="K312" s="32">
        <v>9.7056357033879621</v>
      </c>
      <c r="L312" s="32">
        <v>10.384816582914572</v>
      </c>
      <c r="M312" s="54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10.758659795918369</v>
      </c>
      <c r="J313" s="32">
        <v>10.587400000000001</v>
      </c>
      <c r="K313" s="32">
        <v>9.779293064581184</v>
      </c>
      <c r="L313" s="32">
        <v>10.428032663316582</v>
      </c>
      <c r="M313" s="54">
        <f t="shared" si="12"/>
        <v>2049</v>
      </c>
      <c r="N313" s="3"/>
      <c r="O313" s="3"/>
    </row>
    <row r="314" spans="8:15">
      <c r="H314" s="28">
        <v>54697</v>
      </c>
      <c r="I314" s="32">
        <v>10.822333265306124</v>
      </c>
      <c r="J314" s="32">
        <v>10.646800000000001</v>
      </c>
      <c r="K314" s="32">
        <v>9.973101096832071</v>
      </c>
      <c r="L314" s="32">
        <v>10.631449748743718</v>
      </c>
      <c r="M314" s="54">
        <f t="shared" si="12"/>
        <v>2049</v>
      </c>
      <c r="N314" s="3"/>
      <c r="O314" s="3"/>
    </row>
    <row r="315" spans="8:15">
      <c r="H315" s="28">
        <v>54728</v>
      </c>
      <c r="I315" s="32">
        <v>11.005598571428571</v>
      </c>
      <c r="J315" s="32">
        <v>10.832000000000001</v>
      </c>
      <c r="K315" s="32">
        <v>10.307626131222559</v>
      </c>
      <c r="L315" s="32">
        <v>10.600896984924622</v>
      </c>
      <c r="M315" s="54">
        <f t="shared" si="12"/>
        <v>2049</v>
      </c>
      <c r="N315" s="3"/>
      <c r="O315" s="3"/>
    </row>
    <row r="316" spans="8:15">
      <c r="H316" s="28">
        <v>54758</v>
      </c>
      <c r="I316" s="32">
        <v>11.423455714285714</v>
      </c>
      <c r="J316" s="32">
        <v>11.261100000000001</v>
      </c>
      <c r="K316" s="32">
        <v>10.746786885152758</v>
      </c>
      <c r="L316" s="32">
        <v>10.567731155778894</v>
      </c>
      <c r="M316" s="54">
        <f t="shared" si="12"/>
        <v>2049</v>
      </c>
      <c r="N316" s="3"/>
      <c r="O316" s="3"/>
    </row>
    <row r="317" spans="8:15">
      <c r="H317" s="28">
        <v>54789</v>
      </c>
      <c r="I317" s="32">
        <v>11.757027142857142</v>
      </c>
      <c r="J317" s="32">
        <v>11.584899999999999</v>
      </c>
      <c r="K317" s="32">
        <v>11.145433513192213</v>
      </c>
      <c r="L317" s="32">
        <v>11.735871859296482</v>
      </c>
      <c r="M317" s="54">
        <f t="shared" si="12"/>
        <v>2050</v>
      </c>
      <c r="N317" s="3"/>
      <c r="O317" s="3"/>
    </row>
    <row r="318" spans="8:15">
      <c r="H318" s="28">
        <v>54820</v>
      </c>
      <c r="I318" s="32">
        <v>11.452231224489795</v>
      </c>
      <c r="J318" s="32">
        <v>11.2865</v>
      </c>
      <c r="K318" s="32">
        <v>10.692871140010626</v>
      </c>
      <c r="L318" s="32">
        <v>11.171449748743719</v>
      </c>
      <c r="M318" s="54">
        <f t="shared" si="12"/>
        <v>2050</v>
      </c>
      <c r="N318" s="3"/>
      <c r="O318" s="3"/>
    </row>
    <row r="319" spans="8:15">
      <c r="H319" s="28">
        <v>54848</v>
      </c>
      <c r="I319" s="32">
        <v>10.898761836734694</v>
      </c>
      <c r="J319" s="32">
        <v>10.720599999999999</v>
      </c>
      <c r="K319" s="32">
        <v>9.957534600624685</v>
      </c>
      <c r="L319" s="32">
        <v>10.862505025125627</v>
      </c>
      <c r="M319" s="54">
        <f t="shared" si="12"/>
        <v>2050</v>
      </c>
      <c r="N319" s="3"/>
      <c r="O319" s="3"/>
    </row>
    <row r="320" spans="8:15">
      <c r="H320" s="28">
        <v>54879</v>
      </c>
      <c r="I320" s="32">
        <v>10.740496530612244</v>
      </c>
      <c r="J320" s="32">
        <v>10.559799999999999</v>
      </c>
      <c r="K320" s="32">
        <v>9.4615200542549331</v>
      </c>
      <c r="L320" s="32">
        <v>10.53325879396985</v>
      </c>
      <c r="M320" s="54">
        <f t="shared" si="12"/>
        <v>2050</v>
      </c>
      <c r="N320" s="3"/>
      <c r="O320" s="3"/>
    </row>
    <row r="321" spans="8:15">
      <c r="H321" s="28">
        <v>54909</v>
      </c>
      <c r="I321" s="32">
        <v>10.804067959183675</v>
      </c>
      <c r="J321" s="32">
        <v>10.622</v>
      </c>
      <c r="K321" s="32">
        <v>9.2714232396428926</v>
      </c>
      <c r="L321" s="32">
        <v>10.530545226130652</v>
      </c>
      <c r="M321" s="54">
        <f t="shared" si="12"/>
        <v>2050</v>
      </c>
      <c r="N321" s="3"/>
      <c r="O321" s="3"/>
    </row>
    <row r="322" spans="8:15">
      <c r="H322" s="28">
        <v>54940</v>
      </c>
      <c r="I322" s="32">
        <v>10.925904693877552</v>
      </c>
      <c r="J322" s="32">
        <v>10.7431</v>
      </c>
      <c r="K322" s="32">
        <v>9.3903883828437031</v>
      </c>
      <c r="L322" s="32">
        <v>10.678183417085426</v>
      </c>
      <c r="M322" s="54">
        <f t="shared" si="12"/>
        <v>2050</v>
      </c>
      <c r="N322" s="3"/>
      <c r="O322" s="3"/>
    </row>
    <row r="323" spans="8:15">
      <c r="H323" s="28">
        <v>54970</v>
      </c>
      <c r="I323" s="32">
        <v>11.270088367346938</v>
      </c>
      <c r="J323" s="32">
        <v>11.088200000000001</v>
      </c>
      <c r="K323" s="32">
        <v>9.9667611000323735</v>
      </c>
      <c r="L323" s="32">
        <v>10.911650753768845</v>
      </c>
      <c r="M323" s="54">
        <f t="shared" si="12"/>
        <v>2050</v>
      </c>
      <c r="N323" s="3"/>
      <c r="O323" s="3"/>
    </row>
    <row r="324" spans="8:15">
      <c r="H324" s="28">
        <v>55001</v>
      </c>
      <c r="I324" s="32">
        <v>11.338251632653062</v>
      </c>
      <c r="J324" s="32">
        <v>11.155900000000001</v>
      </c>
      <c r="K324" s="32">
        <v>10.260308106327265</v>
      </c>
      <c r="L324" s="32">
        <v>10.978786432160803</v>
      </c>
      <c r="M324" s="54">
        <f t="shared" si="12"/>
        <v>2050</v>
      </c>
      <c r="N324" s="3"/>
      <c r="O324" s="3"/>
    </row>
    <row r="325" spans="8:15">
      <c r="H325" s="28">
        <v>55032</v>
      </c>
      <c r="I325" s="32">
        <v>11.376618979591838</v>
      </c>
      <c r="J325" s="32">
        <v>11.1929</v>
      </c>
      <c r="K325" s="32">
        <v>10.321852465504806</v>
      </c>
      <c r="L325" s="32">
        <v>11.036675879396984</v>
      </c>
      <c r="M325" s="54">
        <f t="shared" si="12"/>
        <v>2050</v>
      </c>
      <c r="N325" s="3"/>
      <c r="O325" s="3"/>
    </row>
    <row r="326" spans="8:15">
      <c r="H326" s="28">
        <v>55062</v>
      </c>
      <c r="I326" s="32">
        <v>11.444374081632652</v>
      </c>
      <c r="J326" s="32">
        <v>11.256500000000001</v>
      </c>
      <c r="K326" s="32">
        <v>10.511949280116845</v>
      </c>
      <c r="L326" s="32">
        <v>11.244113065326633</v>
      </c>
      <c r="M326" s="54">
        <f t="shared" si="12"/>
        <v>2050</v>
      </c>
      <c r="N326" s="3"/>
      <c r="O326" s="3"/>
    </row>
    <row r="327" spans="8:15">
      <c r="H327" s="28">
        <v>55093</v>
      </c>
      <c r="I327" s="32">
        <v>11.800802653061226</v>
      </c>
      <c r="J327" s="32">
        <v>11.6113</v>
      </c>
      <c r="K327" s="32">
        <v>11.014922359559435</v>
      </c>
      <c r="L327" s="32">
        <v>11.384113065326632</v>
      </c>
      <c r="M327" s="54">
        <f t="shared" si="12"/>
        <v>2050</v>
      </c>
      <c r="N327" s="3"/>
      <c r="O327" s="3"/>
    </row>
    <row r="328" spans="8:15">
      <c r="H328" s="28">
        <v>55123</v>
      </c>
      <c r="I328" s="32">
        <v>12.193455714285713</v>
      </c>
      <c r="J328" s="32">
        <v>12.0158</v>
      </c>
      <c r="K328" s="32">
        <v>11.494184881864946</v>
      </c>
      <c r="L328" s="32">
        <v>11.326123115577889</v>
      </c>
      <c r="M328" s="54">
        <f t="shared" si="12"/>
        <v>2050</v>
      </c>
      <c r="N328" s="3"/>
      <c r="O328" s="3"/>
    </row>
    <row r="329" spans="8:15">
      <c r="H329" s="28">
        <v>55154</v>
      </c>
      <c r="I329" s="32">
        <v>12.027639387755102</v>
      </c>
      <c r="J329" s="32">
        <v>11.850199999999999</v>
      </c>
      <c r="K329" s="32">
        <v>11.401507530272635</v>
      </c>
      <c r="L329" s="32">
        <v>12.002505025125627</v>
      </c>
      <c r="M329" s="54">
        <f t="shared" ref="M329:M340" si="13">YEAR(H329)</f>
        <v>2051</v>
      </c>
    </row>
    <row r="330" spans="8:15">
      <c r="H330" s="28">
        <v>55185</v>
      </c>
      <c r="I330" s="32">
        <v>11.715802653061225</v>
      </c>
      <c r="J330" s="32">
        <v>11.5448</v>
      </c>
      <c r="K330" s="32">
        <v>10.938533129826505</v>
      </c>
      <c r="L330" s="32">
        <v>11.431047738693467</v>
      </c>
      <c r="M330" s="54">
        <f t="shared" si="13"/>
        <v>2051</v>
      </c>
    </row>
    <row r="331" spans="8:15">
      <c r="H331" s="28">
        <v>55213</v>
      </c>
      <c r="I331" s="32">
        <v>11.149680204081632</v>
      </c>
      <c r="J331" s="32">
        <v>10.9666</v>
      </c>
      <c r="K331" s="32">
        <v>10.186289932308043</v>
      </c>
      <c r="L331" s="32">
        <v>11.109640703517586</v>
      </c>
      <c r="M331" s="54">
        <f t="shared" si="13"/>
        <v>2051</v>
      </c>
    </row>
    <row r="332" spans="8:15">
      <c r="H332" s="28">
        <v>55244</v>
      </c>
      <c r="I332" s="32">
        <v>10.987741428571429</v>
      </c>
      <c r="J332" s="32">
        <v>10.802099999999999</v>
      </c>
      <c r="K332" s="32">
        <v>9.6788840095746096</v>
      </c>
      <c r="L332" s="32">
        <v>10.776776381909546</v>
      </c>
      <c r="M332" s="54">
        <f t="shared" si="13"/>
        <v>2051</v>
      </c>
    </row>
    <row r="333" spans="8:15">
      <c r="H333" s="28">
        <v>55274</v>
      </c>
      <c r="I333" s="32">
        <v>11.05274142857143</v>
      </c>
      <c r="J333" s="32">
        <v>10.8658</v>
      </c>
      <c r="K333" s="32">
        <v>9.4844058963611531</v>
      </c>
      <c r="L333" s="32">
        <v>10.77546984924623</v>
      </c>
      <c r="M333" s="54">
        <f t="shared" si="13"/>
        <v>2051</v>
      </c>
    </row>
    <row r="334" spans="8:15">
      <c r="H334" s="28">
        <v>55305</v>
      </c>
      <c r="I334" s="32">
        <v>11.177537346938776</v>
      </c>
      <c r="J334" s="32">
        <v>10.989599999999999</v>
      </c>
      <c r="K334" s="32">
        <v>9.6061029081016702</v>
      </c>
      <c r="L334" s="32">
        <v>10.926022613065324</v>
      </c>
      <c r="M334" s="54">
        <f t="shared" si="13"/>
        <v>2051</v>
      </c>
    </row>
    <row r="335" spans="8:15">
      <c r="H335" s="28">
        <v>55335</v>
      </c>
      <c r="I335" s="32">
        <v>11.529578163265306</v>
      </c>
      <c r="J335" s="32">
        <v>11.342499999999999</v>
      </c>
      <c r="K335" s="32">
        <v>10.195722610473446</v>
      </c>
      <c r="L335" s="32">
        <v>11.167228643216079</v>
      </c>
      <c r="M335" s="54">
        <f t="shared" si="13"/>
        <v>2051</v>
      </c>
    </row>
    <row r="336" spans="8:15">
      <c r="H336" s="28">
        <v>55366</v>
      </c>
      <c r="I336" s="32">
        <v>11.599272040816327</v>
      </c>
      <c r="J336" s="32">
        <v>11.4117</v>
      </c>
      <c r="K336" s="32">
        <v>10.496073515772888</v>
      </c>
      <c r="L336" s="32">
        <v>11.235871859296482</v>
      </c>
      <c r="M336" s="54">
        <f t="shared" si="13"/>
        <v>2051</v>
      </c>
    </row>
    <row r="337" spans="8:13">
      <c r="H337" s="28">
        <v>55397</v>
      </c>
      <c r="I337" s="32">
        <v>11.638455714285715</v>
      </c>
      <c r="J337" s="32">
        <v>11.4496</v>
      </c>
      <c r="K337" s="32">
        <v>10.558958036875572</v>
      </c>
      <c r="L337" s="32">
        <v>11.294565326633164</v>
      </c>
      <c r="M337" s="54">
        <f t="shared" si="13"/>
        <v>2051</v>
      </c>
    </row>
    <row r="338" spans="8:13">
      <c r="H338" s="28">
        <v>55427</v>
      </c>
      <c r="I338" s="32">
        <v>11.707843469387756</v>
      </c>
      <c r="J338" s="32">
        <v>11.514699999999999</v>
      </c>
      <c r="K338" s="32">
        <v>10.753487694778455</v>
      </c>
      <c r="L338" s="32">
        <v>11.503610552763817</v>
      </c>
      <c r="M338" s="54">
        <f t="shared" si="13"/>
        <v>2051</v>
      </c>
    </row>
    <row r="339" spans="8:13">
      <c r="H339" s="28">
        <v>55458</v>
      </c>
      <c r="I339" s="32">
        <v>12.072537346938775</v>
      </c>
      <c r="J339" s="32">
        <v>11.8775</v>
      </c>
      <c r="K339" s="32">
        <v>11.268006784653011</v>
      </c>
      <c r="L339" s="32">
        <v>11.651751256281406</v>
      </c>
      <c r="M339" s="54">
        <f t="shared" si="13"/>
        <v>2051</v>
      </c>
    </row>
    <row r="340" spans="8:13">
      <c r="H340" s="28">
        <v>55488</v>
      </c>
      <c r="I340" s="32">
        <v>12.474169999999999</v>
      </c>
      <c r="J340" s="32">
        <v>12.290900000000001</v>
      </c>
      <c r="K340" s="32">
        <v>11.758299870496209</v>
      </c>
      <c r="L340" s="32">
        <v>11.602605527638191</v>
      </c>
      <c r="M340" s="54">
        <f t="shared" si="13"/>
        <v>2051</v>
      </c>
    </row>
    <row r="341" spans="8:13">
      <c r="H341" s="28">
        <v>55519</v>
      </c>
      <c r="I341" s="32">
        <v>12.304578163265306</v>
      </c>
      <c r="J341" s="32">
        <v>12.121499999999999</v>
      </c>
      <c r="K341" s="32">
        <v>11.6634576419479</v>
      </c>
      <c r="L341" s="32">
        <v>12.275168341708543</v>
      </c>
      <c r="M341" s="54">
        <f t="shared" ref="M341:M343" si="14">YEAR(H341)</f>
        <v>2052</v>
      </c>
    </row>
    <row r="342" spans="8:13">
      <c r="H342" s="28">
        <v>55550</v>
      </c>
      <c r="I342" s="32">
        <v>11.985598571428572</v>
      </c>
      <c r="J342" s="32">
        <v>11.809200000000001</v>
      </c>
      <c r="K342" s="32">
        <v>11.189865035479515</v>
      </c>
      <c r="L342" s="32">
        <v>11.696776381909546</v>
      </c>
      <c r="M342" s="54">
        <f t="shared" si="14"/>
        <v>2052</v>
      </c>
    </row>
    <row r="343" spans="8:13">
      <c r="H343" s="28">
        <v>55579</v>
      </c>
      <c r="I343" s="32">
        <v>11.406414897959184</v>
      </c>
      <c r="J343" s="32">
        <v>11.2181</v>
      </c>
      <c r="K343" s="32">
        <v>10.420354367002531</v>
      </c>
      <c r="L343" s="32">
        <v>11.362505025125627</v>
      </c>
      <c r="M343" s="54">
        <f t="shared" si="14"/>
        <v>2052</v>
      </c>
    </row>
    <row r="344" spans="8:13">
      <c r="H344" s="28">
        <v>55610</v>
      </c>
      <c r="I344" s="32">
        <v>11.240700612244897</v>
      </c>
      <c r="J344" s="32">
        <v>11.05</v>
      </c>
      <c r="K344" s="32">
        <v>9.9012477997688428</v>
      </c>
      <c r="L344" s="32">
        <v>11.025922110552763</v>
      </c>
      <c r="M344" s="54">
        <f t="shared" ref="M344:M365" si="15">YEAR(H344)</f>
        <v>2052</v>
      </c>
    </row>
    <row r="345" spans="8:13">
      <c r="H345" s="28">
        <v>55640</v>
      </c>
      <c r="I345" s="32">
        <v>11.307231224489797</v>
      </c>
      <c r="J345" s="32">
        <v>11.1152</v>
      </c>
      <c r="K345" s="32">
        <v>9.7022852985751147</v>
      </c>
      <c r="L345" s="32">
        <v>11.026123115577889</v>
      </c>
      <c r="M345" s="54">
        <f t="shared" si="15"/>
        <v>2052</v>
      </c>
    </row>
    <row r="346" spans="8:13">
      <c r="H346" s="28">
        <v>55671</v>
      </c>
      <c r="I346" s="32">
        <v>11.43478224489796</v>
      </c>
      <c r="J346" s="32">
        <v>11.2418</v>
      </c>
      <c r="K346" s="32">
        <v>9.8267657235447654</v>
      </c>
      <c r="L346" s="32">
        <v>11.179389447236179</v>
      </c>
      <c r="M346" s="54">
        <f t="shared" si="15"/>
        <v>2052</v>
      </c>
    </row>
    <row r="347" spans="8:13">
      <c r="H347" s="28">
        <v>55701</v>
      </c>
      <c r="I347" s="32">
        <v>11.794986326530612</v>
      </c>
      <c r="J347" s="32">
        <v>11.602600000000001</v>
      </c>
      <c r="K347" s="32">
        <v>10.429993223925646</v>
      </c>
      <c r="L347" s="32">
        <v>11.428635678391958</v>
      </c>
      <c r="M347" s="54">
        <f t="shared" si="15"/>
        <v>2052</v>
      </c>
    </row>
    <row r="348" spans="8:13">
      <c r="H348" s="28">
        <v>55732</v>
      </c>
      <c r="I348" s="32">
        <v>11.866312857142859</v>
      </c>
      <c r="J348" s="32">
        <v>11.673400000000001</v>
      </c>
      <c r="K348" s="32">
        <v>10.737199572919071</v>
      </c>
      <c r="L348" s="32">
        <v>11.498886934673365</v>
      </c>
      <c r="M348" s="54">
        <f t="shared" si="15"/>
        <v>2052</v>
      </c>
    </row>
    <row r="349" spans="8:13">
      <c r="H349" s="28">
        <v>55763</v>
      </c>
      <c r="I349" s="32">
        <v>11.906414897959184</v>
      </c>
      <c r="J349" s="32">
        <v>11.712199999999999</v>
      </c>
      <c r="K349" s="32">
        <v>10.801630434704604</v>
      </c>
      <c r="L349" s="32">
        <v>11.558484924623114</v>
      </c>
      <c r="M349" s="54">
        <f t="shared" si="15"/>
        <v>2052</v>
      </c>
    </row>
    <row r="350" spans="8:13">
      <c r="H350" s="28">
        <v>55793</v>
      </c>
      <c r="I350" s="32">
        <v>11.977333265306124</v>
      </c>
      <c r="J350" s="32">
        <v>11.7788</v>
      </c>
      <c r="K350" s="32">
        <v>11.000592935898331</v>
      </c>
      <c r="L350" s="32">
        <v>11.769037688442211</v>
      </c>
      <c r="M350" s="54">
        <f t="shared" si="15"/>
        <v>2052</v>
      </c>
    </row>
    <row r="351" spans="8:13">
      <c r="H351" s="28">
        <v>55824</v>
      </c>
      <c r="I351" s="32">
        <v>12.350496530612245</v>
      </c>
      <c r="J351" s="32">
        <v>12.149900000000001</v>
      </c>
      <c r="K351" s="32">
        <v>11.52686421496257</v>
      </c>
      <c r="L351" s="32">
        <v>11.925520100502512</v>
      </c>
      <c r="M351" s="54">
        <f t="shared" si="15"/>
        <v>2052</v>
      </c>
    </row>
    <row r="352" spans="8:13">
      <c r="H352" s="28">
        <v>55854</v>
      </c>
      <c r="I352" s="32">
        <v>12.761312857142858</v>
      </c>
      <c r="J352" s="32">
        <v>12.5723</v>
      </c>
      <c r="K352" s="32">
        <v>12.02849713248002</v>
      </c>
      <c r="L352" s="32">
        <v>11.88541959798995</v>
      </c>
      <c r="M352" s="54">
        <f t="shared" si="15"/>
        <v>2052</v>
      </c>
    </row>
    <row r="353" spans="8:13">
      <c r="H353" s="28">
        <v>55885</v>
      </c>
      <c r="I353" s="32">
        <v>12.587843469387757</v>
      </c>
      <c r="J353" s="32">
        <v>12.399100000000001</v>
      </c>
      <c r="K353" s="32">
        <v>11.931490026975721</v>
      </c>
      <c r="L353" s="32">
        <v>12.554163316582914</v>
      </c>
      <c r="M353" s="54">
        <f t="shared" si="15"/>
        <v>2053</v>
      </c>
    </row>
    <row r="354" spans="8:13">
      <c r="H354" s="28">
        <v>55916</v>
      </c>
      <c r="I354" s="32">
        <v>12.261516938775511</v>
      </c>
      <c r="J354" s="32">
        <v>12.079599999999999</v>
      </c>
      <c r="K354" s="32">
        <v>11.446969946348508</v>
      </c>
      <c r="L354" s="32">
        <v>11.968535175879396</v>
      </c>
      <c r="M354" s="54">
        <f t="shared" si="15"/>
        <v>2053</v>
      </c>
    </row>
    <row r="355" spans="8:13">
      <c r="H355" s="28">
        <v>55944</v>
      </c>
      <c r="I355" s="32">
        <v>11.668965918367347</v>
      </c>
      <c r="J355" s="32">
        <v>11.4755</v>
      </c>
      <c r="K355" s="32">
        <v>10.659779449397572</v>
      </c>
      <c r="L355" s="32">
        <v>11.621097989949748</v>
      </c>
      <c r="M355" s="54">
        <f t="shared" si="15"/>
        <v>2053</v>
      </c>
    </row>
    <row r="356" spans="8:13">
      <c r="H356" s="28">
        <v>55975</v>
      </c>
      <c r="I356" s="32">
        <v>11.49947612244898</v>
      </c>
      <c r="J356" s="32">
        <v>11.303599999999999</v>
      </c>
      <c r="K356" s="32">
        <v>10.12871451421649</v>
      </c>
      <c r="L356" s="32">
        <v>11.280796482412059</v>
      </c>
      <c r="M356" s="54">
        <f t="shared" si="15"/>
        <v>2053</v>
      </c>
    </row>
    <row r="357" spans="8:13">
      <c r="H357" s="28">
        <v>56005</v>
      </c>
      <c r="I357" s="32">
        <v>11.567537346938776</v>
      </c>
      <c r="J357" s="32">
        <v>11.3703</v>
      </c>
      <c r="K357" s="32">
        <v>9.9251645356636331</v>
      </c>
      <c r="L357" s="32">
        <v>11.282505025125628</v>
      </c>
      <c r="M357" s="54">
        <f t="shared" si="15"/>
        <v>2053</v>
      </c>
    </row>
    <row r="358" spans="8:13">
      <c r="H358" s="28">
        <v>56036</v>
      </c>
      <c r="I358" s="32">
        <v>11.698047551020409</v>
      </c>
      <c r="J358" s="32">
        <v>11.4998</v>
      </c>
      <c r="K358" s="32">
        <v>10.052531463241275</v>
      </c>
      <c r="L358" s="32">
        <v>11.438685929648241</v>
      </c>
      <c r="M358" s="54">
        <f t="shared" si="15"/>
        <v>2053</v>
      </c>
    </row>
    <row r="359" spans="8:13">
      <c r="H359" s="28">
        <v>56066</v>
      </c>
      <c r="I359" s="32">
        <v>12.066516938775511</v>
      </c>
      <c r="J359" s="32">
        <v>11.8688</v>
      </c>
      <c r="K359" s="32">
        <v>10.669624485078401</v>
      </c>
      <c r="L359" s="32">
        <v>11.696072864321607</v>
      </c>
      <c r="M359" s="54">
        <f t="shared" si="15"/>
        <v>2053</v>
      </c>
    </row>
    <row r="360" spans="8:13">
      <c r="H360" s="28">
        <v>56097</v>
      </c>
      <c r="I360" s="32">
        <v>12.139476122448979</v>
      </c>
      <c r="J360" s="32">
        <v>11.9411</v>
      </c>
      <c r="K360" s="32">
        <v>10.98389245652352</v>
      </c>
      <c r="L360" s="32">
        <v>11.767932160804019</v>
      </c>
      <c r="M360" s="54">
        <f t="shared" si="15"/>
        <v>2053</v>
      </c>
    </row>
    <row r="361" spans="8:13">
      <c r="H361" s="28">
        <v>56128</v>
      </c>
      <c r="I361" s="32">
        <v>12.180598571428572</v>
      </c>
      <c r="J361" s="32">
        <v>11.9808</v>
      </c>
      <c r="K361" s="32">
        <v>11.049766569613052</v>
      </c>
      <c r="L361" s="32">
        <v>11.828535175879395</v>
      </c>
      <c r="M361" s="54">
        <f t="shared" si="15"/>
        <v>2053</v>
      </c>
    </row>
    <row r="362" spans="8:13">
      <c r="H362" s="28">
        <v>56158</v>
      </c>
      <c r="I362" s="32">
        <v>12.253149591836735</v>
      </c>
      <c r="J362" s="32">
        <v>12.048999999999999</v>
      </c>
      <c r="K362" s="32">
        <v>11.253265003476482</v>
      </c>
      <c r="L362" s="32">
        <v>12.040695979899496</v>
      </c>
      <c r="M362" s="54">
        <f t="shared" si="15"/>
        <v>2053</v>
      </c>
    </row>
    <row r="363" spans="8:13">
      <c r="H363" s="28">
        <v>56189</v>
      </c>
      <c r="I363" s="32">
        <v>12.634782244897959</v>
      </c>
      <c r="J363" s="32">
        <v>12.4285</v>
      </c>
      <c r="K363" s="32">
        <v>11.791700829245826</v>
      </c>
      <c r="L363" s="32">
        <v>12.205520100502513</v>
      </c>
      <c r="M363" s="54">
        <f t="shared" si="15"/>
        <v>2053</v>
      </c>
    </row>
    <row r="364" spans="8:13">
      <c r="H364" s="28">
        <v>56219</v>
      </c>
      <c r="I364" s="32">
        <v>13.055088367346938</v>
      </c>
      <c r="J364" s="32">
        <v>12.860200000000001</v>
      </c>
      <c r="K364" s="32">
        <v>12.304879757195247</v>
      </c>
      <c r="L364" s="32">
        <v>12.17476633165829</v>
      </c>
      <c r="M364" s="54">
        <f t="shared" si="15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4">
        <f t="shared" si="15"/>
        <v>1900</v>
      </c>
    </row>
    <row r="366" spans="8:13">
      <c r="H366" s="28"/>
      <c r="I366" s="32"/>
      <c r="J366" s="32"/>
      <c r="K366" s="32"/>
      <c r="L366" s="32"/>
      <c r="M366" s="54"/>
    </row>
    <row r="367" spans="8:13">
      <c r="H367" s="28"/>
      <c r="I367" s="32"/>
      <c r="J367" s="32"/>
      <c r="K367" s="32"/>
      <c r="L367" s="32"/>
      <c r="M367" s="54"/>
    </row>
    <row r="368" spans="8:13">
      <c r="H368" s="28"/>
      <c r="I368" s="32"/>
      <c r="J368" s="32"/>
      <c r="K368" s="32"/>
      <c r="L368" s="32"/>
      <c r="M368" s="54"/>
    </row>
    <row r="369" spans="8:13">
      <c r="H369" s="28"/>
      <c r="I369" s="32"/>
      <c r="J369" s="32"/>
      <c r="K369" s="32"/>
      <c r="L369" s="32"/>
      <c r="M369" s="54"/>
    </row>
    <row r="370" spans="8:13">
      <c r="H370" s="28"/>
      <c r="I370" s="32"/>
      <c r="J370" s="32"/>
      <c r="K370" s="32"/>
      <c r="L370" s="32"/>
      <c r="M370" s="54"/>
    </row>
    <row r="371" spans="8:13">
      <c r="H371" s="28"/>
      <c r="I371" s="32"/>
      <c r="J371" s="32"/>
      <c r="K371" s="32"/>
      <c r="L371" s="32"/>
      <c r="M371" s="54"/>
    </row>
    <row r="372" spans="8:13">
      <c r="H372" s="28"/>
      <c r="I372" s="32"/>
      <c r="J372" s="32"/>
      <c r="K372" s="32"/>
      <c r="L372" s="32"/>
      <c r="M372" s="54"/>
    </row>
    <row r="373" spans="8:13">
      <c r="H373" s="28"/>
      <c r="I373" s="32"/>
      <c r="J373" s="32"/>
      <c r="K373" s="32"/>
      <c r="L373" s="32"/>
      <c r="M373" s="54"/>
    </row>
    <row r="374" spans="8:13">
      <c r="H374" s="28"/>
      <c r="I374" s="32"/>
      <c r="J374" s="32"/>
      <c r="K374" s="32"/>
      <c r="L374" s="32"/>
      <c r="M374" s="54"/>
    </row>
    <row r="375" spans="8:13">
      <c r="H375" s="28"/>
      <c r="I375" s="32"/>
      <c r="J375" s="32"/>
      <c r="K375" s="32"/>
      <c r="L375" s="32"/>
      <c r="M375" s="54"/>
    </row>
    <row r="376" spans="8:13">
      <c r="H376" s="28"/>
      <c r="I376" s="32"/>
      <c r="J376" s="32"/>
      <c r="K376" s="32"/>
      <c r="L376" s="32"/>
      <c r="M376" s="54"/>
    </row>
    <row r="377" spans="8:13">
      <c r="H377" s="28"/>
      <c r="I377" s="32"/>
      <c r="J377" s="32"/>
      <c r="K377" s="32"/>
      <c r="L377" s="32"/>
      <c r="M377" s="54"/>
    </row>
    <row r="378" spans="8:13">
      <c r="H378" s="28"/>
      <c r="I378" s="32"/>
      <c r="J378" s="32"/>
      <c r="K378" s="32"/>
      <c r="L378" s="32"/>
      <c r="M378" s="54"/>
    </row>
    <row r="379" spans="8:13">
      <c r="H379" s="28"/>
      <c r="I379" s="32"/>
      <c r="J379" s="32"/>
      <c r="K379" s="32"/>
      <c r="L379" s="32"/>
      <c r="M379" s="54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C367"/>
  <sheetViews>
    <sheetView view="pageLayout" topLeftCell="A19" zoomScaleNormal="90" zoomScaleSheetLayoutView="80" workbookViewId="0">
      <selection activeCell="L82" sqref="L82"/>
    </sheetView>
  </sheetViews>
  <sheetFormatPr defaultColWidth="9.33203125" defaultRowHeight="12.75" outlineLevelRow="1"/>
  <cols>
    <col min="1" max="1" width="18.5" style="97" customWidth="1"/>
    <col min="2" max="2" width="22.83203125" style="97" customWidth="1"/>
    <col min="3" max="3" width="18.1640625" style="97" customWidth="1"/>
    <col min="4" max="4" width="18.33203125" style="97" customWidth="1"/>
    <col min="5" max="5" width="18.5" style="97" customWidth="1"/>
    <col min="6" max="7" width="16.1640625" style="97" customWidth="1"/>
    <col min="8" max="8" width="3.83203125" style="97" customWidth="1"/>
    <col min="9" max="9" width="9.5" style="97" customWidth="1"/>
    <col min="10" max="11" width="10" style="97" customWidth="1"/>
    <col min="12" max="12" width="9.33203125" style="97" customWidth="1"/>
    <col min="13" max="13" width="30.1640625" style="97" customWidth="1"/>
    <col min="14" max="14" width="20" style="97" customWidth="1"/>
    <col min="15" max="15" width="14.6640625" style="97" customWidth="1"/>
    <col min="16" max="16" width="14.33203125" style="97" customWidth="1"/>
    <col min="17" max="17" width="14.6640625" style="97" customWidth="1"/>
    <col min="18" max="18" width="13.6640625" style="97" customWidth="1"/>
    <col min="19" max="19" width="16" style="97" customWidth="1"/>
    <col min="20" max="20" width="15.1640625" style="97" bestFit="1" customWidth="1"/>
    <col min="21" max="21" width="13.83203125" style="97" customWidth="1"/>
    <col min="22" max="27" width="9.33203125" style="97"/>
    <col min="28" max="28" width="22.5" style="97" customWidth="1"/>
    <col min="29" max="16384" width="9.33203125" style="97"/>
  </cols>
  <sheetData>
    <row r="1" spans="1:29" s="3" customFormat="1" ht="22.5" customHeight="1">
      <c r="B1" s="1" t="s">
        <v>34</v>
      </c>
      <c r="C1" s="1"/>
      <c r="D1" s="10"/>
      <c r="E1" s="10"/>
      <c r="F1" s="10"/>
      <c r="G1" s="10"/>
      <c r="H1" s="29"/>
      <c r="I1" s="47"/>
      <c r="AA1" s="47" t="s">
        <v>297</v>
      </c>
      <c r="AB1" s="47"/>
      <c r="AC1" s="158">
        <v>2044</v>
      </c>
    </row>
    <row r="2" spans="1:29" ht="27.75" customHeight="1"/>
    <row r="3" spans="1:29" ht="15.75">
      <c r="B3" s="1" t="str">
        <f>"Table "&amp;RIGHT('Table 4'!B3,1)+1</f>
        <v>Table 5</v>
      </c>
      <c r="C3" s="211"/>
      <c r="D3" s="211"/>
      <c r="E3" s="211"/>
      <c r="F3" s="211"/>
      <c r="G3" s="211"/>
      <c r="M3" s="97" t="s">
        <v>51</v>
      </c>
      <c r="O3" s="212"/>
    </row>
    <row r="4" spans="1:29" ht="38.25">
      <c r="B4" s="211" t="str">
        <f ca="1">'Table 1'!B5</f>
        <v>Avoided Cost Resource - 100.0 MW and 100% CF</v>
      </c>
      <c r="C4" s="211"/>
      <c r="D4" s="211"/>
      <c r="E4" s="211"/>
      <c r="F4" s="211"/>
      <c r="G4" s="211"/>
      <c r="K4" s="97">
        <f>MIN(K13:K24)</f>
        <v>46023</v>
      </c>
      <c r="M4" s="213" t="s">
        <v>300</v>
      </c>
      <c r="P4" s="214" t="s">
        <v>291</v>
      </c>
      <c r="Q4" s="214" t="s">
        <v>291</v>
      </c>
      <c r="R4" s="214" t="s">
        <v>136</v>
      </c>
      <c r="S4" s="214" t="s">
        <v>135</v>
      </c>
    </row>
    <row r="5" spans="1:29">
      <c r="B5" s="211" t="str">
        <f>TEXT($K$5,"MMMM YYYY")&amp;"  through  "&amp;TEXT($K$6,"MMMM YYYY")</f>
        <v>January 2026  through  December 2040</v>
      </c>
      <c r="C5" s="211"/>
      <c r="D5" s="211"/>
      <c r="E5" s="211"/>
      <c r="F5" s="211"/>
      <c r="G5" s="211"/>
      <c r="J5" s="97" t="s">
        <v>36</v>
      </c>
      <c r="K5" s="215">
        <f>MIN(K13:K24)</f>
        <v>46023</v>
      </c>
      <c r="M5" s="97" t="s">
        <v>37</v>
      </c>
      <c r="O5" s="3" t="s">
        <v>76</v>
      </c>
      <c r="P5" s="3">
        <f>Q5+12</f>
        <v>49</v>
      </c>
      <c r="Q5" s="3">
        <f>R5+12</f>
        <v>37</v>
      </c>
      <c r="R5" s="3">
        <f>S5+12</f>
        <v>25</v>
      </c>
      <c r="S5" s="3">
        <v>13</v>
      </c>
    </row>
    <row r="6" spans="1:29">
      <c r="B6" s="211" t="s">
        <v>38</v>
      </c>
      <c r="C6" s="211"/>
      <c r="D6" s="211"/>
      <c r="E6" s="211"/>
      <c r="F6" s="211"/>
      <c r="G6" s="211"/>
      <c r="J6" s="97" t="s">
        <v>39</v>
      </c>
      <c r="K6" s="215">
        <f>EDATE(K5,15*12-1)</f>
        <v>51471</v>
      </c>
      <c r="M6" s="213">
        <v>100</v>
      </c>
      <c r="N6" s="97" t="s">
        <v>32</v>
      </c>
      <c r="O6" s="3" t="s">
        <v>77</v>
      </c>
      <c r="P6">
        <f>P5+15*12-1</f>
        <v>228</v>
      </c>
      <c r="Q6">
        <f>Q5+15*12-1</f>
        <v>216</v>
      </c>
      <c r="R6">
        <f>R5+15*12-1</f>
        <v>204</v>
      </c>
      <c r="S6">
        <f>S5+15*12-1</f>
        <v>192</v>
      </c>
    </row>
    <row r="7" spans="1:29">
      <c r="A7" s="216" t="str">
        <f>Q4</f>
        <v>15 Year Starting 2028</v>
      </c>
      <c r="B7" s="211"/>
      <c r="C7" s="217">
        <f ca="1">NPV($K$10,INDIRECT("C"&amp;$Q$5&amp;":C"&amp;$Q$6))</f>
        <v>296732975.50028038</v>
      </c>
      <c r="D7" s="217">
        <f ca="1">NPV($K$10,INDIRECT("d"&amp;$Q$5&amp;":d"&amp;$Q$6))</f>
        <v>0</v>
      </c>
      <c r="E7" s="217">
        <f ca="1">NPV($K$10,INDIRECT("e"&amp;$Q$5&amp;":e"&amp;$Q$6))</f>
        <v>296732975.50028038</v>
      </c>
      <c r="F7" s="218">
        <f ca="1">NPV($K$10,INDIRECT("f"&amp;$Q$5&amp;":f"&amp;$Q$6))</f>
        <v>8546283.8832213283</v>
      </c>
      <c r="G7" s="219">
        <f ca="1">($C7+D7)/$F7</f>
        <v>34.720701951271202</v>
      </c>
      <c r="K7" s="215"/>
      <c r="M7" s="213"/>
      <c r="O7" s="3"/>
      <c r="P7"/>
      <c r="Q7"/>
      <c r="R7"/>
      <c r="S7"/>
      <c r="AB7" s="97" t="s">
        <v>298</v>
      </c>
    </row>
    <row r="8" spans="1:29">
      <c r="A8" s="216" t="str">
        <f>R4</f>
        <v>15 Year Starting 2027</v>
      </c>
      <c r="C8" s="217">
        <f ca="1">NPV($K$10,INDIRECT("C"&amp;$R$5&amp;":C"&amp;$R$6))</f>
        <v>286183214.57157707</v>
      </c>
      <c r="D8" s="217">
        <f ca="1">NPV($K$10,INDIRECT("d"&amp;$R$5&amp;":d"&amp;$R$6))</f>
        <v>0</v>
      </c>
      <c r="E8" s="217">
        <f ca="1">NPV($K$10,INDIRECT("e"&amp;$R$5&amp;":e"&amp;$R$6))</f>
        <v>286183214.57157707</v>
      </c>
      <c r="F8" s="218">
        <f ca="1">NPV($K$10,INDIRECT("f"&amp;$R$5&amp;":f"&amp;$R$6))</f>
        <v>8545875.5020370092</v>
      </c>
      <c r="G8" s="219">
        <f ca="1">($C8+D8)/$F8</f>
        <v>33.487875467336487</v>
      </c>
      <c r="M8" s="220">
        <f ca="1">ROUNDUP(SUM(OFFSET(F12,MATCH(K5,B13:B24,0),0,12))/(EDATE(K5,12)-K5)/24/Study_MW,4)</f>
        <v>1</v>
      </c>
      <c r="N8" s="221" t="s">
        <v>33</v>
      </c>
      <c r="AB8" s="212" t="s">
        <v>116</v>
      </c>
    </row>
    <row r="9" spans="1:29">
      <c r="A9" s="216"/>
      <c r="B9" s="216" t="str">
        <f>"Nominal NPV at "&amp;TEXT(J10,"0.00%")&amp;" Discount Rate"</f>
        <v>Nominal NPV at 6.38% Discount Rate</v>
      </c>
      <c r="J9" s="97" t="str">
        <f>'Table 1'!I42</f>
        <v>Discount Rate - 2025 IRP</v>
      </c>
      <c r="AB9" s="97" t="s">
        <v>301</v>
      </c>
    </row>
    <row r="10" spans="1:29">
      <c r="A10" s="216" t="str">
        <f>S4</f>
        <v>15 Year Starting 2026</v>
      </c>
      <c r="C10" s="217">
        <f ca="1">NPV($K$10,INDIRECT("C"&amp;$S$5&amp;":C"&amp;$S$6))</f>
        <v>276302626.96266961</v>
      </c>
      <c r="D10" s="217">
        <f ca="1">NPV($K$10,INDIRECT("d"&amp;$S$5&amp;":d"&amp;$S$6))</f>
        <v>0</v>
      </c>
      <c r="E10" s="217">
        <f ca="1">NPV($K$10,INDIRECT("e"&amp;$S$5&amp;":e"&amp;$S$6))</f>
        <v>276302626.96266961</v>
      </c>
      <c r="F10" s="218">
        <f ca="1">NPV($K$10,INDIRECT("f"&amp;$S$5&amp;":f"&amp;$S$6))</f>
        <v>8545491.6129748579</v>
      </c>
      <c r="G10" s="219">
        <f ca="1">($C10+D10)/$F10</f>
        <v>32.333145882812829</v>
      </c>
      <c r="J10" s="222">
        <f>'Table 1'!I43</f>
        <v>6.3799999999999996E-2</v>
      </c>
      <c r="K10" s="223">
        <f>((1+J10)^(1/12))-1</f>
        <v>5.1672547259051793E-3</v>
      </c>
    </row>
    <row r="11" spans="1:29">
      <c r="B11" s="224"/>
      <c r="C11" s="225" t="s">
        <v>18</v>
      </c>
      <c r="D11" s="226" t="s">
        <v>40</v>
      </c>
      <c r="E11" s="226" t="s">
        <v>41</v>
      </c>
      <c r="F11" s="226" t="s">
        <v>41</v>
      </c>
      <c r="G11" s="227" t="s">
        <v>48</v>
      </c>
      <c r="S11" s="97" t="s">
        <v>141</v>
      </c>
      <c r="U11" s="97" t="s">
        <v>141</v>
      </c>
      <c r="AA11" s="97" t="s">
        <v>112</v>
      </c>
      <c r="AB11" s="97" t="s">
        <v>299</v>
      </c>
    </row>
    <row r="12" spans="1:29">
      <c r="B12" s="228" t="s">
        <v>42</v>
      </c>
      <c r="C12" s="225" t="s">
        <v>43</v>
      </c>
      <c r="D12" s="229" t="str">
        <f>TEXT((SUM(F25:F72)/(8760*3+8784))/Study_MW,"0.0%")&amp;" CF"</f>
        <v>100.0% CF</v>
      </c>
      <c r="E12" s="230" t="s">
        <v>47</v>
      </c>
      <c r="F12" s="228" t="s">
        <v>44</v>
      </c>
      <c r="G12" s="229" t="str">
        <f>D12</f>
        <v>100.0% CF</v>
      </c>
      <c r="I12" s="226" t="s">
        <v>45</v>
      </c>
      <c r="J12" s="231" t="s">
        <v>0</v>
      </c>
      <c r="K12" s="231" t="s">
        <v>46</v>
      </c>
      <c r="L12" s="231" t="s">
        <v>45</v>
      </c>
      <c r="M12" s="231"/>
      <c r="N12" s="227"/>
      <c r="P12" s="97" t="s">
        <v>41</v>
      </c>
      <c r="Q12" s="97" t="s">
        <v>67</v>
      </c>
      <c r="R12" s="97" t="s">
        <v>68</v>
      </c>
      <c r="S12" s="97" t="s">
        <v>18</v>
      </c>
      <c r="U12" s="97" t="s">
        <v>6</v>
      </c>
      <c r="V12" s="97" t="str">
        <f t="shared" ref="V12:V75" si="0">IFERROR(IF(AND(MONTH(K13)&gt;=6,MONTH(K13)&lt;=9),"Summer","Winter"),"-")</f>
        <v>Winter</v>
      </c>
    </row>
    <row r="13" spans="1:29">
      <c r="B13" s="232">
        <v>46023</v>
      </c>
      <c r="C13" s="338">
        <v>1605708.5830122596</v>
      </c>
      <c r="D13" s="233">
        <f>IF(ISNUMBER($F13),VLOOKUP($J13,'Table 1'!$B$13:$G$40,2,FALSE)/12*1000*Study_MW,"")</f>
        <v>0</v>
      </c>
      <c r="E13" s="339">
        <f t="shared" ref="E13" si="1">IF(ISNUMBER(C13+D13),C13+D13,"")</f>
        <v>1605708.5830122596</v>
      </c>
      <c r="F13" s="340">
        <v>74400</v>
      </c>
      <c r="G13" s="235">
        <f t="shared" ref="G13" si="2">IF(ISNUMBER($F13),E13/$F13,"")</f>
        <v>21.582104610379833</v>
      </c>
      <c r="I13" s="341">
        <f>(YEAR(B13)-2025)*13+1</f>
        <v>14</v>
      </c>
      <c r="J13" s="237">
        <f>YEAR(B13)</f>
        <v>2026</v>
      </c>
      <c r="K13" s="232">
        <f t="shared" ref="K13:K24" si="3">IF(ISNUMBER(F13),B13,"")</f>
        <v>46023</v>
      </c>
      <c r="L13" s="97">
        <v>840</v>
      </c>
      <c r="M13" s="216" t="s">
        <v>122</v>
      </c>
      <c r="V13" s="97" t="str">
        <f t="shared" si="0"/>
        <v>Winter</v>
      </c>
      <c r="AA13" s="337">
        <f t="shared" ref="AA13:AA76" si="4">Inflation</f>
        <v>2.18E-2</v>
      </c>
      <c r="AB13" s="336">
        <f>IF($AB$8="Solar",IFERROR(IF(J13&gt;$AC$1,-0.005,0),#REF!),0)</f>
        <v>0</v>
      </c>
    </row>
    <row r="14" spans="1:29">
      <c r="B14" s="238">
        <f t="shared" ref="B14:B77" si="5">EDATE(B13,1)</f>
        <v>46054</v>
      </c>
      <c r="C14" s="342">
        <v>1392653.723348958</v>
      </c>
      <c r="D14" s="234">
        <f>IF(ISNUMBER($F14),VLOOKUP($J14,'Table 1'!$B$13:$G$40,2,FALSE)/12*1000*Study_MW,"")</f>
        <v>0</v>
      </c>
      <c r="E14" s="234">
        <f t="shared" ref="E14:E77" si="6">IF(ISNUMBER(C14+D14),C14+D14,"")</f>
        <v>1392653.723348958</v>
      </c>
      <c r="F14" s="342">
        <v>67199.999999999985</v>
      </c>
      <c r="G14" s="239">
        <f t="shared" ref="G14:G77" si="7">IF(ISNUMBER($F14),E14/$F14,"")</f>
        <v>20.724013740311879</v>
      </c>
      <c r="I14" s="240">
        <f>I13+1</f>
        <v>15</v>
      </c>
      <c r="J14" s="237">
        <f t="shared" ref="J14:J77" si="8">YEAR(B14)</f>
        <v>2026</v>
      </c>
      <c r="K14" s="238">
        <f t="shared" si="3"/>
        <v>46054</v>
      </c>
      <c r="L14" s="97">
        <v>1151</v>
      </c>
      <c r="M14" s="241" t="s">
        <v>301</v>
      </c>
      <c r="V14" s="97" t="str">
        <f t="shared" si="0"/>
        <v>Winter</v>
      </c>
      <c r="AA14" s="337">
        <f t="shared" si="4"/>
        <v>2.18E-2</v>
      </c>
      <c r="AB14" s="336">
        <f t="shared" ref="AB14:AB77" si="9">IF($AB$8="Solar",IFERROR(IF(J14&gt;$AC$1,-0.005,0),AB2),0)</f>
        <v>0</v>
      </c>
    </row>
    <row r="15" spans="1:29">
      <c r="B15" s="238">
        <f t="shared" si="5"/>
        <v>46082</v>
      </c>
      <c r="C15" s="342">
        <v>1075527.3897293301</v>
      </c>
      <c r="D15" s="234">
        <f>IF(ISNUMBER($F15),VLOOKUP($J15,'Table 1'!$B$13:$G$40,2,FALSE)/12*1000*Study_MW,"")</f>
        <v>0</v>
      </c>
      <c r="E15" s="234">
        <f t="shared" si="6"/>
        <v>1075527.3897293301</v>
      </c>
      <c r="F15" s="342">
        <v>74400</v>
      </c>
      <c r="G15" s="239">
        <f t="shared" si="7"/>
        <v>14.456013302813576</v>
      </c>
      <c r="I15" s="240">
        <f t="shared" ref="I15:I24" si="10">I14+1</f>
        <v>16</v>
      </c>
      <c r="J15" s="237">
        <f t="shared" si="8"/>
        <v>2026</v>
      </c>
      <c r="K15" s="238">
        <f t="shared" si="3"/>
        <v>46082</v>
      </c>
      <c r="V15" s="97" t="str">
        <f t="shared" si="0"/>
        <v>Winter</v>
      </c>
      <c r="AA15" s="337">
        <f t="shared" si="4"/>
        <v>2.18E-2</v>
      </c>
      <c r="AB15" s="336">
        <f t="shared" si="9"/>
        <v>0</v>
      </c>
    </row>
    <row r="16" spans="1:29">
      <c r="B16" s="238">
        <f t="shared" si="5"/>
        <v>46113</v>
      </c>
      <c r="C16" s="342">
        <v>970495.57823681249</v>
      </c>
      <c r="D16" s="234">
        <f>IF(ISNUMBER($F16),VLOOKUP($J16,'Table 1'!$B$13:$G$40,2,FALSE)/12*1000*Study_MW,"")</f>
        <v>0</v>
      </c>
      <c r="E16" s="234">
        <f t="shared" si="6"/>
        <v>970495.57823681249</v>
      </c>
      <c r="F16" s="342">
        <v>72000</v>
      </c>
      <c r="G16" s="239">
        <f t="shared" si="7"/>
        <v>13.479105253289063</v>
      </c>
      <c r="I16" s="240">
        <f t="shared" si="10"/>
        <v>17</v>
      </c>
      <c r="J16" s="237">
        <f t="shared" si="8"/>
        <v>2026</v>
      </c>
      <c r="K16" s="238">
        <f t="shared" si="3"/>
        <v>46113</v>
      </c>
      <c r="L16" s="237">
        <f>YEAR(B13)</f>
        <v>2026</v>
      </c>
      <c r="M16" s="97">
        <f>SUMIF($J$13:$J$264,L16,$C$13:$C$264)</f>
        <v>20446294.041820873</v>
      </c>
      <c r="N16" s="97">
        <f>SUMIF($J$13:$J$264,L16,$D$13:$D$264)</f>
        <v>0</v>
      </c>
      <c r="O16" s="97">
        <f t="shared" ref="O16:O25" si="11">SUMIF($J$13:$J$264,L16,$F$13:$F$264)</f>
        <v>876000</v>
      </c>
      <c r="P16" s="242">
        <f t="shared" ref="P16:P25" si="12">(M16+N16)/O16</f>
        <v>23.340518312580905</v>
      </c>
      <c r="Q16" s="243">
        <f>M16/O16</f>
        <v>23.340518312580905</v>
      </c>
      <c r="R16" s="243">
        <f>IFERROR(N16/O16,0)</f>
        <v>0</v>
      </c>
      <c r="S16" s="97">
        <f t="shared" ref="S16:S41" si="13">SUMIFS($C$13:$C$276,$J$13:$J$276,L16,$V$12:$V$275,"Summer")</f>
        <v>8587472.5874007717</v>
      </c>
      <c r="U16" s="97">
        <f>SUMIFS($D$13:$D$276,$J$13:$J$276,L16,$V$12:$V$275,"Summer")</f>
        <v>0</v>
      </c>
      <c r="V16" s="97" t="str">
        <f t="shared" si="0"/>
        <v>Winter</v>
      </c>
      <c r="AA16" s="337">
        <f t="shared" si="4"/>
        <v>2.18E-2</v>
      </c>
      <c r="AB16" s="336">
        <f t="shared" si="9"/>
        <v>0</v>
      </c>
    </row>
    <row r="17" spans="2:28">
      <c r="B17" s="238">
        <f t="shared" si="5"/>
        <v>46143</v>
      </c>
      <c r="C17" s="342">
        <v>1215334.6194347031</v>
      </c>
      <c r="D17" s="234">
        <f>IF(ISNUMBER($F17),VLOOKUP($J17,'Table 1'!$B$13:$G$40,2,FALSE)/12*1000*Study_MW,"")</f>
        <v>0</v>
      </c>
      <c r="E17" s="234">
        <f t="shared" si="6"/>
        <v>1215334.6194347031</v>
      </c>
      <c r="F17" s="342">
        <v>74400</v>
      </c>
      <c r="G17" s="239">
        <f t="shared" si="7"/>
        <v>16.335142734337406</v>
      </c>
      <c r="I17" s="240">
        <f t="shared" si="10"/>
        <v>18</v>
      </c>
      <c r="J17" s="237">
        <f t="shared" si="8"/>
        <v>2026</v>
      </c>
      <c r="K17" s="238">
        <f t="shared" si="3"/>
        <v>46143</v>
      </c>
      <c r="L17" s="237">
        <f>L16+1</f>
        <v>2027</v>
      </c>
      <c r="M17" s="97">
        <f>SUMIF($J$13:$J$264,L17,$C$13:$C$264)</f>
        <v>23999501.457863994</v>
      </c>
      <c r="N17" s="97">
        <f t="shared" ref="N17:N36" si="14">SUMIF($J$13:$J$264,L17,$D$13:$D$264)</f>
        <v>0</v>
      </c>
      <c r="O17" s="97">
        <f t="shared" si="11"/>
        <v>876000</v>
      </c>
      <c r="P17" s="242">
        <f t="shared" si="12"/>
        <v>27.396691161945199</v>
      </c>
      <c r="Q17" s="243">
        <f t="shared" ref="Q17:Q33" si="15">M17/O17</f>
        <v>27.396691161945199</v>
      </c>
      <c r="R17" s="243">
        <f t="shared" ref="R17:R33" si="16">IFERROR(N17/O17,0)</f>
        <v>0</v>
      </c>
      <c r="S17" s="97">
        <f t="shared" si="13"/>
        <v>9055747.9045094959</v>
      </c>
      <c r="U17" s="97">
        <f t="shared" ref="U17:U41" si="17">SUMIFS($D$13:$D$276,$J$13:$J$276,L17,$V$12:$V$275,"Summer")</f>
        <v>0</v>
      </c>
      <c r="V17" s="97" t="str">
        <f t="shared" si="0"/>
        <v>Summer</v>
      </c>
      <c r="AA17" s="337">
        <f t="shared" si="4"/>
        <v>2.18E-2</v>
      </c>
      <c r="AB17" s="336">
        <f t="shared" si="9"/>
        <v>0</v>
      </c>
    </row>
    <row r="18" spans="2:28">
      <c r="B18" s="238">
        <f t="shared" si="5"/>
        <v>46174</v>
      </c>
      <c r="C18" s="342">
        <v>1459709.8592410185</v>
      </c>
      <c r="D18" s="234">
        <f>IF(ISNUMBER($F18),VLOOKUP($J18,'Table 1'!$B$13:$G$40,2,FALSE)/12*1000*Study_MW,"")</f>
        <v>0</v>
      </c>
      <c r="E18" s="234">
        <f t="shared" si="6"/>
        <v>1459709.8592410185</v>
      </c>
      <c r="F18" s="342">
        <v>72000</v>
      </c>
      <c r="G18" s="239">
        <f t="shared" si="7"/>
        <v>20.273748045014145</v>
      </c>
      <c r="I18" s="240">
        <f t="shared" si="10"/>
        <v>19</v>
      </c>
      <c r="J18" s="237">
        <f t="shared" si="8"/>
        <v>2026</v>
      </c>
      <c r="K18" s="238">
        <f t="shared" si="3"/>
        <v>46174</v>
      </c>
      <c r="L18" s="237">
        <f t="shared" ref="L18:L42" si="18">L17+1</f>
        <v>2028</v>
      </c>
      <c r="M18" s="97">
        <f t="shared" ref="M18:M36" si="19">SUMIF($J$13:$J$264,L18,$C$13:$C$264)</f>
        <v>25794172.65497442</v>
      </c>
      <c r="N18" s="97">
        <f t="shared" si="14"/>
        <v>0</v>
      </c>
      <c r="O18" s="97">
        <f t="shared" si="11"/>
        <v>878400</v>
      </c>
      <c r="P18" s="242">
        <f t="shared" si="12"/>
        <v>29.364950654570151</v>
      </c>
      <c r="Q18" s="243">
        <f t="shared" si="15"/>
        <v>29.364950654570151</v>
      </c>
      <c r="R18" s="243">
        <f t="shared" si="16"/>
        <v>0</v>
      </c>
      <c r="S18" s="97">
        <f t="shared" si="13"/>
        <v>9625837.2248044107</v>
      </c>
      <c r="U18" s="97">
        <f t="shared" si="17"/>
        <v>0</v>
      </c>
      <c r="V18" s="97" t="str">
        <f t="shared" si="0"/>
        <v>Summer</v>
      </c>
      <c r="AA18" s="337">
        <f t="shared" si="4"/>
        <v>2.18E-2</v>
      </c>
      <c r="AB18" s="336">
        <f t="shared" si="9"/>
        <v>0</v>
      </c>
    </row>
    <row r="19" spans="2:28">
      <c r="B19" s="238">
        <f t="shared" si="5"/>
        <v>46204</v>
      </c>
      <c r="C19" s="342">
        <v>2413918.7028125743</v>
      </c>
      <c r="D19" s="234">
        <f>IF(ISNUMBER($F19),VLOOKUP($J19,'Table 1'!$B$13:$G$40,2,FALSE)/12*1000*Study_MW,"")</f>
        <v>0</v>
      </c>
      <c r="E19" s="234">
        <f t="shared" si="6"/>
        <v>2413918.7028125743</v>
      </c>
      <c r="F19" s="342">
        <v>74400</v>
      </c>
      <c r="G19" s="239">
        <f t="shared" si="7"/>
        <v>32.445143855007721</v>
      </c>
      <c r="I19" s="240">
        <f t="shared" si="10"/>
        <v>20</v>
      </c>
      <c r="J19" s="237">
        <f t="shared" si="8"/>
        <v>2026</v>
      </c>
      <c r="K19" s="238">
        <f t="shared" si="3"/>
        <v>46204</v>
      </c>
      <c r="L19" s="237">
        <f t="shared" si="18"/>
        <v>2029</v>
      </c>
      <c r="M19" s="97">
        <f t="shared" si="19"/>
        <v>29844766.074652642</v>
      </c>
      <c r="N19" s="97">
        <f t="shared" si="14"/>
        <v>0</v>
      </c>
      <c r="O19" s="97">
        <f t="shared" si="11"/>
        <v>876000</v>
      </c>
      <c r="P19" s="242">
        <f t="shared" si="12"/>
        <v>34.069367665128588</v>
      </c>
      <c r="Q19" s="243">
        <f t="shared" si="15"/>
        <v>34.069367665128588</v>
      </c>
      <c r="R19" s="243">
        <f t="shared" si="16"/>
        <v>0</v>
      </c>
      <c r="S19" s="97">
        <f t="shared" si="13"/>
        <v>11590282.645163687</v>
      </c>
      <c r="U19" s="97">
        <f t="shared" si="17"/>
        <v>0</v>
      </c>
      <c r="V19" s="97" t="str">
        <f t="shared" si="0"/>
        <v>Summer</v>
      </c>
      <c r="AA19" s="337">
        <f t="shared" si="4"/>
        <v>2.18E-2</v>
      </c>
      <c r="AB19" s="336">
        <f t="shared" si="9"/>
        <v>0</v>
      </c>
    </row>
    <row r="20" spans="2:28">
      <c r="B20" s="238">
        <f t="shared" si="5"/>
        <v>46235</v>
      </c>
      <c r="C20" s="342">
        <v>2815519.4297611015</v>
      </c>
      <c r="D20" s="234">
        <f>IF(ISNUMBER($F20),VLOOKUP($J20,'Table 1'!$B$13:$G$40,2,FALSE)/12*1000*Study_MW,"")</f>
        <v>0</v>
      </c>
      <c r="E20" s="234">
        <f t="shared" si="6"/>
        <v>2815519.4297611015</v>
      </c>
      <c r="F20" s="342">
        <v>74400</v>
      </c>
      <c r="G20" s="239">
        <f t="shared" si="7"/>
        <v>37.843003088186848</v>
      </c>
      <c r="I20" s="240">
        <f t="shared" si="10"/>
        <v>21</v>
      </c>
      <c r="J20" s="237">
        <f t="shared" si="8"/>
        <v>2026</v>
      </c>
      <c r="K20" s="238">
        <f t="shared" si="3"/>
        <v>46235</v>
      </c>
      <c r="L20" s="237">
        <f t="shared" si="18"/>
        <v>2030</v>
      </c>
      <c r="M20" s="97">
        <f t="shared" si="19"/>
        <v>31822688.596267276</v>
      </c>
      <c r="N20" s="97">
        <f t="shared" si="14"/>
        <v>0</v>
      </c>
      <c r="O20" s="97">
        <f t="shared" si="11"/>
        <v>876000</v>
      </c>
      <c r="P20" s="242">
        <f t="shared" si="12"/>
        <v>36.327270087063098</v>
      </c>
      <c r="Q20" s="243">
        <f t="shared" si="15"/>
        <v>36.327270087063098</v>
      </c>
      <c r="R20" s="243">
        <f t="shared" si="16"/>
        <v>0</v>
      </c>
      <c r="S20" s="97">
        <f t="shared" si="13"/>
        <v>12865233.68274557</v>
      </c>
      <c r="U20" s="97">
        <f t="shared" si="17"/>
        <v>0</v>
      </c>
      <c r="V20" s="97" t="str">
        <f t="shared" si="0"/>
        <v>Summer</v>
      </c>
      <c r="AA20" s="337">
        <f t="shared" si="4"/>
        <v>2.18E-2</v>
      </c>
      <c r="AB20" s="336">
        <f t="shared" si="9"/>
        <v>0</v>
      </c>
    </row>
    <row r="21" spans="2:28">
      <c r="B21" s="238">
        <f t="shared" si="5"/>
        <v>46266</v>
      </c>
      <c r="C21" s="342">
        <v>1898324.5955860766</v>
      </c>
      <c r="D21" s="234">
        <f>IF(ISNUMBER($F21),VLOOKUP($J21,'Table 1'!$B$13:$G$40,2,FALSE)/12*1000*Study_MW,"")</f>
        <v>0</v>
      </c>
      <c r="E21" s="234">
        <f t="shared" si="6"/>
        <v>1898324.5955860766</v>
      </c>
      <c r="F21" s="342">
        <v>72000</v>
      </c>
      <c r="G21" s="239">
        <f t="shared" si="7"/>
        <v>26.365619383139954</v>
      </c>
      <c r="I21" s="240">
        <f t="shared" si="10"/>
        <v>22</v>
      </c>
      <c r="J21" s="237">
        <f t="shared" si="8"/>
        <v>2026</v>
      </c>
      <c r="K21" s="238">
        <f t="shared" si="3"/>
        <v>46266</v>
      </c>
      <c r="L21" s="237">
        <f t="shared" si="18"/>
        <v>2031</v>
      </c>
      <c r="M21" s="97">
        <f t="shared" si="19"/>
        <v>35278972.277828552</v>
      </c>
      <c r="N21" s="97">
        <f t="shared" si="14"/>
        <v>0</v>
      </c>
      <c r="O21" s="97">
        <f t="shared" si="11"/>
        <v>876000</v>
      </c>
      <c r="P21" s="242">
        <f t="shared" si="12"/>
        <v>40.272799403913872</v>
      </c>
      <c r="Q21" s="243">
        <f t="shared" si="15"/>
        <v>40.272799403913872</v>
      </c>
      <c r="R21" s="243">
        <f t="shared" si="16"/>
        <v>0</v>
      </c>
      <c r="S21" s="97">
        <f t="shared" si="13"/>
        <v>13422224.588234762</v>
      </c>
      <c r="U21" s="97">
        <f t="shared" si="17"/>
        <v>0</v>
      </c>
      <c r="V21" s="97" t="str">
        <f t="shared" si="0"/>
        <v>Winter</v>
      </c>
      <c r="AA21" s="337">
        <f t="shared" si="4"/>
        <v>2.18E-2</v>
      </c>
      <c r="AB21" s="336">
        <f t="shared" si="9"/>
        <v>0</v>
      </c>
    </row>
    <row r="22" spans="2:28">
      <c r="B22" s="238">
        <f t="shared" si="5"/>
        <v>46296</v>
      </c>
      <c r="C22" s="342">
        <v>1446420.2723254347</v>
      </c>
      <c r="D22" s="234">
        <f>IF(ISNUMBER($F22),VLOOKUP($J22,'Table 1'!$B$13:$G$40,2,FALSE)/12*1000*Study_MW,"")</f>
        <v>0</v>
      </c>
      <c r="E22" s="234">
        <f t="shared" si="6"/>
        <v>1446420.2723254347</v>
      </c>
      <c r="F22" s="342">
        <v>74400</v>
      </c>
      <c r="G22" s="239">
        <f t="shared" si="7"/>
        <v>19.441132692546166</v>
      </c>
      <c r="I22" s="240">
        <f t="shared" si="10"/>
        <v>23</v>
      </c>
      <c r="J22" s="237">
        <f t="shared" si="8"/>
        <v>2026</v>
      </c>
      <c r="K22" s="238">
        <f t="shared" si="3"/>
        <v>46296</v>
      </c>
      <c r="L22" s="237">
        <f t="shared" si="18"/>
        <v>2032</v>
      </c>
      <c r="M22" s="97">
        <f t="shared" si="19"/>
        <v>33365915.890192866</v>
      </c>
      <c r="N22" s="97">
        <f t="shared" si="14"/>
        <v>0</v>
      </c>
      <c r="O22" s="97">
        <f t="shared" si="11"/>
        <v>878400</v>
      </c>
      <c r="P22" s="242">
        <f t="shared" si="12"/>
        <v>37.984876924172205</v>
      </c>
      <c r="Q22" s="243">
        <f t="shared" si="15"/>
        <v>37.984876924172205</v>
      </c>
      <c r="R22" s="243">
        <f t="shared" si="16"/>
        <v>0</v>
      </c>
      <c r="S22" s="97">
        <f t="shared" si="13"/>
        <v>12778367.391206186</v>
      </c>
      <c r="U22" s="97">
        <f t="shared" si="17"/>
        <v>0</v>
      </c>
      <c r="V22" s="97" t="str">
        <f t="shared" si="0"/>
        <v>Winter</v>
      </c>
      <c r="AA22" s="337">
        <f t="shared" si="4"/>
        <v>2.18E-2</v>
      </c>
      <c r="AB22" s="336">
        <f t="shared" si="9"/>
        <v>0</v>
      </c>
    </row>
    <row r="23" spans="2:28">
      <c r="B23" s="238">
        <f t="shared" si="5"/>
        <v>46327</v>
      </c>
      <c r="C23" s="342">
        <v>1905566.6163314527</v>
      </c>
      <c r="D23" s="234">
        <f>IF(ISNUMBER($F23),VLOOKUP($J23,'Table 1'!$B$13:$G$40,2,FALSE)/12*1000*Study_MW,"")</f>
        <v>0</v>
      </c>
      <c r="E23" s="234">
        <f t="shared" si="6"/>
        <v>1905566.6163314527</v>
      </c>
      <c r="F23" s="342">
        <v>72000</v>
      </c>
      <c r="G23" s="239">
        <f t="shared" si="7"/>
        <v>26.466203004603511</v>
      </c>
      <c r="I23" s="240">
        <f t="shared" si="10"/>
        <v>24</v>
      </c>
      <c r="J23" s="237">
        <f t="shared" si="8"/>
        <v>2026</v>
      </c>
      <c r="K23" s="238">
        <f t="shared" si="3"/>
        <v>46327</v>
      </c>
      <c r="L23" s="237">
        <f t="shared" si="18"/>
        <v>2033</v>
      </c>
      <c r="M23" s="97">
        <f t="shared" si="19"/>
        <v>32749507.804899618</v>
      </c>
      <c r="N23" s="97">
        <f t="shared" si="14"/>
        <v>0</v>
      </c>
      <c r="O23" s="97">
        <f t="shared" si="11"/>
        <v>876000</v>
      </c>
      <c r="P23" s="242">
        <f t="shared" si="12"/>
        <v>37.385282882305503</v>
      </c>
      <c r="Q23" s="243">
        <f t="shared" si="15"/>
        <v>37.385282882305503</v>
      </c>
      <c r="R23" s="243">
        <f t="shared" si="16"/>
        <v>0</v>
      </c>
      <c r="S23" s="97">
        <f t="shared" si="13"/>
        <v>12620622.792926321</v>
      </c>
      <c r="T23" s="36"/>
      <c r="U23" s="97">
        <f t="shared" si="17"/>
        <v>0</v>
      </c>
      <c r="V23" s="97" t="str">
        <f t="shared" si="0"/>
        <v>Winter</v>
      </c>
      <c r="AA23" s="337">
        <f t="shared" si="4"/>
        <v>2.18E-2</v>
      </c>
      <c r="AB23" s="336">
        <f t="shared" si="9"/>
        <v>0</v>
      </c>
    </row>
    <row r="24" spans="2:28">
      <c r="B24" s="244">
        <f t="shared" si="5"/>
        <v>46357</v>
      </c>
      <c r="C24" s="343">
        <v>2247114.6720011495</v>
      </c>
      <c r="D24" s="245">
        <f>IF(ISNUMBER($F24),VLOOKUP($J24,'Table 1'!$B$13:$G$40,2,FALSE)/12*1000*Study_MW,"")</f>
        <v>0</v>
      </c>
      <c r="E24" s="245">
        <f t="shared" si="6"/>
        <v>2247114.6720011495</v>
      </c>
      <c r="F24" s="343">
        <v>74400.000000000015</v>
      </c>
      <c r="G24" s="246">
        <f t="shared" si="7"/>
        <v>30.203154193563833</v>
      </c>
      <c r="I24" s="247">
        <f t="shared" si="10"/>
        <v>25</v>
      </c>
      <c r="J24" s="237">
        <f t="shared" si="8"/>
        <v>2026</v>
      </c>
      <c r="K24" s="244">
        <f t="shared" si="3"/>
        <v>46357</v>
      </c>
      <c r="L24" s="237">
        <f t="shared" si="18"/>
        <v>2034</v>
      </c>
      <c r="M24" s="97">
        <f t="shared" si="19"/>
        <v>33525720.66126838</v>
      </c>
      <c r="N24" s="97">
        <f t="shared" si="14"/>
        <v>0</v>
      </c>
      <c r="O24" s="97">
        <f t="shared" si="11"/>
        <v>876000</v>
      </c>
      <c r="P24" s="242">
        <f t="shared" si="12"/>
        <v>38.271370617886276</v>
      </c>
      <c r="Q24" s="243">
        <f t="shared" si="15"/>
        <v>38.271370617886276</v>
      </c>
      <c r="R24" s="243">
        <f t="shared" si="16"/>
        <v>0</v>
      </c>
      <c r="S24" s="97">
        <f t="shared" si="13"/>
        <v>13199836.603236185</v>
      </c>
      <c r="U24" s="97">
        <f t="shared" si="17"/>
        <v>0</v>
      </c>
      <c r="V24" s="97" t="str">
        <f t="shared" si="0"/>
        <v>Winter</v>
      </c>
      <c r="AA24" s="337">
        <f t="shared" si="4"/>
        <v>2.18E-2</v>
      </c>
      <c r="AB24" s="336">
        <f t="shared" si="9"/>
        <v>0</v>
      </c>
    </row>
    <row r="25" spans="2:28">
      <c r="B25" s="232">
        <f t="shared" si="5"/>
        <v>46388</v>
      </c>
      <c r="C25" s="338">
        <v>2496954.8911727616</v>
      </c>
      <c r="D25" s="233">
        <f>IF(ISNUMBER($F25),VLOOKUP($J25,'Table 1'!$B$13:$G$40,2,FALSE)/12*1000*Study_MW,"")</f>
        <v>0</v>
      </c>
      <c r="E25" s="233">
        <f t="shared" si="6"/>
        <v>2496954.8911727616</v>
      </c>
      <c r="F25" s="338">
        <v>74400</v>
      </c>
      <c r="G25" s="235">
        <f t="shared" si="7"/>
        <v>33.561221655547868</v>
      </c>
      <c r="I25" s="236">
        <f>I13+13</f>
        <v>27</v>
      </c>
      <c r="J25" s="237">
        <f t="shared" si="8"/>
        <v>2027</v>
      </c>
      <c r="K25" s="232">
        <f>IF(ISNUMBER(F25),IF(F25&lt;&gt;0,B25,""),"")</f>
        <v>46388</v>
      </c>
      <c r="L25" s="237">
        <f t="shared" si="18"/>
        <v>2035</v>
      </c>
      <c r="M25" s="97">
        <f t="shared" si="19"/>
        <v>34975408.688394949</v>
      </c>
      <c r="N25" s="97">
        <f t="shared" si="14"/>
        <v>0</v>
      </c>
      <c r="O25" s="97">
        <f t="shared" si="11"/>
        <v>876000</v>
      </c>
      <c r="P25" s="242">
        <f t="shared" si="12"/>
        <v>39.926265626021632</v>
      </c>
      <c r="Q25" s="243">
        <f t="shared" si="15"/>
        <v>39.926265626021632</v>
      </c>
      <c r="R25" s="243">
        <f t="shared" si="16"/>
        <v>0</v>
      </c>
      <c r="S25" s="97">
        <f t="shared" si="13"/>
        <v>13329470.701654697</v>
      </c>
      <c r="U25" s="97">
        <f t="shared" si="17"/>
        <v>0</v>
      </c>
      <c r="V25" s="97" t="str">
        <f t="shared" si="0"/>
        <v>Winter</v>
      </c>
      <c r="AA25" s="337">
        <f t="shared" si="4"/>
        <v>2.18E-2</v>
      </c>
      <c r="AB25" s="336">
        <f t="shared" si="9"/>
        <v>0</v>
      </c>
    </row>
    <row r="26" spans="2:28">
      <c r="B26" s="238">
        <f t="shared" si="5"/>
        <v>46419</v>
      </c>
      <c r="C26" s="342">
        <v>1973296.3100005146</v>
      </c>
      <c r="D26" s="234">
        <f>IF(ISNUMBER($F26),VLOOKUP($J26,'Table 1'!$B$13:$G$40,2,FALSE)/12*1000*Study_MW,"")</f>
        <v>0</v>
      </c>
      <c r="E26" s="234">
        <f t="shared" si="6"/>
        <v>1973296.3100005146</v>
      </c>
      <c r="F26" s="342">
        <v>67199.999999999985</v>
      </c>
      <c r="G26" s="239">
        <f t="shared" si="7"/>
        <v>29.364528422626712</v>
      </c>
      <c r="I26" s="240">
        <f t="shared" ref="I26:I89" si="20">I14+13</f>
        <v>28</v>
      </c>
      <c r="J26" s="237">
        <f t="shared" si="8"/>
        <v>2027</v>
      </c>
      <c r="K26" s="238">
        <f t="shared" ref="K26:K89" si="21">IF(ISNUMBER(F26),IF(F26&lt;&gt;0,B26,""),"")</f>
        <v>46419</v>
      </c>
      <c r="L26" s="237">
        <f t="shared" si="18"/>
        <v>2036</v>
      </c>
      <c r="M26" s="97">
        <f t="shared" si="19"/>
        <v>21015516.318562321</v>
      </c>
      <c r="N26" s="97">
        <f t="shared" si="14"/>
        <v>0</v>
      </c>
      <c r="O26" s="97">
        <f>SUMIF($J$13:$J$264,L26,$F$13:$F$264)</f>
        <v>878400</v>
      </c>
      <c r="P26" s="242">
        <f>(M26+N26)/O26</f>
        <v>23.924768122224865</v>
      </c>
      <c r="Q26" s="243">
        <f t="shared" si="15"/>
        <v>23.924768122224865</v>
      </c>
      <c r="R26" s="243">
        <f t="shared" si="16"/>
        <v>0</v>
      </c>
      <c r="S26" s="97">
        <f t="shared" si="13"/>
        <v>9900972.0748237744</v>
      </c>
      <c r="U26" s="97">
        <f t="shared" si="17"/>
        <v>0</v>
      </c>
      <c r="V26" s="97" t="str">
        <f t="shared" si="0"/>
        <v>Winter</v>
      </c>
      <c r="AA26" s="337">
        <f t="shared" si="4"/>
        <v>2.18E-2</v>
      </c>
      <c r="AB26" s="336">
        <f t="shared" si="9"/>
        <v>0</v>
      </c>
    </row>
    <row r="27" spans="2:28">
      <c r="B27" s="238">
        <f t="shared" si="5"/>
        <v>46447</v>
      </c>
      <c r="C27" s="342">
        <v>1392801.6543096928</v>
      </c>
      <c r="D27" s="234">
        <f>IF(ISNUMBER($F27),VLOOKUP($J27,'Table 1'!$B$13:$G$40,2,FALSE)/12*1000*Study_MW,"")</f>
        <v>0</v>
      </c>
      <c r="E27" s="234">
        <f t="shared" si="6"/>
        <v>1392801.6543096928</v>
      </c>
      <c r="F27" s="342">
        <v>74400</v>
      </c>
      <c r="G27" s="239">
        <f t="shared" si="7"/>
        <v>18.720452342872214</v>
      </c>
      <c r="I27" s="240">
        <f t="shared" si="20"/>
        <v>29</v>
      </c>
      <c r="J27" s="237">
        <f t="shared" si="8"/>
        <v>2027</v>
      </c>
      <c r="K27" s="238">
        <f t="shared" si="21"/>
        <v>46447</v>
      </c>
      <c r="L27" s="237">
        <f t="shared" si="18"/>
        <v>2037</v>
      </c>
      <c r="M27" s="97">
        <f t="shared" si="19"/>
        <v>23754355.839482382</v>
      </c>
      <c r="N27" s="97">
        <f t="shared" si="14"/>
        <v>0</v>
      </c>
      <c r="O27" s="97">
        <f t="shared" ref="O27:O31" si="22">SUMIF($J$13:$J$264,L27,$F$13:$F$264)</f>
        <v>876000</v>
      </c>
      <c r="P27" s="242">
        <f t="shared" ref="P27:P31" si="23">(M27+N27)/O27</f>
        <v>27.116844565619157</v>
      </c>
      <c r="Q27" s="243">
        <f t="shared" si="15"/>
        <v>27.116844565619157</v>
      </c>
      <c r="R27" s="243">
        <f t="shared" si="16"/>
        <v>0</v>
      </c>
      <c r="S27" s="97">
        <f t="shared" si="13"/>
        <v>10482059.96546692</v>
      </c>
      <c r="U27" s="97">
        <f t="shared" si="17"/>
        <v>0</v>
      </c>
      <c r="V27" s="97" t="str">
        <f t="shared" si="0"/>
        <v>Winter</v>
      </c>
      <c r="AA27" s="337">
        <f t="shared" si="4"/>
        <v>2.18E-2</v>
      </c>
      <c r="AB27" s="336">
        <f t="shared" si="9"/>
        <v>0</v>
      </c>
    </row>
    <row r="28" spans="2:28">
      <c r="B28" s="238">
        <f t="shared" si="5"/>
        <v>46478</v>
      </c>
      <c r="C28" s="342">
        <v>1294582.8051171594</v>
      </c>
      <c r="D28" s="234">
        <f>IF(ISNUMBER($F28),VLOOKUP($J28,'Table 1'!$B$13:$G$40,2,FALSE)/12*1000*Study_MW,"")</f>
        <v>0</v>
      </c>
      <c r="E28" s="234">
        <f t="shared" si="6"/>
        <v>1294582.8051171594</v>
      </c>
      <c r="F28" s="342">
        <v>72000</v>
      </c>
      <c r="G28" s="239">
        <f t="shared" si="7"/>
        <v>17.980316737738324</v>
      </c>
      <c r="I28" s="240">
        <f t="shared" si="20"/>
        <v>30</v>
      </c>
      <c r="J28" s="237">
        <f t="shared" si="8"/>
        <v>2027</v>
      </c>
      <c r="K28" s="238">
        <f t="shared" si="21"/>
        <v>46478</v>
      </c>
      <c r="L28" s="237">
        <f t="shared" si="18"/>
        <v>2038</v>
      </c>
      <c r="M28" s="97">
        <f t="shared" si="19"/>
        <v>25771212.542392522</v>
      </c>
      <c r="N28" s="97">
        <f t="shared" si="14"/>
        <v>0</v>
      </c>
      <c r="O28" s="97">
        <f t="shared" si="22"/>
        <v>876000</v>
      </c>
      <c r="P28" s="242">
        <f t="shared" si="23"/>
        <v>29.419192399991463</v>
      </c>
      <c r="Q28" s="243">
        <f t="shared" si="15"/>
        <v>29.419192399991463</v>
      </c>
      <c r="R28" s="243">
        <f t="shared" si="16"/>
        <v>0</v>
      </c>
      <c r="S28" s="97">
        <f t="shared" si="13"/>
        <v>11062593.127553249</v>
      </c>
      <c r="U28" s="97">
        <f t="shared" si="17"/>
        <v>0</v>
      </c>
      <c r="V28" s="97" t="str">
        <f t="shared" si="0"/>
        <v>Winter</v>
      </c>
      <c r="AA28" s="337">
        <f t="shared" si="4"/>
        <v>2.18E-2</v>
      </c>
      <c r="AB28" s="336">
        <f t="shared" si="9"/>
        <v>0</v>
      </c>
    </row>
    <row r="29" spans="2:28">
      <c r="B29" s="238">
        <f t="shared" si="5"/>
        <v>46508</v>
      </c>
      <c r="C29" s="342">
        <v>1412861.3420729635</v>
      </c>
      <c r="D29" s="234">
        <f>IF(ISNUMBER($F29),VLOOKUP($J29,'Table 1'!$B$13:$G$40,2,FALSE)/12*1000*Study_MW,"")</f>
        <v>0</v>
      </c>
      <c r="E29" s="234">
        <f t="shared" si="6"/>
        <v>1412861.3420729635</v>
      </c>
      <c r="F29" s="342">
        <v>74400</v>
      </c>
      <c r="G29" s="239">
        <f t="shared" si="7"/>
        <v>18.990071802055962</v>
      </c>
      <c r="I29" s="240">
        <f t="shared" si="20"/>
        <v>31</v>
      </c>
      <c r="J29" s="237">
        <f t="shared" si="8"/>
        <v>2027</v>
      </c>
      <c r="K29" s="238">
        <f t="shared" si="21"/>
        <v>46508</v>
      </c>
      <c r="L29" s="237">
        <f t="shared" si="18"/>
        <v>2039</v>
      </c>
      <c r="M29" s="97">
        <f t="shared" si="19"/>
        <v>27412942.420951962</v>
      </c>
      <c r="N29" s="97">
        <f t="shared" si="14"/>
        <v>0</v>
      </c>
      <c r="O29" s="97">
        <f t="shared" si="22"/>
        <v>876000</v>
      </c>
      <c r="P29" s="242">
        <f t="shared" si="23"/>
        <v>31.293313265926898</v>
      </c>
      <c r="Q29" s="243">
        <f t="shared" si="15"/>
        <v>31.293313265926898</v>
      </c>
      <c r="R29" s="243">
        <f t="shared" si="16"/>
        <v>0</v>
      </c>
      <c r="S29" s="97">
        <f t="shared" si="13"/>
        <v>11554083.272511415</v>
      </c>
      <c r="U29" s="97">
        <f t="shared" si="17"/>
        <v>0</v>
      </c>
      <c r="V29" s="97" t="str">
        <f t="shared" si="0"/>
        <v>Summer</v>
      </c>
      <c r="AA29" s="337">
        <f t="shared" si="4"/>
        <v>2.18E-2</v>
      </c>
      <c r="AB29" s="336">
        <f t="shared" si="9"/>
        <v>0</v>
      </c>
    </row>
    <row r="30" spans="2:28">
      <c r="B30" s="238">
        <f t="shared" si="5"/>
        <v>46539</v>
      </c>
      <c r="C30" s="342">
        <v>1633584.5654347069</v>
      </c>
      <c r="D30" s="234">
        <f>IF(ISNUMBER($F30),VLOOKUP($J30,'Table 1'!$B$13:$G$40,2,FALSE)/12*1000*Study_MW,"")</f>
        <v>0</v>
      </c>
      <c r="E30" s="234">
        <f t="shared" si="6"/>
        <v>1633584.5654347069</v>
      </c>
      <c r="F30" s="342">
        <v>72000</v>
      </c>
      <c r="G30" s="239">
        <f t="shared" si="7"/>
        <v>22.688674519926483</v>
      </c>
      <c r="I30" s="240">
        <f t="shared" si="20"/>
        <v>32</v>
      </c>
      <c r="J30" s="237">
        <f t="shared" si="8"/>
        <v>2027</v>
      </c>
      <c r="K30" s="238">
        <f t="shared" si="21"/>
        <v>46539</v>
      </c>
      <c r="L30" s="237">
        <f t="shared" si="18"/>
        <v>2040</v>
      </c>
      <c r="M30" s="97">
        <f t="shared" si="19"/>
        <v>29234533.362334479</v>
      </c>
      <c r="N30" s="97">
        <f t="shared" si="14"/>
        <v>0</v>
      </c>
      <c r="O30" s="97">
        <f t="shared" si="22"/>
        <v>878400</v>
      </c>
      <c r="P30" s="242">
        <f t="shared" si="23"/>
        <v>33.281572589178595</v>
      </c>
      <c r="Q30" s="243">
        <f t="shared" si="15"/>
        <v>33.281572589178595</v>
      </c>
      <c r="R30" s="243">
        <f t="shared" si="16"/>
        <v>0</v>
      </c>
      <c r="S30" s="97">
        <f t="shared" si="13"/>
        <v>12137938.501162231</v>
      </c>
      <c r="U30" s="97">
        <f t="shared" si="17"/>
        <v>0</v>
      </c>
      <c r="V30" s="97" t="str">
        <f t="shared" si="0"/>
        <v>Summer</v>
      </c>
      <c r="AA30" s="337">
        <f t="shared" si="4"/>
        <v>2.18E-2</v>
      </c>
      <c r="AB30" s="336">
        <f t="shared" si="9"/>
        <v>0</v>
      </c>
    </row>
    <row r="31" spans="2:28">
      <c r="B31" s="238">
        <f t="shared" si="5"/>
        <v>46569</v>
      </c>
      <c r="C31" s="342">
        <v>2521913.2692538844</v>
      </c>
      <c r="D31" s="234">
        <f>IF(ISNUMBER($F31),VLOOKUP($J31,'Table 1'!$B$13:$G$40,2,FALSE)/12*1000*Study_MW,"")</f>
        <v>0</v>
      </c>
      <c r="E31" s="234">
        <f t="shared" si="6"/>
        <v>2521913.2692538844</v>
      </c>
      <c r="F31" s="342">
        <v>74400</v>
      </c>
      <c r="G31" s="239">
        <f t="shared" si="7"/>
        <v>33.896683726530703</v>
      </c>
      <c r="I31" s="240">
        <f t="shared" si="20"/>
        <v>33</v>
      </c>
      <c r="J31" s="237">
        <f t="shared" si="8"/>
        <v>2027</v>
      </c>
      <c r="K31" s="238">
        <f t="shared" si="21"/>
        <v>46569</v>
      </c>
      <c r="L31" s="237">
        <f t="shared" si="18"/>
        <v>2041</v>
      </c>
      <c r="M31" s="97">
        <f t="shared" si="19"/>
        <v>32604626.797897771</v>
      </c>
      <c r="N31" s="97">
        <f t="shared" si="14"/>
        <v>0</v>
      </c>
      <c r="O31" s="97">
        <f t="shared" si="22"/>
        <v>876000</v>
      </c>
      <c r="P31" s="242">
        <f t="shared" si="23"/>
        <v>37.219893604906133</v>
      </c>
      <c r="Q31" s="243">
        <f t="shared" si="15"/>
        <v>37.219893604906133</v>
      </c>
      <c r="R31" s="243">
        <f t="shared" si="16"/>
        <v>0</v>
      </c>
      <c r="S31" s="97">
        <f t="shared" si="13"/>
        <v>13000002.229297554</v>
      </c>
      <c r="U31" s="97">
        <f t="shared" si="17"/>
        <v>0</v>
      </c>
      <c r="V31" s="97" t="str">
        <f t="shared" si="0"/>
        <v>Summer</v>
      </c>
      <c r="AA31" s="337">
        <f t="shared" si="4"/>
        <v>2.18E-2</v>
      </c>
      <c r="AB31" s="336">
        <f t="shared" si="9"/>
        <v>0</v>
      </c>
    </row>
    <row r="32" spans="2:28">
      <c r="B32" s="238">
        <f t="shared" si="5"/>
        <v>46600</v>
      </c>
      <c r="C32" s="342">
        <v>2834721.8695987393</v>
      </c>
      <c r="D32" s="234">
        <f>IF(ISNUMBER($F32),VLOOKUP($J32,'Table 1'!$B$13:$G$40,2,FALSE)/12*1000*Study_MW,"")</f>
        <v>0</v>
      </c>
      <c r="E32" s="234">
        <f t="shared" si="6"/>
        <v>2834721.8695987393</v>
      </c>
      <c r="F32" s="342">
        <v>74400</v>
      </c>
      <c r="G32" s="239">
        <f t="shared" si="7"/>
        <v>38.101100397832518</v>
      </c>
      <c r="I32" s="240">
        <f t="shared" si="20"/>
        <v>34</v>
      </c>
      <c r="J32" s="237">
        <f t="shared" si="8"/>
        <v>2027</v>
      </c>
      <c r="K32" s="238">
        <f t="shared" si="21"/>
        <v>46600</v>
      </c>
      <c r="L32" s="237">
        <f t="shared" si="18"/>
        <v>2042</v>
      </c>
      <c r="M32" s="97">
        <f t="shared" si="19"/>
        <v>41719533.127021253</v>
      </c>
      <c r="N32" s="97">
        <f t="shared" si="14"/>
        <v>0</v>
      </c>
      <c r="O32" s="97">
        <f t="shared" ref="O32:O35" si="24">SUMIF($J$13:$J$264,L32,$F$13:$F$264)</f>
        <v>876000</v>
      </c>
      <c r="P32" s="242">
        <f t="shared" ref="P32:P34" si="25">(M32+N32)/O32</f>
        <v>47.625037816234304</v>
      </c>
      <c r="Q32" s="243">
        <f t="shared" si="15"/>
        <v>47.625037816234304</v>
      </c>
      <c r="R32" s="243">
        <f t="shared" si="16"/>
        <v>0</v>
      </c>
      <c r="S32" s="97">
        <f t="shared" si="13"/>
        <v>15863182.009208284</v>
      </c>
      <c r="U32" s="97">
        <f t="shared" si="17"/>
        <v>0</v>
      </c>
      <c r="V32" s="97" t="str">
        <f t="shared" si="0"/>
        <v>Summer</v>
      </c>
      <c r="AA32" s="337">
        <f t="shared" si="4"/>
        <v>2.18E-2</v>
      </c>
      <c r="AB32" s="336">
        <f t="shared" si="9"/>
        <v>0</v>
      </c>
    </row>
    <row r="33" spans="2:28">
      <c r="B33" s="238">
        <f t="shared" si="5"/>
        <v>46631</v>
      </c>
      <c r="C33" s="342">
        <v>2065528.2002221649</v>
      </c>
      <c r="D33" s="234">
        <f>IF(ISNUMBER($F33),VLOOKUP($J33,'Table 1'!$B$13:$G$40,2,FALSE)/12*1000*Study_MW,"")</f>
        <v>0</v>
      </c>
      <c r="E33" s="234">
        <f t="shared" si="6"/>
        <v>2065528.2002221649</v>
      </c>
      <c r="F33" s="342">
        <v>72000</v>
      </c>
      <c r="G33" s="239">
        <f t="shared" si="7"/>
        <v>28.68789166975229</v>
      </c>
      <c r="I33" s="240">
        <f t="shared" si="20"/>
        <v>35</v>
      </c>
      <c r="J33" s="237">
        <f t="shared" si="8"/>
        <v>2027</v>
      </c>
      <c r="K33" s="238">
        <f t="shared" si="21"/>
        <v>46631</v>
      </c>
      <c r="L33" s="237">
        <f t="shared" si="18"/>
        <v>2043</v>
      </c>
      <c r="M33" s="97">
        <f t="shared" si="19"/>
        <v>43320717.900600605</v>
      </c>
      <c r="N33" s="97">
        <f t="shared" si="14"/>
        <v>0</v>
      </c>
      <c r="O33" s="97">
        <f t="shared" si="24"/>
        <v>876000</v>
      </c>
      <c r="P33" s="242">
        <f t="shared" si="25"/>
        <v>49.452874315754116</v>
      </c>
      <c r="Q33" s="243">
        <f t="shared" si="15"/>
        <v>49.452874315754116</v>
      </c>
      <c r="R33" s="243">
        <f t="shared" si="16"/>
        <v>0</v>
      </c>
      <c r="S33" s="97">
        <f t="shared" si="13"/>
        <v>16270750.802769057</v>
      </c>
      <c r="U33" s="97">
        <f t="shared" si="17"/>
        <v>0</v>
      </c>
      <c r="V33" s="97" t="str">
        <f t="shared" si="0"/>
        <v>Winter</v>
      </c>
      <c r="AA33" s="337">
        <f t="shared" si="4"/>
        <v>2.18E-2</v>
      </c>
      <c r="AB33" s="336">
        <f t="shared" si="9"/>
        <v>0</v>
      </c>
    </row>
    <row r="34" spans="2:28">
      <c r="B34" s="238">
        <f t="shared" si="5"/>
        <v>46661</v>
      </c>
      <c r="C34" s="342">
        <v>1649492.4684084391</v>
      </c>
      <c r="D34" s="234">
        <f>IF(ISNUMBER($F34),VLOOKUP($J34,'Table 1'!$B$13:$G$40,2,FALSE)/12*1000*Study_MW,"")</f>
        <v>0</v>
      </c>
      <c r="E34" s="234">
        <f t="shared" si="6"/>
        <v>1649492.4684084391</v>
      </c>
      <c r="F34" s="342">
        <v>74400</v>
      </c>
      <c r="G34" s="239">
        <f t="shared" si="7"/>
        <v>22.170597693661815</v>
      </c>
      <c r="I34" s="240">
        <f t="shared" si="20"/>
        <v>36</v>
      </c>
      <c r="J34" s="237">
        <f t="shared" si="8"/>
        <v>2027</v>
      </c>
      <c r="K34" s="238">
        <f t="shared" si="21"/>
        <v>46661</v>
      </c>
      <c r="L34" s="237">
        <f t="shared" si="18"/>
        <v>2044</v>
      </c>
      <c r="M34" s="97">
        <f t="shared" si="19"/>
        <v>44551661.639696412</v>
      </c>
      <c r="N34" s="97">
        <f t="shared" si="14"/>
        <v>0</v>
      </c>
      <c r="O34" s="97">
        <f t="shared" si="24"/>
        <v>878400</v>
      </c>
      <c r="P34" s="242">
        <f t="shared" si="25"/>
        <v>50.719104781075153</v>
      </c>
      <c r="Q34" s="243">
        <f t="shared" ref="Q34" si="26">M34/O34</f>
        <v>50.719104781075153</v>
      </c>
      <c r="R34" s="243">
        <f t="shared" ref="R34" si="27">IFERROR(N34/O34,0)</f>
        <v>0</v>
      </c>
      <c r="S34" s="97">
        <f t="shared" si="13"/>
        <v>16372412.775520463</v>
      </c>
      <c r="U34" s="97">
        <f t="shared" si="17"/>
        <v>0</v>
      </c>
      <c r="V34" s="97" t="str">
        <f t="shared" si="0"/>
        <v>Winter</v>
      </c>
      <c r="AA34" s="337">
        <f t="shared" si="4"/>
        <v>2.18E-2</v>
      </c>
      <c r="AB34" s="336">
        <f t="shared" si="9"/>
        <v>0</v>
      </c>
    </row>
    <row r="35" spans="2:28">
      <c r="B35" s="238">
        <f t="shared" si="5"/>
        <v>46692</v>
      </c>
      <c r="C35" s="342">
        <v>1941478.3388983414</v>
      </c>
      <c r="D35" s="234">
        <f>IF(ISNUMBER($F35),VLOOKUP($J35,'Table 1'!$B$13:$G$40,2,FALSE)/12*1000*Study_MW,"")</f>
        <v>0</v>
      </c>
      <c r="E35" s="234">
        <f t="shared" si="6"/>
        <v>1941478.3388983414</v>
      </c>
      <c r="F35" s="342">
        <v>72000</v>
      </c>
      <c r="G35" s="239">
        <f t="shared" si="7"/>
        <v>26.964976929143631</v>
      </c>
      <c r="I35" s="240">
        <f t="shared" si="20"/>
        <v>37</v>
      </c>
      <c r="J35" s="237">
        <f t="shared" si="8"/>
        <v>2027</v>
      </c>
      <c r="K35" s="238">
        <f t="shared" si="21"/>
        <v>46692</v>
      </c>
      <c r="L35" s="237">
        <f t="shared" si="18"/>
        <v>2045</v>
      </c>
      <c r="M35" s="97">
        <f t="shared" si="19"/>
        <v>45522887.863441788</v>
      </c>
      <c r="N35" s="97">
        <f t="shared" si="14"/>
        <v>0</v>
      </c>
      <c r="O35" s="97">
        <f t="shared" si="24"/>
        <v>871620</v>
      </c>
      <c r="P35" s="242">
        <f t="shared" ref="P35" si="28">(M35+N35)/O35</f>
        <v>52.227906499898793</v>
      </c>
      <c r="Q35" s="243">
        <f t="shared" ref="Q35" si="29">M35/O35</f>
        <v>52.227906499898793</v>
      </c>
      <c r="R35" s="243">
        <f t="shared" ref="R35" si="30">IFERROR(N35/O35,0)</f>
        <v>0</v>
      </c>
      <c r="S35" s="97">
        <f t="shared" si="13"/>
        <v>16729331.374026807</v>
      </c>
      <c r="U35" s="97">
        <f t="shared" si="17"/>
        <v>0</v>
      </c>
      <c r="V35" s="97" t="str">
        <f t="shared" si="0"/>
        <v>Winter</v>
      </c>
      <c r="AA35" s="337">
        <f t="shared" si="4"/>
        <v>2.18E-2</v>
      </c>
      <c r="AB35" s="336">
        <f t="shared" si="9"/>
        <v>0</v>
      </c>
    </row>
    <row r="36" spans="2:28">
      <c r="B36" s="244">
        <f t="shared" si="5"/>
        <v>46722</v>
      </c>
      <c r="C36" s="343">
        <v>2782285.7433746275</v>
      </c>
      <c r="D36" s="245">
        <f>IF(ISNUMBER($F36),VLOOKUP($J36,'Table 1'!$B$13:$G$40,2,FALSE)/12*1000*Study_MW,"")</f>
        <v>0</v>
      </c>
      <c r="E36" s="245">
        <f t="shared" si="6"/>
        <v>2782285.7433746275</v>
      </c>
      <c r="F36" s="343">
        <v>74400.000000000015</v>
      </c>
      <c r="G36" s="246">
        <f t="shared" si="7"/>
        <v>37.396313755035308</v>
      </c>
      <c r="I36" s="247">
        <f t="shared" si="20"/>
        <v>38</v>
      </c>
      <c r="J36" s="237">
        <f t="shared" si="8"/>
        <v>2027</v>
      </c>
      <c r="K36" s="244">
        <f t="shared" si="21"/>
        <v>46722</v>
      </c>
      <c r="L36" s="237">
        <f t="shared" si="18"/>
        <v>2046</v>
      </c>
      <c r="M36" s="97">
        <f t="shared" si="19"/>
        <v>0</v>
      </c>
      <c r="N36" s="97">
        <f t="shared" si="14"/>
        <v>0</v>
      </c>
      <c r="O36" s="97">
        <f t="shared" ref="O36" si="31">SUMIF($J$13:$J$264,L36,$F$13:$F$264)</f>
        <v>0</v>
      </c>
      <c r="P36" s="242" t="e">
        <f t="shared" ref="P36" si="32">(M36+N36)/O36</f>
        <v>#DIV/0!</v>
      </c>
      <c r="Q36" s="243" t="e">
        <f t="shared" ref="Q36" si="33">M36/O36</f>
        <v>#DIV/0!</v>
      </c>
      <c r="R36" s="243">
        <f t="shared" ref="R36" si="34">IFERROR(N36/O36,0)</f>
        <v>0</v>
      </c>
      <c r="S36" s="97">
        <f t="shared" si="13"/>
        <v>0</v>
      </c>
      <c r="U36" s="97">
        <f t="shared" si="17"/>
        <v>0</v>
      </c>
      <c r="V36" s="97" t="str">
        <f t="shared" si="0"/>
        <v>Winter</v>
      </c>
      <c r="AA36" s="337">
        <f t="shared" si="4"/>
        <v>2.18E-2</v>
      </c>
      <c r="AB36" s="336">
        <f t="shared" si="9"/>
        <v>0</v>
      </c>
    </row>
    <row r="37" spans="2:28" outlineLevel="1">
      <c r="B37" s="232">
        <f t="shared" si="5"/>
        <v>46753</v>
      </c>
      <c r="C37" s="338">
        <v>2913734.916223486</v>
      </c>
      <c r="D37" s="233">
        <f>IF(ISNUMBER($F37),VLOOKUP($J37,'Table 1'!$B$13:$G$40,2,FALSE)/12*1000*Study_MW,"")</f>
        <v>0</v>
      </c>
      <c r="E37" s="233">
        <f t="shared" si="6"/>
        <v>2913734.916223486</v>
      </c>
      <c r="F37" s="338">
        <v>74400</v>
      </c>
      <c r="G37" s="235">
        <f t="shared" si="7"/>
        <v>39.163103712681263</v>
      </c>
      <c r="I37" s="236">
        <f>I25+13</f>
        <v>40</v>
      </c>
      <c r="J37" s="237">
        <f t="shared" si="8"/>
        <v>2028</v>
      </c>
      <c r="K37" s="232">
        <f t="shared" si="21"/>
        <v>46753</v>
      </c>
      <c r="L37" s="237">
        <f t="shared" si="18"/>
        <v>2047</v>
      </c>
      <c r="M37" s="97">
        <f>SUMIF($J$13:$J$276,L37,$C$13:$C$276)</f>
        <v>0</v>
      </c>
      <c r="N37" s="97">
        <f>SUMIF($J$13:$J$276,L37,$D$13:$D$276)</f>
        <v>0</v>
      </c>
      <c r="O37" s="97">
        <f>SUMIF($J$13:$J$276,L37,$F$13:$F$276)</f>
        <v>0</v>
      </c>
      <c r="P37" s="242" t="e">
        <f t="shared" ref="P37" si="35">(M37+N37)/O37</f>
        <v>#DIV/0!</v>
      </c>
      <c r="Q37" s="243" t="e">
        <f t="shared" ref="Q37" si="36">M37/O37</f>
        <v>#DIV/0!</v>
      </c>
      <c r="R37" s="243">
        <f t="shared" ref="R37" si="37">IFERROR(N37/O37,0)</f>
        <v>0</v>
      </c>
      <c r="S37" s="97">
        <f t="shared" si="13"/>
        <v>0</v>
      </c>
      <c r="U37" s="97">
        <f t="shared" si="17"/>
        <v>0</v>
      </c>
      <c r="V37" s="97" t="str">
        <f t="shared" si="0"/>
        <v>Winter</v>
      </c>
      <c r="AA37" s="337">
        <f t="shared" si="4"/>
        <v>2.18E-2</v>
      </c>
      <c r="AB37" s="336">
        <f t="shared" si="9"/>
        <v>0</v>
      </c>
    </row>
    <row r="38" spans="2:28" outlineLevel="1">
      <c r="B38" s="238">
        <f t="shared" si="5"/>
        <v>46784</v>
      </c>
      <c r="C38" s="342">
        <v>2326673.0999281355</v>
      </c>
      <c r="D38" s="234">
        <f>IF(ISNUMBER($F38),VLOOKUP($J38,'Table 1'!$B$13:$G$40,2,FALSE)/12*1000*Study_MW,"")</f>
        <v>0</v>
      </c>
      <c r="E38" s="234">
        <f t="shared" si="6"/>
        <v>2326673.0999281355</v>
      </c>
      <c r="F38" s="342">
        <v>69600</v>
      </c>
      <c r="G38" s="239">
        <f t="shared" si="7"/>
        <v>33.429211205864014</v>
      </c>
      <c r="I38" s="240">
        <f t="shared" si="20"/>
        <v>41</v>
      </c>
      <c r="J38" s="237">
        <f t="shared" si="8"/>
        <v>2028</v>
      </c>
      <c r="K38" s="238">
        <f t="shared" si="21"/>
        <v>46784</v>
      </c>
      <c r="L38" s="237">
        <f t="shared" si="18"/>
        <v>2048</v>
      </c>
      <c r="M38" s="97">
        <f>SUMIF($J$13:$J$276,L38,$C$13:$C$276)</f>
        <v>0</v>
      </c>
      <c r="N38" s="97">
        <f>SUMIF($J$13:$J$276,L38,$D$13:$D$276)</f>
        <v>0</v>
      </c>
      <c r="O38" s="97">
        <f>SUMIF($J$13:$J$276,L38,$F$13:$F$276)</f>
        <v>0</v>
      </c>
      <c r="P38" s="242" t="e">
        <f t="shared" ref="P38:P41" si="38">(M38+N38)/O38</f>
        <v>#DIV/0!</v>
      </c>
      <c r="Q38" s="243" t="e">
        <f t="shared" ref="Q38:Q41" si="39">M38/O38</f>
        <v>#DIV/0!</v>
      </c>
      <c r="R38" s="243">
        <f t="shared" ref="R38:R41" si="40">IFERROR(N38/O38,0)</f>
        <v>0</v>
      </c>
      <c r="S38" s="97">
        <f t="shared" si="13"/>
        <v>0</v>
      </c>
      <c r="U38" s="97">
        <f t="shared" si="17"/>
        <v>0</v>
      </c>
      <c r="V38" s="97" t="str">
        <f t="shared" si="0"/>
        <v>Winter</v>
      </c>
      <c r="AA38" s="337">
        <f t="shared" si="4"/>
        <v>2.18E-2</v>
      </c>
      <c r="AB38" s="336">
        <f t="shared" si="9"/>
        <v>0</v>
      </c>
    </row>
    <row r="39" spans="2:28" outlineLevel="1">
      <c r="B39" s="238">
        <f t="shared" si="5"/>
        <v>46813</v>
      </c>
      <c r="C39" s="342">
        <v>1546246.8232020619</v>
      </c>
      <c r="D39" s="234">
        <f>IF(ISNUMBER($F39),VLOOKUP($J39,'Table 1'!$B$13:$G$40,2,FALSE)/12*1000*Study_MW,"")</f>
        <v>0</v>
      </c>
      <c r="E39" s="234">
        <f t="shared" si="6"/>
        <v>1546246.8232020619</v>
      </c>
      <c r="F39" s="342">
        <v>74400</v>
      </c>
      <c r="G39" s="239">
        <f t="shared" si="7"/>
        <v>20.782887408629865</v>
      </c>
      <c r="I39" s="240">
        <f t="shared" si="20"/>
        <v>42</v>
      </c>
      <c r="J39" s="237">
        <f t="shared" si="8"/>
        <v>2028</v>
      </c>
      <c r="K39" s="238">
        <f t="shared" si="21"/>
        <v>46813</v>
      </c>
      <c r="L39" s="237">
        <f t="shared" si="18"/>
        <v>2049</v>
      </c>
      <c r="M39" s="97">
        <f>SUMIF($J$13:$J$352,L39,$C$13:$C$352)</f>
        <v>0</v>
      </c>
      <c r="N39" s="97">
        <f>SUMIF($J$13:$J$352,L39,$D$13:$D$352)</f>
        <v>0</v>
      </c>
      <c r="O39" s="97">
        <f>SUMIF($J$13:$J$352,L39,$F$13:$F$352)</f>
        <v>0</v>
      </c>
      <c r="P39" s="242" t="e">
        <f t="shared" si="38"/>
        <v>#DIV/0!</v>
      </c>
      <c r="Q39" s="243" t="e">
        <f t="shared" si="39"/>
        <v>#DIV/0!</v>
      </c>
      <c r="R39" s="243">
        <f t="shared" si="40"/>
        <v>0</v>
      </c>
      <c r="S39" s="97">
        <f t="shared" si="13"/>
        <v>0</v>
      </c>
      <c r="U39" s="97">
        <f t="shared" si="17"/>
        <v>0</v>
      </c>
      <c r="V39" s="97" t="str">
        <f t="shared" si="0"/>
        <v>Winter</v>
      </c>
      <c r="AA39" s="337">
        <f t="shared" si="4"/>
        <v>2.18E-2</v>
      </c>
      <c r="AB39" s="336">
        <f t="shared" si="9"/>
        <v>0</v>
      </c>
    </row>
    <row r="40" spans="2:28" outlineLevel="1">
      <c r="B40" s="238">
        <f t="shared" si="5"/>
        <v>46844</v>
      </c>
      <c r="C40" s="342">
        <v>1356224.5519973927</v>
      </c>
      <c r="D40" s="234">
        <f>IF(ISNUMBER($F40),VLOOKUP($J40,'Table 1'!$B$13:$G$40,2,FALSE)/12*1000*Study_MW,"")</f>
        <v>0</v>
      </c>
      <c r="E40" s="234">
        <f t="shared" si="6"/>
        <v>1356224.5519973927</v>
      </c>
      <c r="F40" s="342">
        <v>72000</v>
      </c>
      <c r="G40" s="239">
        <f t="shared" si="7"/>
        <v>18.836452111074898</v>
      </c>
      <c r="I40" s="240">
        <f t="shared" si="20"/>
        <v>43</v>
      </c>
      <c r="J40" s="237">
        <f t="shared" si="8"/>
        <v>2028</v>
      </c>
      <c r="K40" s="238">
        <f t="shared" si="21"/>
        <v>46844</v>
      </c>
      <c r="L40" s="237">
        <f t="shared" si="18"/>
        <v>2050</v>
      </c>
      <c r="M40" s="97">
        <f>SUMIF($J$13:$J$352,L40,$C$13:$C$352)</f>
        <v>0</v>
      </c>
      <c r="N40" s="97">
        <f>SUMIF($J$13:$J$352,L40,$D$13:$D$352)</f>
        <v>0</v>
      </c>
      <c r="O40" s="97">
        <f>SUMIF($J$13:$J$352,L40,$F$13:$F$352)</f>
        <v>0</v>
      </c>
      <c r="P40" s="242" t="e">
        <f t="shared" si="38"/>
        <v>#DIV/0!</v>
      </c>
      <c r="Q40" s="243" t="e">
        <f t="shared" si="39"/>
        <v>#DIV/0!</v>
      </c>
      <c r="R40" s="243">
        <f t="shared" si="40"/>
        <v>0</v>
      </c>
      <c r="S40" s="97">
        <f t="shared" si="13"/>
        <v>0</v>
      </c>
      <c r="T40" s="219"/>
      <c r="U40" s="97">
        <f t="shared" si="17"/>
        <v>0</v>
      </c>
      <c r="V40" s="97" t="str">
        <f t="shared" si="0"/>
        <v>Winter</v>
      </c>
      <c r="AA40" s="337">
        <f t="shared" si="4"/>
        <v>2.18E-2</v>
      </c>
      <c r="AB40" s="336">
        <f t="shared" si="9"/>
        <v>0</v>
      </c>
    </row>
    <row r="41" spans="2:28" outlineLevel="1">
      <c r="B41" s="238">
        <f t="shared" si="5"/>
        <v>46874</v>
      </c>
      <c r="C41" s="342">
        <v>1529830.6659402952</v>
      </c>
      <c r="D41" s="234">
        <f>IF(ISNUMBER($F41),VLOOKUP($J41,'Table 1'!$B$13:$G$40,2,FALSE)/12*1000*Study_MW,"")</f>
        <v>0</v>
      </c>
      <c r="E41" s="234">
        <f t="shared" si="6"/>
        <v>1529830.6659402952</v>
      </c>
      <c r="F41" s="342">
        <v>74400</v>
      </c>
      <c r="G41" s="239">
        <f t="shared" si="7"/>
        <v>20.562240133606117</v>
      </c>
      <c r="I41" s="240">
        <f t="shared" si="20"/>
        <v>44</v>
      </c>
      <c r="J41" s="237">
        <f t="shared" si="8"/>
        <v>2028</v>
      </c>
      <c r="K41" s="238">
        <f t="shared" si="21"/>
        <v>46874</v>
      </c>
      <c r="L41" s="237">
        <f t="shared" si="18"/>
        <v>2051</v>
      </c>
      <c r="M41" s="97">
        <f>SUMIF($J$13:$J$352,L41,$C$13:$C$352)</f>
        <v>0</v>
      </c>
      <c r="N41" s="97">
        <f>SUMIF($J$13:$J$352,L41,$D$13:$D$352)</f>
        <v>0</v>
      </c>
      <c r="O41" s="97">
        <f>SUMIF($J$13:$J$352,L41,$F$13:$F$352)</f>
        <v>0</v>
      </c>
      <c r="P41" s="242" t="e">
        <f t="shared" si="38"/>
        <v>#DIV/0!</v>
      </c>
      <c r="Q41" s="243" t="e">
        <f t="shared" si="39"/>
        <v>#DIV/0!</v>
      </c>
      <c r="R41" s="243">
        <f t="shared" si="40"/>
        <v>0</v>
      </c>
      <c r="S41" s="97">
        <f t="shared" si="13"/>
        <v>0</v>
      </c>
      <c r="T41" s="219"/>
      <c r="U41" s="97">
        <f t="shared" si="17"/>
        <v>0</v>
      </c>
      <c r="V41" s="97" t="str">
        <f t="shared" si="0"/>
        <v>Summer</v>
      </c>
      <c r="AA41" s="337">
        <f t="shared" si="4"/>
        <v>2.18E-2</v>
      </c>
      <c r="AB41" s="336">
        <f t="shared" si="9"/>
        <v>0</v>
      </c>
    </row>
    <row r="42" spans="2:28" outlineLevel="1">
      <c r="B42" s="238">
        <f t="shared" si="5"/>
        <v>46905</v>
      </c>
      <c r="C42" s="342">
        <v>1577476.1739298482</v>
      </c>
      <c r="D42" s="234">
        <f>IF(ISNUMBER($F42),VLOOKUP($J42,'Table 1'!$B$13:$G$40,2,FALSE)/12*1000*Study_MW,"")</f>
        <v>0</v>
      </c>
      <c r="E42" s="234">
        <f t="shared" si="6"/>
        <v>1577476.1739298482</v>
      </c>
      <c r="F42" s="342">
        <v>72000</v>
      </c>
      <c r="G42" s="239">
        <f t="shared" si="7"/>
        <v>21.909391304581227</v>
      </c>
      <c r="I42" s="240">
        <f t="shared" si="20"/>
        <v>45</v>
      </c>
      <c r="J42" s="237">
        <f t="shared" si="8"/>
        <v>2028</v>
      </c>
      <c r="K42" s="238">
        <f t="shared" si="21"/>
        <v>46905</v>
      </c>
      <c r="L42" s="237">
        <f t="shared" si="18"/>
        <v>2052</v>
      </c>
      <c r="P42" s="242"/>
      <c r="Q42" s="243"/>
      <c r="R42" s="243"/>
      <c r="V42" s="97" t="str">
        <f t="shared" si="0"/>
        <v>Summer</v>
      </c>
      <c r="AA42" s="337">
        <f t="shared" si="4"/>
        <v>2.18E-2</v>
      </c>
      <c r="AB42" s="336">
        <f t="shared" si="9"/>
        <v>0</v>
      </c>
    </row>
    <row r="43" spans="2:28" outlineLevel="1">
      <c r="B43" s="238">
        <f t="shared" si="5"/>
        <v>46935</v>
      </c>
      <c r="C43" s="342">
        <v>2681304.0225011501</v>
      </c>
      <c r="D43" s="234">
        <f>IF(ISNUMBER($F43),VLOOKUP($J43,'Table 1'!$B$13:$G$40,2,FALSE)/12*1000*Study_MW,"")</f>
        <v>0</v>
      </c>
      <c r="E43" s="234">
        <f t="shared" si="6"/>
        <v>2681304.0225011501</v>
      </c>
      <c r="F43" s="342">
        <v>74400</v>
      </c>
      <c r="G43" s="239">
        <f t="shared" si="7"/>
        <v>36.039032560499329</v>
      </c>
      <c r="I43" s="240">
        <f t="shared" si="20"/>
        <v>46</v>
      </c>
      <c r="J43" s="237">
        <f t="shared" si="8"/>
        <v>2028</v>
      </c>
      <c r="K43" s="238">
        <f t="shared" si="21"/>
        <v>46935</v>
      </c>
      <c r="V43" s="97" t="str">
        <f t="shared" si="0"/>
        <v>Summer</v>
      </c>
      <c r="AA43" s="337">
        <f t="shared" si="4"/>
        <v>2.18E-2</v>
      </c>
      <c r="AB43" s="336">
        <f t="shared" si="9"/>
        <v>0</v>
      </c>
    </row>
    <row r="44" spans="2:28" outlineLevel="1">
      <c r="B44" s="238">
        <f t="shared" si="5"/>
        <v>46966</v>
      </c>
      <c r="C44" s="342">
        <v>3061383.778123898</v>
      </c>
      <c r="D44" s="234">
        <f>IF(ISNUMBER($F44),VLOOKUP($J44,'Table 1'!$B$13:$G$40,2,FALSE)/12*1000*Study_MW,"")</f>
        <v>0</v>
      </c>
      <c r="E44" s="234">
        <f t="shared" si="6"/>
        <v>3061383.778123898</v>
      </c>
      <c r="F44" s="342">
        <v>74400</v>
      </c>
      <c r="G44" s="239">
        <f t="shared" si="7"/>
        <v>41.14763142639648</v>
      </c>
      <c r="I44" s="240">
        <f t="shared" si="20"/>
        <v>47</v>
      </c>
      <c r="J44" s="237">
        <f t="shared" si="8"/>
        <v>2028</v>
      </c>
      <c r="K44" s="238">
        <f t="shared" si="21"/>
        <v>46966</v>
      </c>
      <c r="V44" s="97" t="str">
        <f t="shared" si="0"/>
        <v>Summer</v>
      </c>
      <c r="AA44" s="337">
        <f t="shared" si="4"/>
        <v>2.18E-2</v>
      </c>
      <c r="AB44" s="336">
        <f t="shared" si="9"/>
        <v>0</v>
      </c>
    </row>
    <row r="45" spans="2:28" outlineLevel="1">
      <c r="B45" s="238">
        <f t="shared" si="5"/>
        <v>46997</v>
      </c>
      <c r="C45" s="342">
        <v>2305673.2502495144</v>
      </c>
      <c r="D45" s="234">
        <f>IF(ISNUMBER($F45),VLOOKUP($J45,'Table 1'!$B$13:$G$40,2,FALSE)/12*1000*Study_MW,"")</f>
        <v>0</v>
      </c>
      <c r="E45" s="234">
        <f t="shared" si="6"/>
        <v>2305673.2502495144</v>
      </c>
      <c r="F45" s="342">
        <v>72000</v>
      </c>
      <c r="G45" s="239">
        <f t="shared" si="7"/>
        <v>32.023239586798809</v>
      </c>
      <c r="I45" s="240">
        <f t="shared" si="20"/>
        <v>48</v>
      </c>
      <c r="J45" s="237">
        <f t="shared" si="8"/>
        <v>2028</v>
      </c>
      <c r="K45" s="238">
        <f t="shared" si="21"/>
        <v>46997</v>
      </c>
      <c r="V45" s="97" t="str">
        <f t="shared" si="0"/>
        <v>Winter</v>
      </c>
      <c r="AA45" s="337">
        <f t="shared" si="4"/>
        <v>2.18E-2</v>
      </c>
      <c r="AB45" s="336">
        <f t="shared" si="9"/>
        <v>0</v>
      </c>
    </row>
    <row r="46" spans="2:28" outlineLevel="1">
      <c r="B46" s="238">
        <f t="shared" si="5"/>
        <v>47027</v>
      </c>
      <c r="C46" s="342">
        <v>1660850.3716259028</v>
      </c>
      <c r="D46" s="234">
        <f>IF(ISNUMBER($F46),VLOOKUP($J46,'Table 1'!$B$13:$G$40,2,FALSE)/12*1000*Study_MW,"")</f>
        <v>0</v>
      </c>
      <c r="E46" s="234">
        <f t="shared" si="6"/>
        <v>1660850.3716259028</v>
      </c>
      <c r="F46" s="342">
        <v>74400</v>
      </c>
      <c r="G46" s="239">
        <f t="shared" si="7"/>
        <v>22.323257683143854</v>
      </c>
      <c r="I46" s="240">
        <f t="shared" si="20"/>
        <v>49</v>
      </c>
      <c r="J46" s="237">
        <f t="shared" si="8"/>
        <v>2028</v>
      </c>
      <c r="K46" s="238">
        <f t="shared" si="21"/>
        <v>47027</v>
      </c>
      <c r="V46" s="97" t="str">
        <f t="shared" si="0"/>
        <v>Winter</v>
      </c>
      <c r="AA46" s="337">
        <f t="shared" si="4"/>
        <v>2.18E-2</v>
      </c>
      <c r="AB46" s="336">
        <f t="shared" si="9"/>
        <v>0</v>
      </c>
    </row>
    <row r="47" spans="2:28" outlineLevel="1">
      <c r="B47" s="238">
        <f t="shared" si="5"/>
        <v>47058</v>
      </c>
      <c r="C47" s="342">
        <v>1965127.3465018966</v>
      </c>
      <c r="D47" s="234">
        <f>IF(ISNUMBER($F47),VLOOKUP($J47,'Table 1'!$B$13:$G$40,2,FALSE)/12*1000*Study_MW,"")</f>
        <v>0</v>
      </c>
      <c r="E47" s="234">
        <f t="shared" si="6"/>
        <v>1965127.3465018966</v>
      </c>
      <c r="F47" s="342">
        <v>72000</v>
      </c>
      <c r="G47" s="239">
        <f t="shared" si="7"/>
        <v>27.293435368081898</v>
      </c>
      <c r="I47" s="240">
        <f t="shared" si="20"/>
        <v>50</v>
      </c>
      <c r="J47" s="237">
        <f t="shared" si="8"/>
        <v>2028</v>
      </c>
      <c r="K47" s="238">
        <f t="shared" si="21"/>
        <v>47058</v>
      </c>
      <c r="V47" s="97" t="str">
        <f t="shared" si="0"/>
        <v>Winter</v>
      </c>
      <c r="AA47" s="337">
        <f t="shared" si="4"/>
        <v>2.18E-2</v>
      </c>
      <c r="AB47" s="336">
        <f t="shared" si="9"/>
        <v>0</v>
      </c>
    </row>
    <row r="48" spans="2:28" outlineLevel="1">
      <c r="B48" s="244">
        <f t="shared" si="5"/>
        <v>47088</v>
      </c>
      <c r="C48" s="343">
        <v>2869647.6547508352</v>
      </c>
      <c r="D48" s="245">
        <f>IF(ISNUMBER($F48),VLOOKUP($J48,'Table 1'!$B$13:$G$40,2,FALSE)/12*1000*Study_MW,"")</f>
        <v>0</v>
      </c>
      <c r="E48" s="245">
        <f t="shared" si="6"/>
        <v>2869647.6547508352</v>
      </c>
      <c r="F48" s="343">
        <v>74400</v>
      </c>
      <c r="G48" s="246">
        <f t="shared" si="7"/>
        <v>38.570532993962836</v>
      </c>
      <c r="I48" s="247">
        <f t="shared" si="20"/>
        <v>51</v>
      </c>
      <c r="J48" s="237">
        <f t="shared" si="8"/>
        <v>2028</v>
      </c>
      <c r="K48" s="244">
        <f t="shared" si="21"/>
        <v>47088</v>
      </c>
      <c r="V48" s="97" t="str">
        <f t="shared" si="0"/>
        <v>Winter</v>
      </c>
      <c r="AA48" s="337">
        <f t="shared" si="4"/>
        <v>2.18E-2</v>
      </c>
      <c r="AB48" s="336">
        <f t="shared" si="9"/>
        <v>0</v>
      </c>
    </row>
    <row r="49" spans="2:28" outlineLevel="1">
      <c r="B49" s="232">
        <f t="shared" si="5"/>
        <v>47119</v>
      </c>
      <c r="C49" s="338">
        <v>2532047.1115544369</v>
      </c>
      <c r="D49" s="233">
        <f>IF(ISNUMBER($F49),VLOOKUP($J49,'Table 1'!$B$13:$G$40,2,FALSE)/12*1000*Study_MW,"")</f>
        <v>0</v>
      </c>
      <c r="E49" s="233">
        <f t="shared" si="6"/>
        <v>2532047.1115544369</v>
      </c>
      <c r="F49" s="338">
        <v>74400</v>
      </c>
      <c r="G49" s="235">
        <f t="shared" si="7"/>
        <v>34.032891284333829</v>
      </c>
      <c r="I49" s="236">
        <f>I37+13</f>
        <v>53</v>
      </c>
      <c r="J49" s="237">
        <f t="shared" si="8"/>
        <v>2029</v>
      </c>
      <c r="K49" s="232">
        <f t="shared" si="21"/>
        <v>47119</v>
      </c>
      <c r="V49" s="97" t="str">
        <f t="shared" si="0"/>
        <v>Winter</v>
      </c>
      <c r="AA49" s="337">
        <f t="shared" si="4"/>
        <v>2.18E-2</v>
      </c>
      <c r="AB49" s="336">
        <f t="shared" si="9"/>
        <v>0</v>
      </c>
    </row>
    <row r="50" spans="2:28" outlineLevel="1">
      <c r="B50" s="238">
        <f t="shared" si="5"/>
        <v>47150</v>
      </c>
      <c r="C50" s="342">
        <v>2614645.7431166489</v>
      </c>
      <c r="D50" s="234">
        <f>IF(ISNUMBER($F50),VLOOKUP($J50,'Table 1'!$B$13:$G$40,2,FALSE)/12*1000*Study_MW,"")</f>
        <v>0</v>
      </c>
      <c r="E50" s="234">
        <f t="shared" si="6"/>
        <v>2614645.7431166489</v>
      </c>
      <c r="F50" s="342">
        <v>67199.999999999985</v>
      </c>
      <c r="G50" s="239">
        <f t="shared" si="7"/>
        <v>38.908418796378712</v>
      </c>
      <c r="I50" s="240">
        <f t="shared" si="20"/>
        <v>54</v>
      </c>
      <c r="J50" s="237">
        <f t="shared" si="8"/>
        <v>2029</v>
      </c>
      <c r="K50" s="238">
        <f t="shared" si="21"/>
        <v>47150</v>
      </c>
      <c r="V50" s="97" t="str">
        <f t="shared" si="0"/>
        <v>Winter</v>
      </c>
      <c r="AA50" s="337">
        <f t="shared" si="4"/>
        <v>2.18E-2</v>
      </c>
      <c r="AB50" s="336">
        <f t="shared" si="9"/>
        <v>0</v>
      </c>
    </row>
    <row r="51" spans="2:28" outlineLevel="1">
      <c r="B51" s="238">
        <f t="shared" si="5"/>
        <v>47178</v>
      </c>
      <c r="C51" s="342">
        <v>1952478.1820181615</v>
      </c>
      <c r="D51" s="234">
        <f>IF(ISNUMBER($F51),VLOOKUP($J51,'Table 1'!$B$13:$G$40,2,FALSE)/12*1000*Study_MW,"")</f>
        <v>0</v>
      </c>
      <c r="E51" s="234">
        <f t="shared" si="6"/>
        <v>1952478.1820181615</v>
      </c>
      <c r="F51" s="342">
        <v>74400</v>
      </c>
      <c r="G51" s="239">
        <f t="shared" si="7"/>
        <v>26.242986317448409</v>
      </c>
      <c r="I51" s="240">
        <f t="shared" si="20"/>
        <v>55</v>
      </c>
      <c r="J51" s="237">
        <f t="shared" si="8"/>
        <v>2029</v>
      </c>
      <c r="K51" s="238">
        <f t="shared" si="21"/>
        <v>47178</v>
      </c>
      <c r="V51" s="97" t="str">
        <f t="shared" si="0"/>
        <v>Winter</v>
      </c>
      <c r="AA51" s="337">
        <f t="shared" si="4"/>
        <v>2.18E-2</v>
      </c>
      <c r="AB51" s="336">
        <f t="shared" si="9"/>
        <v>0</v>
      </c>
    </row>
    <row r="52" spans="2:28" outlineLevel="1">
      <c r="B52" s="238">
        <f t="shared" si="5"/>
        <v>47209</v>
      </c>
      <c r="C52" s="342">
        <v>1552021.9789340827</v>
      </c>
      <c r="D52" s="234">
        <f>IF(ISNUMBER($F52),VLOOKUP($J52,'Table 1'!$B$13:$G$40,2,FALSE)/12*1000*Study_MW,"")</f>
        <v>0</v>
      </c>
      <c r="E52" s="234">
        <f t="shared" si="6"/>
        <v>1552021.9789340827</v>
      </c>
      <c r="F52" s="342">
        <v>72000</v>
      </c>
      <c r="G52" s="239">
        <f t="shared" si="7"/>
        <v>21.555860818528927</v>
      </c>
      <c r="I52" s="240">
        <f t="shared" si="20"/>
        <v>56</v>
      </c>
      <c r="J52" s="237">
        <f t="shared" si="8"/>
        <v>2029</v>
      </c>
      <c r="K52" s="238">
        <f t="shared" si="21"/>
        <v>47209</v>
      </c>
      <c r="V52" s="97" t="str">
        <f t="shared" si="0"/>
        <v>Winter</v>
      </c>
      <c r="AA52" s="337">
        <f t="shared" si="4"/>
        <v>2.18E-2</v>
      </c>
      <c r="AB52" s="336">
        <f t="shared" si="9"/>
        <v>0</v>
      </c>
    </row>
    <row r="53" spans="2:28" outlineLevel="1">
      <c r="B53" s="238">
        <f t="shared" si="5"/>
        <v>47239</v>
      </c>
      <c r="C53" s="342">
        <v>1849930.8331416051</v>
      </c>
      <c r="D53" s="234">
        <f>IF(ISNUMBER($F53),VLOOKUP($J53,'Table 1'!$B$13:$G$40,2,FALSE)/12*1000*Study_MW,"")</f>
        <v>0</v>
      </c>
      <c r="E53" s="234">
        <f t="shared" si="6"/>
        <v>1849930.8331416051</v>
      </c>
      <c r="F53" s="342">
        <v>74400</v>
      </c>
      <c r="G53" s="239">
        <f t="shared" si="7"/>
        <v>24.864661735774263</v>
      </c>
      <c r="I53" s="240">
        <f t="shared" si="20"/>
        <v>57</v>
      </c>
      <c r="J53" s="237">
        <f t="shared" si="8"/>
        <v>2029</v>
      </c>
      <c r="K53" s="238">
        <f t="shared" si="21"/>
        <v>47239</v>
      </c>
      <c r="V53" s="97" t="str">
        <f t="shared" si="0"/>
        <v>Summer</v>
      </c>
      <c r="AA53" s="337">
        <f t="shared" si="4"/>
        <v>2.18E-2</v>
      </c>
      <c r="AB53" s="336">
        <f t="shared" si="9"/>
        <v>0</v>
      </c>
    </row>
    <row r="54" spans="2:28" outlineLevel="1">
      <c r="B54" s="238">
        <f t="shared" si="5"/>
        <v>47270</v>
      </c>
      <c r="C54" s="342">
        <v>2177594.4546862375</v>
      </c>
      <c r="D54" s="234">
        <f>IF(ISNUMBER($F54),VLOOKUP($J54,'Table 1'!$B$13:$G$40,2,FALSE)/12*1000*Study_MW,"")</f>
        <v>0</v>
      </c>
      <c r="E54" s="234">
        <f t="shared" si="6"/>
        <v>2177594.4546862375</v>
      </c>
      <c r="F54" s="342">
        <v>72000</v>
      </c>
      <c r="G54" s="239">
        <f t="shared" si="7"/>
        <v>30.244367426197744</v>
      </c>
      <c r="I54" s="240">
        <f t="shared" si="20"/>
        <v>58</v>
      </c>
      <c r="J54" s="237">
        <f t="shared" si="8"/>
        <v>2029</v>
      </c>
      <c r="K54" s="238">
        <f t="shared" si="21"/>
        <v>47270</v>
      </c>
      <c r="V54" s="97" t="str">
        <f t="shared" si="0"/>
        <v>Summer</v>
      </c>
      <c r="AA54" s="337">
        <f t="shared" si="4"/>
        <v>2.18E-2</v>
      </c>
      <c r="AB54" s="336">
        <f t="shared" si="9"/>
        <v>0</v>
      </c>
    </row>
    <row r="55" spans="2:28" outlineLevel="1">
      <c r="B55" s="238">
        <f t="shared" si="5"/>
        <v>47300</v>
      </c>
      <c r="C55" s="342">
        <v>3192306.1008073566</v>
      </c>
      <c r="D55" s="234">
        <f>IF(ISNUMBER($F55),VLOOKUP($J55,'Table 1'!$B$13:$G$40,2,FALSE)/12*1000*Study_MW,"")</f>
        <v>0</v>
      </c>
      <c r="E55" s="234">
        <f t="shared" si="6"/>
        <v>3192306.1008073566</v>
      </c>
      <c r="F55" s="342">
        <v>74400</v>
      </c>
      <c r="G55" s="239">
        <f t="shared" si="7"/>
        <v>42.907340064615006</v>
      </c>
      <c r="I55" s="240">
        <f t="shared" si="20"/>
        <v>59</v>
      </c>
      <c r="J55" s="237">
        <f t="shared" si="8"/>
        <v>2029</v>
      </c>
      <c r="K55" s="238">
        <f t="shared" si="21"/>
        <v>47300</v>
      </c>
      <c r="V55" s="97" t="str">
        <f t="shared" si="0"/>
        <v>Summer</v>
      </c>
      <c r="AA55" s="337">
        <f t="shared" si="4"/>
        <v>2.18E-2</v>
      </c>
      <c r="AB55" s="336">
        <f t="shared" si="9"/>
        <v>0</v>
      </c>
    </row>
    <row r="56" spans="2:28" outlineLevel="1">
      <c r="B56" s="238">
        <f t="shared" si="5"/>
        <v>47331</v>
      </c>
      <c r="C56" s="342">
        <v>3518280.4452093551</v>
      </c>
      <c r="D56" s="234">
        <f>IF(ISNUMBER($F56),VLOOKUP($J56,'Table 1'!$B$13:$G$40,2,FALSE)/12*1000*Study_MW,"")</f>
        <v>0</v>
      </c>
      <c r="E56" s="234">
        <f t="shared" si="6"/>
        <v>3518280.4452093551</v>
      </c>
      <c r="F56" s="342">
        <v>74400</v>
      </c>
      <c r="G56" s="239">
        <f t="shared" si="7"/>
        <v>47.288715661416063</v>
      </c>
      <c r="I56" s="240">
        <f t="shared" si="20"/>
        <v>60</v>
      </c>
      <c r="J56" s="237">
        <f t="shared" si="8"/>
        <v>2029</v>
      </c>
      <c r="K56" s="238">
        <f t="shared" si="21"/>
        <v>47331</v>
      </c>
      <c r="V56" s="97" t="str">
        <f t="shared" si="0"/>
        <v>Summer</v>
      </c>
      <c r="AA56" s="337">
        <f t="shared" si="4"/>
        <v>2.18E-2</v>
      </c>
      <c r="AB56" s="336">
        <f t="shared" si="9"/>
        <v>0</v>
      </c>
    </row>
    <row r="57" spans="2:28" outlineLevel="1">
      <c r="B57" s="238">
        <f t="shared" si="5"/>
        <v>47362</v>
      </c>
      <c r="C57" s="342">
        <v>2702101.6444607377</v>
      </c>
      <c r="D57" s="234">
        <f>IF(ISNUMBER($F57),VLOOKUP($J57,'Table 1'!$B$13:$G$40,2,FALSE)/12*1000*Study_MW,"")</f>
        <v>0</v>
      </c>
      <c r="E57" s="234">
        <f t="shared" si="6"/>
        <v>2702101.6444607377</v>
      </c>
      <c r="F57" s="342">
        <v>72000</v>
      </c>
      <c r="G57" s="239">
        <f t="shared" si="7"/>
        <v>37.529189506399135</v>
      </c>
      <c r="I57" s="240">
        <f t="shared" si="20"/>
        <v>61</v>
      </c>
      <c r="J57" s="237">
        <f t="shared" si="8"/>
        <v>2029</v>
      </c>
      <c r="K57" s="238">
        <f t="shared" si="21"/>
        <v>47362</v>
      </c>
      <c r="V57" s="97" t="str">
        <f t="shared" si="0"/>
        <v>Winter</v>
      </c>
      <c r="AA57" s="337">
        <f t="shared" si="4"/>
        <v>2.18E-2</v>
      </c>
      <c r="AB57" s="336">
        <f t="shared" si="9"/>
        <v>0</v>
      </c>
    </row>
    <row r="58" spans="2:28" outlineLevel="1">
      <c r="B58" s="238">
        <f t="shared" si="5"/>
        <v>47392</v>
      </c>
      <c r="C58" s="342">
        <v>2132296.1164511051</v>
      </c>
      <c r="D58" s="234">
        <f>IF(ISNUMBER($F58),VLOOKUP($J58,'Table 1'!$B$13:$G$40,2,FALSE)/12*1000*Study_MW,"")</f>
        <v>0</v>
      </c>
      <c r="E58" s="234">
        <f t="shared" si="6"/>
        <v>2132296.1164511051</v>
      </c>
      <c r="F58" s="342">
        <v>74400</v>
      </c>
      <c r="G58" s="239">
        <f t="shared" si="7"/>
        <v>28.659894038321305</v>
      </c>
      <c r="I58" s="240">
        <f t="shared" si="20"/>
        <v>62</v>
      </c>
      <c r="J58" s="237">
        <f t="shared" si="8"/>
        <v>2029</v>
      </c>
      <c r="K58" s="238">
        <f t="shared" si="21"/>
        <v>47392</v>
      </c>
      <c r="V58" s="97" t="str">
        <f t="shared" si="0"/>
        <v>Winter</v>
      </c>
      <c r="AA58" s="337">
        <f t="shared" si="4"/>
        <v>2.18E-2</v>
      </c>
      <c r="AB58" s="336">
        <f t="shared" si="9"/>
        <v>0</v>
      </c>
    </row>
    <row r="59" spans="2:28" outlineLevel="1">
      <c r="B59" s="238">
        <f t="shared" si="5"/>
        <v>47423</v>
      </c>
      <c r="C59" s="342">
        <v>2395211.9138308773</v>
      </c>
      <c r="D59" s="234">
        <f>IF(ISNUMBER($F59),VLOOKUP($J59,'Table 1'!$B$13:$G$40,2,FALSE)/12*1000*Study_MW,"")</f>
        <v>0</v>
      </c>
      <c r="E59" s="234">
        <f t="shared" si="6"/>
        <v>2395211.9138308773</v>
      </c>
      <c r="F59" s="342">
        <v>72000</v>
      </c>
      <c r="G59" s="239">
        <f t="shared" si="7"/>
        <v>33.266832136539961</v>
      </c>
      <c r="I59" s="240">
        <f t="shared" si="20"/>
        <v>63</v>
      </c>
      <c r="J59" s="237">
        <f t="shared" si="8"/>
        <v>2029</v>
      </c>
      <c r="K59" s="238">
        <f t="shared" si="21"/>
        <v>47423</v>
      </c>
      <c r="V59" s="97" t="str">
        <f t="shared" si="0"/>
        <v>Winter</v>
      </c>
      <c r="AA59" s="337">
        <f t="shared" si="4"/>
        <v>2.18E-2</v>
      </c>
      <c r="AB59" s="336">
        <f t="shared" si="9"/>
        <v>0</v>
      </c>
    </row>
    <row r="60" spans="2:28" outlineLevel="1">
      <c r="B60" s="244">
        <f t="shared" si="5"/>
        <v>47453</v>
      </c>
      <c r="C60" s="343">
        <v>3225851.5504420395</v>
      </c>
      <c r="D60" s="245">
        <f>IF(ISNUMBER($F60),VLOOKUP($J60,'Table 1'!$B$13:$G$40,2,FALSE)/12*1000*Study_MW,"")</f>
        <v>0</v>
      </c>
      <c r="E60" s="245">
        <f t="shared" si="6"/>
        <v>3225851.5504420395</v>
      </c>
      <c r="F60" s="343">
        <v>74400.000000000015</v>
      </c>
      <c r="G60" s="246">
        <f t="shared" si="7"/>
        <v>43.358219764005902</v>
      </c>
      <c r="I60" s="247">
        <f t="shared" si="20"/>
        <v>64</v>
      </c>
      <c r="J60" s="237">
        <f t="shared" si="8"/>
        <v>2029</v>
      </c>
      <c r="K60" s="244">
        <f t="shared" si="21"/>
        <v>47453</v>
      </c>
      <c r="V60" s="97" t="str">
        <f t="shared" si="0"/>
        <v>Winter</v>
      </c>
      <c r="AA60" s="337">
        <f t="shared" si="4"/>
        <v>2.18E-2</v>
      </c>
      <c r="AB60" s="336">
        <f t="shared" si="9"/>
        <v>0</v>
      </c>
    </row>
    <row r="61" spans="2:28" outlineLevel="1">
      <c r="B61" s="232">
        <f t="shared" si="5"/>
        <v>47484</v>
      </c>
      <c r="C61" s="338">
        <v>2583613.9197996962</v>
      </c>
      <c r="D61" s="233">
        <f>IF(ISNUMBER($F61),VLOOKUP($J61,'Table 1'!$B$13:$G$40,2,FALSE)/12*1000*Study_MW,"")</f>
        <v>0</v>
      </c>
      <c r="E61" s="233">
        <f t="shared" si="6"/>
        <v>2583613.9197996962</v>
      </c>
      <c r="F61" s="338">
        <v>74400</v>
      </c>
      <c r="G61" s="235">
        <f t="shared" si="7"/>
        <v>34.725993545694841</v>
      </c>
      <c r="I61" s="236">
        <f>I49+13</f>
        <v>66</v>
      </c>
      <c r="J61" s="237">
        <f t="shared" si="8"/>
        <v>2030</v>
      </c>
      <c r="K61" s="232">
        <f t="shared" si="21"/>
        <v>47484</v>
      </c>
      <c r="V61" s="97" t="str">
        <f t="shared" si="0"/>
        <v>Winter</v>
      </c>
      <c r="AA61" s="337">
        <f t="shared" si="4"/>
        <v>2.18E-2</v>
      </c>
      <c r="AB61" s="336">
        <f t="shared" si="9"/>
        <v>0</v>
      </c>
    </row>
    <row r="62" spans="2:28" outlineLevel="1">
      <c r="B62" s="238">
        <f t="shared" si="5"/>
        <v>47515</v>
      </c>
      <c r="C62" s="342">
        <v>2533886.8688542317</v>
      </c>
      <c r="D62" s="234">
        <f>IF(ISNUMBER($F62),VLOOKUP($J62,'Table 1'!$B$13:$G$40,2,FALSE)/12*1000*Study_MW,"")</f>
        <v>0</v>
      </c>
      <c r="E62" s="234">
        <f t="shared" si="6"/>
        <v>2533886.8688542317</v>
      </c>
      <c r="F62" s="342">
        <v>67199.999999999985</v>
      </c>
      <c r="G62" s="239">
        <f t="shared" si="7"/>
        <v>37.706649834140357</v>
      </c>
      <c r="I62" s="240">
        <f t="shared" si="20"/>
        <v>67</v>
      </c>
      <c r="J62" s="237">
        <f t="shared" si="8"/>
        <v>2030</v>
      </c>
      <c r="K62" s="238">
        <f t="shared" si="21"/>
        <v>47515</v>
      </c>
      <c r="V62" s="97" t="str">
        <f t="shared" si="0"/>
        <v>Winter</v>
      </c>
      <c r="AA62" s="337">
        <f t="shared" si="4"/>
        <v>2.18E-2</v>
      </c>
      <c r="AB62" s="336">
        <f t="shared" si="9"/>
        <v>0</v>
      </c>
    </row>
    <row r="63" spans="2:28" outlineLevel="1">
      <c r="B63" s="238">
        <f t="shared" si="5"/>
        <v>47543</v>
      </c>
      <c r="C63" s="342">
        <v>2104161.1218787003</v>
      </c>
      <c r="D63" s="234">
        <f>IF(ISNUMBER($F63),VLOOKUP($J63,'Table 1'!$B$13:$G$40,2,FALSE)/12*1000*Study_MW,"")</f>
        <v>0</v>
      </c>
      <c r="E63" s="234">
        <f t="shared" si="6"/>
        <v>2104161.1218787003</v>
      </c>
      <c r="F63" s="342">
        <v>74400</v>
      </c>
      <c r="G63" s="239">
        <f t="shared" si="7"/>
        <v>28.281735509122317</v>
      </c>
      <c r="I63" s="240">
        <f t="shared" si="20"/>
        <v>68</v>
      </c>
      <c r="J63" s="237">
        <f t="shared" si="8"/>
        <v>2030</v>
      </c>
      <c r="K63" s="238">
        <f t="shared" si="21"/>
        <v>47543</v>
      </c>
      <c r="V63" s="97" t="str">
        <f t="shared" si="0"/>
        <v>Winter</v>
      </c>
      <c r="AA63" s="337">
        <f t="shared" si="4"/>
        <v>2.18E-2</v>
      </c>
      <c r="AB63" s="336">
        <f t="shared" si="9"/>
        <v>0</v>
      </c>
    </row>
    <row r="64" spans="2:28" outlineLevel="1">
      <c r="B64" s="238">
        <f t="shared" si="5"/>
        <v>47574</v>
      </c>
      <c r="C64" s="342">
        <v>1315897.3674927112</v>
      </c>
      <c r="D64" s="234">
        <f>IF(ISNUMBER($F64),VLOOKUP($J64,'Table 1'!$B$13:$G$40,2,FALSE)/12*1000*Study_MW,"")</f>
        <v>0</v>
      </c>
      <c r="E64" s="234">
        <f t="shared" si="6"/>
        <v>1315897.3674927112</v>
      </c>
      <c r="F64" s="342">
        <v>72000</v>
      </c>
      <c r="G64" s="239">
        <f t="shared" si="7"/>
        <v>18.276352326287654</v>
      </c>
      <c r="I64" s="240">
        <f t="shared" si="20"/>
        <v>69</v>
      </c>
      <c r="J64" s="237">
        <f t="shared" si="8"/>
        <v>2030</v>
      </c>
      <c r="K64" s="238">
        <f t="shared" si="21"/>
        <v>47574</v>
      </c>
      <c r="V64" s="97" t="str">
        <f t="shared" si="0"/>
        <v>Winter</v>
      </c>
      <c r="AA64" s="337">
        <f t="shared" si="4"/>
        <v>2.18E-2</v>
      </c>
      <c r="AB64" s="336">
        <f t="shared" si="9"/>
        <v>0</v>
      </c>
    </row>
    <row r="65" spans="2:28" outlineLevel="1">
      <c r="B65" s="238">
        <f t="shared" si="5"/>
        <v>47604</v>
      </c>
      <c r="C65" s="342">
        <v>1548965.1242765104</v>
      </c>
      <c r="D65" s="234">
        <f>IF(ISNUMBER($F65),VLOOKUP($J65,'Table 1'!$B$13:$G$40,2,FALSE)/12*1000*Study_MW,"")</f>
        <v>0</v>
      </c>
      <c r="E65" s="234">
        <f t="shared" si="6"/>
        <v>1548965.1242765104</v>
      </c>
      <c r="F65" s="342">
        <v>74400</v>
      </c>
      <c r="G65" s="239">
        <f t="shared" si="7"/>
        <v>20.819423713393956</v>
      </c>
      <c r="I65" s="240">
        <f t="shared" si="20"/>
        <v>70</v>
      </c>
      <c r="J65" s="237">
        <f t="shared" si="8"/>
        <v>2030</v>
      </c>
      <c r="K65" s="238">
        <f t="shared" si="21"/>
        <v>47604</v>
      </c>
      <c r="V65" s="97" t="str">
        <f t="shared" si="0"/>
        <v>Summer</v>
      </c>
      <c r="AA65" s="337">
        <f t="shared" si="4"/>
        <v>2.18E-2</v>
      </c>
      <c r="AB65" s="336">
        <f t="shared" si="9"/>
        <v>0</v>
      </c>
    </row>
    <row r="66" spans="2:28" outlineLevel="1">
      <c r="B66" s="238">
        <f t="shared" si="5"/>
        <v>47635</v>
      </c>
      <c r="C66" s="342">
        <v>2338833.3137533916</v>
      </c>
      <c r="D66" s="234">
        <f>IF(ISNUMBER($F66),VLOOKUP($J66,'Table 1'!$B$13:$G$40,2,FALSE)/12*1000*Study_MW,"")</f>
        <v>0</v>
      </c>
      <c r="E66" s="234">
        <f t="shared" si="6"/>
        <v>2338833.3137533916</v>
      </c>
      <c r="F66" s="342">
        <v>72000</v>
      </c>
      <c r="G66" s="239">
        <f t="shared" si="7"/>
        <v>32.483796024352664</v>
      </c>
      <c r="I66" s="240">
        <f t="shared" si="20"/>
        <v>71</v>
      </c>
      <c r="J66" s="237">
        <f t="shared" si="8"/>
        <v>2030</v>
      </c>
      <c r="K66" s="238">
        <f t="shared" si="21"/>
        <v>47635</v>
      </c>
      <c r="V66" s="97" t="str">
        <f t="shared" si="0"/>
        <v>Summer</v>
      </c>
      <c r="AA66" s="337">
        <f t="shared" si="4"/>
        <v>2.18E-2</v>
      </c>
      <c r="AB66" s="336">
        <f t="shared" si="9"/>
        <v>0</v>
      </c>
    </row>
    <row r="67" spans="2:28" outlineLevel="1">
      <c r="B67" s="238">
        <f t="shared" si="5"/>
        <v>47665</v>
      </c>
      <c r="C67" s="342">
        <v>3593969.2331589665</v>
      </c>
      <c r="D67" s="234">
        <f>IF(ISNUMBER($F67),VLOOKUP($J67,'Table 1'!$B$13:$G$40,2,FALSE)/12*1000*Study_MW,"")</f>
        <v>0</v>
      </c>
      <c r="E67" s="234">
        <f t="shared" si="6"/>
        <v>3593969.2331589665</v>
      </c>
      <c r="F67" s="342">
        <v>74400</v>
      </c>
      <c r="G67" s="239">
        <f t="shared" si="7"/>
        <v>48.306038080093636</v>
      </c>
      <c r="I67" s="240">
        <f t="shared" si="20"/>
        <v>72</v>
      </c>
      <c r="J67" s="237">
        <f t="shared" si="8"/>
        <v>2030</v>
      </c>
      <c r="K67" s="238">
        <f t="shared" si="21"/>
        <v>47665</v>
      </c>
      <c r="V67" s="97" t="str">
        <f t="shared" si="0"/>
        <v>Summer</v>
      </c>
      <c r="AA67" s="337">
        <f t="shared" si="4"/>
        <v>2.18E-2</v>
      </c>
      <c r="AB67" s="336">
        <f t="shared" si="9"/>
        <v>0</v>
      </c>
    </row>
    <row r="68" spans="2:28" outlineLevel="1">
      <c r="B68" s="238">
        <f t="shared" si="5"/>
        <v>47696</v>
      </c>
      <c r="C68" s="342">
        <v>3696765.2441515457</v>
      </c>
      <c r="D68" s="234">
        <f>IF(ISNUMBER($F68),VLOOKUP($J68,'Table 1'!$B$13:$G$40,2,FALSE)/12*1000*Study_MW,"")</f>
        <v>0</v>
      </c>
      <c r="E68" s="234">
        <f t="shared" si="6"/>
        <v>3696765.2441515457</v>
      </c>
      <c r="F68" s="342">
        <v>74400</v>
      </c>
      <c r="G68" s="239">
        <f t="shared" si="7"/>
        <v>49.68770489451002</v>
      </c>
      <c r="I68" s="240">
        <f t="shared" si="20"/>
        <v>73</v>
      </c>
      <c r="J68" s="237">
        <f t="shared" si="8"/>
        <v>2030</v>
      </c>
      <c r="K68" s="238">
        <f t="shared" si="21"/>
        <v>47696</v>
      </c>
      <c r="V68" s="97" t="str">
        <f t="shared" si="0"/>
        <v>Summer</v>
      </c>
      <c r="AA68" s="337">
        <f t="shared" si="4"/>
        <v>2.18E-2</v>
      </c>
      <c r="AB68" s="336">
        <f t="shared" si="9"/>
        <v>0</v>
      </c>
    </row>
    <row r="69" spans="2:28" outlineLevel="1">
      <c r="B69" s="238">
        <f t="shared" si="5"/>
        <v>47727</v>
      </c>
      <c r="C69" s="342">
        <v>3235665.8916816651</v>
      </c>
      <c r="D69" s="234">
        <f>IF(ISNUMBER($F69),VLOOKUP($J69,'Table 1'!$B$13:$G$40,2,FALSE)/12*1000*Study_MW,"")</f>
        <v>0</v>
      </c>
      <c r="E69" s="234">
        <f t="shared" si="6"/>
        <v>3235665.8916816651</v>
      </c>
      <c r="F69" s="342">
        <v>72000</v>
      </c>
      <c r="G69" s="239">
        <f t="shared" si="7"/>
        <v>44.939804051134239</v>
      </c>
      <c r="I69" s="240">
        <f t="shared" si="20"/>
        <v>74</v>
      </c>
      <c r="J69" s="237">
        <f t="shared" si="8"/>
        <v>2030</v>
      </c>
      <c r="K69" s="238">
        <f t="shared" si="21"/>
        <v>47727</v>
      </c>
      <c r="V69" s="97" t="str">
        <f t="shared" si="0"/>
        <v>Winter</v>
      </c>
      <c r="AA69" s="337">
        <f t="shared" si="4"/>
        <v>2.18E-2</v>
      </c>
      <c r="AB69" s="336">
        <f t="shared" si="9"/>
        <v>0</v>
      </c>
    </row>
    <row r="70" spans="2:28" outlineLevel="1">
      <c r="B70" s="238">
        <f t="shared" si="5"/>
        <v>47757</v>
      </c>
      <c r="C70" s="342">
        <v>2477423.2286612825</v>
      </c>
      <c r="D70" s="234">
        <f>IF(ISNUMBER($F70),VLOOKUP($J70,'Table 1'!$B$13:$G$40,2,FALSE)/12*1000*Study_MW,"")</f>
        <v>0</v>
      </c>
      <c r="E70" s="234">
        <f t="shared" si="6"/>
        <v>2477423.2286612825</v>
      </c>
      <c r="F70" s="342">
        <v>74400</v>
      </c>
      <c r="G70" s="239">
        <f t="shared" si="7"/>
        <v>33.298699309963474</v>
      </c>
      <c r="I70" s="240">
        <f t="shared" si="20"/>
        <v>75</v>
      </c>
      <c r="J70" s="237">
        <f t="shared" si="8"/>
        <v>2030</v>
      </c>
      <c r="K70" s="238">
        <f t="shared" si="21"/>
        <v>47757</v>
      </c>
      <c r="V70" s="97" t="str">
        <f t="shared" si="0"/>
        <v>Winter</v>
      </c>
      <c r="AA70" s="337">
        <f t="shared" si="4"/>
        <v>2.18E-2</v>
      </c>
      <c r="AB70" s="336">
        <f t="shared" si="9"/>
        <v>0</v>
      </c>
    </row>
    <row r="71" spans="2:28" outlineLevel="1">
      <c r="B71" s="238">
        <f t="shared" si="5"/>
        <v>47788</v>
      </c>
      <c r="C71" s="342">
        <v>2976354.1598936245</v>
      </c>
      <c r="D71" s="234">
        <f>IF(ISNUMBER($F71),VLOOKUP($J71,'Table 1'!$B$13:$G$40,2,FALSE)/12*1000*Study_MW,"")</f>
        <v>0</v>
      </c>
      <c r="E71" s="234">
        <f t="shared" si="6"/>
        <v>2976354.1598936245</v>
      </c>
      <c r="F71" s="342">
        <v>72000</v>
      </c>
      <c r="G71" s="239">
        <f t="shared" si="7"/>
        <v>41.338252220744785</v>
      </c>
      <c r="I71" s="240">
        <f t="shared" si="20"/>
        <v>76</v>
      </c>
      <c r="J71" s="237">
        <f t="shared" si="8"/>
        <v>2030</v>
      </c>
      <c r="K71" s="238">
        <f t="shared" si="21"/>
        <v>47788</v>
      </c>
      <c r="V71" s="97" t="str">
        <f t="shared" si="0"/>
        <v>Winter</v>
      </c>
      <c r="AA71" s="337">
        <f t="shared" si="4"/>
        <v>2.18E-2</v>
      </c>
      <c r="AB71" s="336">
        <f t="shared" si="9"/>
        <v>0</v>
      </c>
    </row>
    <row r="72" spans="2:28" outlineLevel="1">
      <c r="B72" s="244">
        <f t="shared" si="5"/>
        <v>47818</v>
      </c>
      <c r="C72" s="343">
        <v>3417153.1226649452</v>
      </c>
      <c r="D72" s="245">
        <f>IF(ISNUMBER($F72),VLOOKUP($J72,'Table 1'!$B$13:$G$40,2,FALSE)/12*1000*Study_MW,"")</f>
        <v>0</v>
      </c>
      <c r="E72" s="245">
        <f t="shared" si="6"/>
        <v>3417153.1226649452</v>
      </c>
      <c r="F72" s="343">
        <v>74400.000000000015</v>
      </c>
      <c r="G72" s="246">
        <f t="shared" si="7"/>
        <v>45.929477455173988</v>
      </c>
      <c r="I72" s="247">
        <f t="shared" si="20"/>
        <v>77</v>
      </c>
      <c r="J72" s="237">
        <f t="shared" si="8"/>
        <v>2030</v>
      </c>
      <c r="K72" s="244">
        <f t="shared" si="21"/>
        <v>47818</v>
      </c>
      <c r="V72" s="97" t="str">
        <f t="shared" si="0"/>
        <v>Winter</v>
      </c>
      <c r="AA72" s="337">
        <f t="shared" si="4"/>
        <v>2.18E-2</v>
      </c>
      <c r="AB72" s="336">
        <f t="shared" si="9"/>
        <v>0</v>
      </c>
    </row>
    <row r="73" spans="2:28" outlineLevel="1">
      <c r="B73" s="232">
        <f t="shared" si="5"/>
        <v>47849</v>
      </c>
      <c r="C73" s="338">
        <v>3414127.3835571771</v>
      </c>
      <c r="D73" s="233">
        <f>IF(ISNUMBER($F73),VLOOKUP($J73,'Table 1'!$B$13:$G$40,2,FALSE)/12*1000*Study_MW,"")</f>
        <v>0</v>
      </c>
      <c r="E73" s="233">
        <f t="shared" si="6"/>
        <v>3414127.3835571771</v>
      </c>
      <c r="F73" s="338">
        <v>74400</v>
      </c>
      <c r="G73" s="235">
        <f t="shared" si="7"/>
        <v>45.888808918779262</v>
      </c>
      <c r="I73" s="236">
        <f>I61+13</f>
        <v>79</v>
      </c>
      <c r="J73" s="237">
        <f t="shared" si="8"/>
        <v>2031</v>
      </c>
      <c r="K73" s="232">
        <f t="shared" si="21"/>
        <v>47849</v>
      </c>
      <c r="V73" s="97" t="str">
        <f t="shared" si="0"/>
        <v>Winter</v>
      </c>
      <c r="AA73" s="337">
        <f t="shared" si="4"/>
        <v>2.18E-2</v>
      </c>
      <c r="AB73" s="336">
        <f t="shared" si="9"/>
        <v>0</v>
      </c>
    </row>
    <row r="74" spans="2:28" outlineLevel="1">
      <c r="B74" s="238">
        <f t="shared" si="5"/>
        <v>47880</v>
      </c>
      <c r="C74" s="342">
        <v>2833960.7137846905</v>
      </c>
      <c r="D74" s="234">
        <f>IF(ISNUMBER($F74),VLOOKUP($J74,'Table 1'!$B$13:$G$40,2,FALSE)/12*1000*Study_MW,"")</f>
        <v>0</v>
      </c>
      <c r="E74" s="234">
        <f t="shared" si="6"/>
        <v>2833960.7137846905</v>
      </c>
      <c r="F74" s="342">
        <v>67199.999999999985</v>
      </c>
      <c r="G74" s="239">
        <f t="shared" si="7"/>
        <v>42.172034431319808</v>
      </c>
      <c r="I74" s="240">
        <f t="shared" si="20"/>
        <v>80</v>
      </c>
      <c r="J74" s="237">
        <f t="shared" si="8"/>
        <v>2031</v>
      </c>
      <c r="K74" s="238">
        <f t="shared" si="21"/>
        <v>47880</v>
      </c>
      <c r="V74" s="97" t="str">
        <f t="shared" si="0"/>
        <v>Winter</v>
      </c>
      <c r="AA74" s="337">
        <f t="shared" si="4"/>
        <v>2.18E-2</v>
      </c>
      <c r="AB74" s="336">
        <f t="shared" si="9"/>
        <v>0</v>
      </c>
    </row>
    <row r="75" spans="2:28" outlineLevel="1">
      <c r="B75" s="238">
        <f t="shared" si="5"/>
        <v>47908</v>
      </c>
      <c r="C75" s="342">
        <v>2220335.654006063</v>
      </c>
      <c r="D75" s="234">
        <f>IF(ISNUMBER($F75),VLOOKUP($J75,'Table 1'!$B$13:$G$40,2,FALSE)/12*1000*Study_MW,"")</f>
        <v>0</v>
      </c>
      <c r="E75" s="234">
        <f t="shared" si="6"/>
        <v>2220335.654006063</v>
      </c>
      <c r="F75" s="342">
        <v>74400</v>
      </c>
      <c r="G75" s="239">
        <f t="shared" si="7"/>
        <v>29.843221155995469</v>
      </c>
      <c r="I75" s="240">
        <f t="shared" si="20"/>
        <v>81</v>
      </c>
      <c r="J75" s="237">
        <f t="shared" si="8"/>
        <v>2031</v>
      </c>
      <c r="K75" s="238">
        <f t="shared" si="21"/>
        <v>47908</v>
      </c>
      <c r="V75" s="97" t="str">
        <f t="shared" si="0"/>
        <v>Winter</v>
      </c>
      <c r="AA75" s="337">
        <f t="shared" si="4"/>
        <v>2.18E-2</v>
      </c>
      <c r="AB75" s="336">
        <f t="shared" si="9"/>
        <v>0</v>
      </c>
    </row>
    <row r="76" spans="2:28" outlineLevel="1">
      <c r="B76" s="238">
        <f t="shared" si="5"/>
        <v>47939</v>
      </c>
      <c r="C76" s="342">
        <v>2023941.8589454582</v>
      </c>
      <c r="D76" s="234">
        <f>IF(ISNUMBER($F76),VLOOKUP($J76,'Table 1'!$B$13:$G$40,2,FALSE)/12*1000*Study_MW,"")</f>
        <v>0</v>
      </c>
      <c r="E76" s="234">
        <f t="shared" si="6"/>
        <v>2023941.8589454582</v>
      </c>
      <c r="F76" s="342">
        <v>72000</v>
      </c>
      <c r="G76" s="239">
        <f t="shared" si="7"/>
        <v>28.110303596464696</v>
      </c>
      <c r="I76" s="240">
        <f t="shared" si="20"/>
        <v>82</v>
      </c>
      <c r="J76" s="237">
        <f t="shared" si="8"/>
        <v>2031</v>
      </c>
      <c r="K76" s="238">
        <f t="shared" si="21"/>
        <v>47939</v>
      </c>
      <c r="V76" s="97" t="str">
        <f t="shared" ref="V76:V139" si="41">IFERROR(IF(AND(MONTH(K77)&gt;=6,MONTH(K77)&lt;=9),"Summer","Winter"),"-")</f>
        <v>Winter</v>
      </c>
      <c r="AA76" s="337">
        <f t="shared" si="4"/>
        <v>2.18E-2</v>
      </c>
      <c r="AB76" s="336">
        <f t="shared" si="9"/>
        <v>0</v>
      </c>
    </row>
    <row r="77" spans="2:28" outlineLevel="1">
      <c r="B77" s="238">
        <f t="shared" si="5"/>
        <v>47969</v>
      </c>
      <c r="C77" s="342">
        <v>1889745.2776955396</v>
      </c>
      <c r="D77" s="234">
        <f>IF(ISNUMBER($F77),VLOOKUP($J77,'Table 1'!$B$13:$G$40,2,FALSE)/12*1000*Study_MW,"")</f>
        <v>0</v>
      </c>
      <c r="E77" s="234">
        <f t="shared" si="6"/>
        <v>1889745.2776955396</v>
      </c>
      <c r="F77" s="342">
        <v>74400</v>
      </c>
      <c r="G77" s="239">
        <f t="shared" si="7"/>
        <v>25.399802119563706</v>
      </c>
      <c r="I77" s="240">
        <f t="shared" si="20"/>
        <v>83</v>
      </c>
      <c r="J77" s="237">
        <f t="shared" si="8"/>
        <v>2031</v>
      </c>
      <c r="K77" s="238">
        <f t="shared" si="21"/>
        <v>47969</v>
      </c>
      <c r="V77" s="97" t="str">
        <f t="shared" si="41"/>
        <v>Summer</v>
      </c>
      <c r="AA77" s="337">
        <f t="shared" ref="AA77:AA140" si="42">Inflation</f>
        <v>2.18E-2</v>
      </c>
      <c r="AB77" s="336">
        <f t="shared" si="9"/>
        <v>0</v>
      </c>
    </row>
    <row r="78" spans="2:28" outlineLevel="1">
      <c r="B78" s="238">
        <f t="shared" ref="B78:B141" si="43">EDATE(B77,1)</f>
        <v>48000</v>
      </c>
      <c r="C78" s="342">
        <v>2313631.298112581</v>
      </c>
      <c r="D78" s="234">
        <f>IF(ISNUMBER($F78),VLOOKUP($J78,'Table 1'!$B$13:$G$40,2,FALSE)/12*1000*Study_MW,"")</f>
        <v>0</v>
      </c>
      <c r="E78" s="234">
        <f t="shared" ref="E78:E141" si="44">IF(ISNUMBER(C78+D78),C78+D78,"")</f>
        <v>2313631.298112581</v>
      </c>
      <c r="F78" s="342">
        <v>72000</v>
      </c>
      <c r="G78" s="239">
        <f t="shared" ref="G78:G141" si="45">IF(ISNUMBER($F78),E78/$F78,"")</f>
        <v>32.133768029341404</v>
      </c>
      <c r="I78" s="240">
        <f t="shared" si="20"/>
        <v>84</v>
      </c>
      <c r="J78" s="237">
        <f t="shared" ref="J78:J141" si="46">YEAR(B78)</f>
        <v>2031</v>
      </c>
      <c r="K78" s="238">
        <f t="shared" si="21"/>
        <v>48000</v>
      </c>
      <c r="V78" s="97" t="str">
        <f t="shared" si="41"/>
        <v>Summer</v>
      </c>
      <c r="AA78" s="337">
        <f t="shared" si="42"/>
        <v>2.18E-2</v>
      </c>
      <c r="AB78" s="336">
        <f t="shared" ref="AB78:AB141" si="47">IF($AB$8="Solar",IFERROR(IF(J78&gt;$AC$1,-0.005,0),AB66),0)</f>
        <v>0</v>
      </c>
    </row>
    <row r="79" spans="2:28" outlineLevel="1">
      <c r="B79" s="238">
        <f t="shared" si="43"/>
        <v>48030</v>
      </c>
      <c r="C79" s="342">
        <v>3534344.1617304124</v>
      </c>
      <c r="D79" s="234">
        <f>IF(ISNUMBER($F79),VLOOKUP($J79,'Table 1'!$B$13:$G$40,2,FALSE)/12*1000*Study_MW,"")</f>
        <v>0</v>
      </c>
      <c r="E79" s="234">
        <f t="shared" si="44"/>
        <v>3534344.1617304124</v>
      </c>
      <c r="F79" s="342">
        <v>74400</v>
      </c>
      <c r="G79" s="239">
        <f t="shared" si="45"/>
        <v>47.504625829709845</v>
      </c>
      <c r="I79" s="240">
        <f t="shared" si="20"/>
        <v>85</v>
      </c>
      <c r="J79" s="237">
        <f t="shared" si="46"/>
        <v>2031</v>
      </c>
      <c r="K79" s="238">
        <f t="shared" si="21"/>
        <v>48030</v>
      </c>
      <c r="V79" s="97" t="str">
        <f t="shared" si="41"/>
        <v>Summer</v>
      </c>
      <c r="AA79" s="337">
        <f t="shared" si="42"/>
        <v>2.18E-2</v>
      </c>
      <c r="AB79" s="336">
        <f t="shared" si="47"/>
        <v>0</v>
      </c>
    </row>
    <row r="80" spans="2:28" outlineLevel="1">
      <c r="B80" s="238">
        <f t="shared" si="43"/>
        <v>48061</v>
      </c>
      <c r="C80" s="342">
        <v>4148723.9911063099</v>
      </c>
      <c r="D80" s="234">
        <f>IF(ISNUMBER($F80),VLOOKUP($J80,'Table 1'!$B$13:$G$40,2,FALSE)/12*1000*Study_MW,"")</f>
        <v>0</v>
      </c>
      <c r="E80" s="234">
        <f t="shared" si="44"/>
        <v>4148723.9911063099</v>
      </c>
      <c r="F80" s="342">
        <v>74400</v>
      </c>
      <c r="G80" s="239">
        <f t="shared" si="45"/>
        <v>55.762419235299866</v>
      </c>
      <c r="I80" s="240">
        <f t="shared" si="20"/>
        <v>86</v>
      </c>
      <c r="J80" s="237">
        <f t="shared" si="46"/>
        <v>2031</v>
      </c>
      <c r="K80" s="238">
        <f t="shared" si="21"/>
        <v>48061</v>
      </c>
      <c r="V80" s="97" t="str">
        <f t="shared" si="41"/>
        <v>Summer</v>
      </c>
      <c r="AA80" s="337">
        <f t="shared" si="42"/>
        <v>2.18E-2</v>
      </c>
      <c r="AB80" s="336">
        <f t="shared" si="47"/>
        <v>0</v>
      </c>
    </row>
    <row r="81" spans="2:28" outlineLevel="1">
      <c r="B81" s="238">
        <f t="shared" si="43"/>
        <v>48092</v>
      </c>
      <c r="C81" s="342">
        <v>3425525.1372854584</v>
      </c>
      <c r="D81" s="234">
        <f>IF(ISNUMBER($F81),VLOOKUP($J81,'Table 1'!$B$13:$G$40,2,FALSE)/12*1000*Study_MW,"")</f>
        <v>0</v>
      </c>
      <c r="E81" s="234">
        <f t="shared" si="44"/>
        <v>3425525.1372854584</v>
      </c>
      <c r="F81" s="342">
        <v>72000</v>
      </c>
      <c r="G81" s="239">
        <f t="shared" si="45"/>
        <v>47.576738017853586</v>
      </c>
      <c r="I81" s="240">
        <f t="shared" si="20"/>
        <v>87</v>
      </c>
      <c r="J81" s="237">
        <f t="shared" si="46"/>
        <v>2031</v>
      </c>
      <c r="K81" s="238">
        <f t="shared" si="21"/>
        <v>48092</v>
      </c>
      <c r="V81" s="97" t="str">
        <f t="shared" si="41"/>
        <v>Winter</v>
      </c>
      <c r="AA81" s="337">
        <f t="shared" si="42"/>
        <v>2.18E-2</v>
      </c>
      <c r="AB81" s="336">
        <f t="shared" si="47"/>
        <v>0</v>
      </c>
    </row>
    <row r="82" spans="2:28" outlineLevel="1">
      <c r="B82" s="238">
        <f t="shared" si="43"/>
        <v>48122</v>
      </c>
      <c r="C82" s="342">
        <v>2650571.9544470338</v>
      </c>
      <c r="D82" s="234">
        <f>IF(ISNUMBER($F82),VLOOKUP($J82,'Table 1'!$B$13:$G$40,2,FALSE)/12*1000*Study_MW,"")</f>
        <v>0</v>
      </c>
      <c r="E82" s="234">
        <f t="shared" si="44"/>
        <v>2650571.9544470338</v>
      </c>
      <c r="F82" s="342">
        <v>74400</v>
      </c>
      <c r="G82" s="239">
        <f t="shared" si="45"/>
        <v>35.625967129664431</v>
      </c>
      <c r="I82" s="240">
        <f t="shared" si="20"/>
        <v>88</v>
      </c>
      <c r="J82" s="237">
        <f t="shared" si="46"/>
        <v>2031</v>
      </c>
      <c r="K82" s="238">
        <f t="shared" si="21"/>
        <v>48122</v>
      </c>
      <c r="V82" s="97" t="str">
        <f t="shared" si="41"/>
        <v>Winter</v>
      </c>
      <c r="AA82" s="337">
        <f t="shared" si="42"/>
        <v>2.18E-2</v>
      </c>
      <c r="AB82" s="336">
        <f t="shared" si="47"/>
        <v>0</v>
      </c>
    </row>
    <row r="83" spans="2:28" outlineLevel="1">
      <c r="B83" s="238">
        <f t="shared" si="43"/>
        <v>48153</v>
      </c>
      <c r="C83" s="342">
        <v>3297391.6249674466</v>
      </c>
      <c r="D83" s="234">
        <f>IF(ISNUMBER($F83),VLOOKUP($J83,'Table 1'!$B$13:$G$40,2,FALSE)/12*1000*Study_MW,"")</f>
        <v>0</v>
      </c>
      <c r="E83" s="234">
        <f t="shared" si="44"/>
        <v>3297391.6249674466</v>
      </c>
      <c r="F83" s="342">
        <v>72000</v>
      </c>
      <c r="G83" s="239">
        <f t="shared" si="45"/>
        <v>45.797105902325647</v>
      </c>
      <c r="I83" s="240">
        <f t="shared" si="20"/>
        <v>89</v>
      </c>
      <c r="J83" s="237">
        <f t="shared" si="46"/>
        <v>2031</v>
      </c>
      <c r="K83" s="238">
        <f t="shared" si="21"/>
        <v>48153</v>
      </c>
      <c r="V83" s="97" t="str">
        <f t="shared" si="41"/>
        <v>Winter</v>
      </c>
      <c r="AA83" s="337">
        <f t="shared" si="42"/>
        <v>2.18E-2</v>
      </c>
      <c r="AB83" s="336">
        <f t="shared" si="47"/>
        <v>0</v>
      </c>
    </row>
    <row r="84" spans="2:28" outlineLevel="1">
      <c r="B84" s="244">
        <f t="shared" si="43"/>
        <v>48183</v>
      </c>
      <c r="C84" s="343">
        <v>3526673.2221903768</v>
      </c>
      <c r="D84" s="245">
        <f>IF(ISNUMBER($F84),VLOOKUP($J84,'Table 1'!$B$13:$G$40,2,FALSE)/12*1000*Study_MW,"")</f>
        <v>0</v>
      </c>
      <c r="E84" s="245">
        <f t="shared" si="44"/>
        <v>3526673.2221903768</v>
      </c>
      <c r="F84" s="343">
        <v>74400.000000000015</v>
      </c>
      <c r="G84" s="246">
        <f t="shared" si="45"/>
        <v>47.40152180363409</v>
      </c>
      <c r="I84" s="247">
        <f t="shared" si="20"/>
        <v>90</v>
      </c>
      <c r="J84" s="237">
        <f t="shared" si="46"/>
        <v>2031</v>
      </c>
      <c r="K84" s="244">
        <f t="shared" si="21"/>
        <v>48183</v>
      </c>
      <c r="V84" s="97" t="str">
        <f t="shared" si="41"/>
        <v>Winter</v>
      </c>
      <c r="AA84" s="337">
        <f t="shared" si="42"/>
        <v>2.18E-2</v>
      </c>
      <c r="AB84" s="336">
        <f t="shared" si="47"/>
        <v>0</v>
      </c>
    </row>
    <row r="85" spans="2:28" outlineLevel="1">
      <c r="B85" s="232">
        <f t="shared" si="43"/>
        <v>48214</v>
      </c>
      <c r="C85" s="338">
        <v>3139831.0698816422</v>
      </c>
      <c r="D85" s="233">
        <f>IF(ISNUMBER($F85),VLOOKUP($J85,'Table 1'!$B$13:$G$40,2,FALSE)/12*1000*Study_MW,"")</f>
        <v>0</v>
      </c>
      <c r="E85" s="233">
        <f t="shared" si="44"/>
        <v>3139831.0698816422</v>
      </c>
      <c r="F85" s="338">
        <v>74400</v>
      </c>
      <c r="G85" s="235">
        <f t="shared" si="45"/>
        <v>42.202030509161858</v>
      </c>
      <c r="I85" s="236">
        <f>I73+13</f>
        <v>92</v>
      </c>
      <c r="J85" s="237">
        <f t="shared" si="46"/>
        <v>2032</v>
      </c>
      <c r="K85" s="232">
        <f t="shared" si="21"/>
        <v>48214</v>
      </c>
      <c r="V85" s="97" t="str">
        <f t="shared" si="41"/>
        <v>Winter</v>
      </c>
      <c r="AA85" s="337">
        <f t="shared" si="42"/>
        <v>2.18E-2</v>
      </c>
      <c r="AB85" s="336">
        <f t="shared" si="47"/>
        <v>0</v>
      </c>
    </row>
    <row r="86" spans="2:28" outlineLevel="1">
      <c r="B86" s="238">
        <f t="shared" si="43"/>
        <v>48245</v>
      </c>
      <c r="C86" s="342">
        <v>2915300.6514645312</v>
      </c>
      <c r="D86" s="234">
        <f>IF(ISNUMBER($F86),VLOOKUP($J86,'Table 1'!$B$13:$G$40,2,FALSE)/12*1000*Study_MW,"")</f>
        <v>0</v>
      </c>
      <c r="E86" s="234">
        <f t="shared" si="44"/>
        <v>2915300.6514645312</v>
      </c>
      <c r="F86" s="342">
        <v>69600</v>
      </c>
      <c r="G86" s="239">
        <f t="shared" si="45"/>
        <v>41.886503612996137</v>
      </c>
      <c r="I86" s="240">
        <f t="shared" si="20"/>
        <v>93</v>
      </c>
      <c r="J86" s="237">
        <f t="shared" si="46"/>
        <v>2032</v>
      </c>
      <c r="K86" s="238">
        <f t="shared" si="21"/>
        <v>48245</v>
      </c>
      <c r="V86" s="97" t="str">
        <f t="shared" si="41"/>
        <v>Winter</v>
      </c>
      <c r="AA86" s="337">
        <f t="shared" si="42"/>
        <v>2.18E-2</v>
      </c>
      <c r="AB86" s="336">
        <f t="shared" si="47"/>
        <v>0</v>
      </c>
    </row>
    <row r="87" spans="2:28" outlineLevel="1">
      <c r="B87" s="238">
        <f t="shared" si="43"/>
        <v>48274</v>
      </c>
      <c r="C87" s="342">
        <v>2066844.4956116583</v>
      </c>
      <c r="D87" s="234">
        <f>IF(ISNUMBER($F87),VLOOKUP($J87,'Table 1'!$B$13:$G$40,2,FALSE)/12*1000*Study_MW,"")</f>
        <v>0</v>
      </c>
      <c r="E87" s="234">
        <f t="shared" si="44"/>
        <v>2066844.4956116583</v>
      </c>
      <c r="F87" s="342">
        <v>74400</v>
      </c>
      <c r="G87" s="239">
        <f t="shared" si="45"/>
        <v>27.780167951769602</v>
      </c>
      <c r="I87" s="240">
        <f t="shared" si="20"/>
        <v>94</v>
      </c>
      <c r="J87" s="237">
        <f t="shared" si="46"/>
        <v>2032</v>
      </c>
      <c r="K87" s="238">
        <f t="shared" si="21"/>
        <v>48274</v>
      </c>
      <c r="V87" s="97" t="str">
        <f t="shared" si="41"/>
        <v>Winter</v>
      </c>
      <c r="AA87" s="337">
        <f t="shared" si="42"/>
        <v>2.18E-2</v>
      </c>
      <c r="AB87" s="336">
        <f t="shared" si="47"/>
        <v>0</v>
      </c>
    </row>
    <row r="88" spans="2:28" outlineLevel="1">
      <c r="B88" s="238">
        <f t="shared" si="43"/>
        <v>48305</v>
      </c>
      <c r="C88" s="342">
        <v>1572955.5173304542</v>
      </c>
      <c r="D88" s="234">
        <f>IF(ISNUMBER($F88),VLOOKUP($J88,'Table 1'!$B$13:$G$40,2,FALSE)/12*1000*Study_MW,"")</f>
        <v>0</v>
      </c>
      <c r="E88" s="234">
        <f t="shared" si="44"/>
        <v>1572955.5173304542</v>
      </c>
      <c r="F88" s="342">
        <v>72000</v>
      </c>
      <c r="G88" s="239">
        <f t="shared" si="45"/>
        <v>21.846604407367419</v>
      </c>
      <c r="I88" s="240">
        <f t="shared" si="20"/>
        <v>95</v>
      </c>
      <c r="J88" s="237">
        <f t="shared" si="46"/>
        <v>2032</v>
      </c>
      <c r="K88" s="238">
        <f t="shared" si="21"/>
        <v>48305</v>
      </c>
      <c r="V88" s="97" t="str">
        <f t="shared" si="41"/>
        <v>Winter</v>
      </c>
      <c r="AA88" s="337">
        <f t="shared" si="42"/>
        <v>2.18E-2</v>
      </c>
      <c r="AB88" s="336">
        <f t="shared" si="47"/>
        <v>0</v>
      </c>
    </row>
    <row r="89" spans="2:28" outlineLevel="1">
      <c r="B89" s="238">
        <f t="shared" si="43"/>
        <v>48335</v>
      </c>
      <c r="C89" s="342">
        <v>1851233.7079565767</v>
      </c>
      <c r="D89" s="234">
        <f>IF(ISNUMBER($F89),VLOOKUP($J89,'Table 1'!$B$13:$G$40,2,FALSE)/12*1000*Study_MW,"")</f>
        <v>0</v>
      </c>
      <c r="E89" s="234">
        <f t="shared" si="44"/>
        <v>1851233.7079565767</v>
      </c>
      <c r="F89" s="342">
        <v>74400</v>
      </c>
      <c r="G89" s="239">
        <f t="shared" si="45"/>
        <v>24.882173494040011</v>
      </c>
      <c r="I89" s="240">
        <f t="shared" si="20"/>
        <v>96</v>
      </c>
      <c r="J89" s="237">
        <f t="shared" si="46"/>
        <v>2032</v>
      </c>
      <c r="K89" s="238">
        <f t="shared" si="21"/>
        <v>48335</v>
      </c>
      <c r="V89" s="97" t="str">
        <f t="shared" si="41"/>
        <v>Summer</v>
      </c>
      <c r="AA89" s="337">
        <f t="shared" si="42"/>
        <v>2.18E-2</v>
      </c>
      <c r="AB89" s="336">
        <f t="shared" si="47"/>
        <v>0</v>
      </c>
    </row>
    <row r="90" spans="2:28" outlineLevel="1">
      <c r="B90" s="238">
        <f t="shared" si="43"/>
        <v>48366</v>
      </c>
      <c r="C90" s="342">
        <v>2033152.9377970872</v>
      </c>
      <c r="D90" s="234">
        <f>IF(ISNUMBER($F90),VLOOKUP($J90,'Table 1'!$B$13:$G$40,2,FALSE)/12*1000*Study_MW,"")</f>
        <v>0</v>
      </c>
      <c r="E90" s="234">
        <f t="shared" si="44"/>
        <v>2033152.9377970872</v>
      </c>
      <c r="F90" s="342">
        <v>72000</v>
      </c>
      <c r="G90" s="239">
        <f t="shared" si="45"/>
        <v>28.238235247181766</v>
      </c>
      <c r="I90" s="240">
        <f t="shared" ref="I90:I96" si="48">I78+13</f>
        <v>97</v>
      </c>
      <c r="J90" s="237">
        <f t="shared" si="46"/>
        <v>2032</v>
      </c>
      <c r="K90" s="238">
        <f t="shared" ref="K90:K153" si="49">IF(ISNUMBER(F90),IF(F90&lt;&gt;0,B90,""),"")</f>
        <v>48366</v>
      </c>
      <c r="V90" s="97" t="str">
        <f t="shared" si="41"/>
        <v>Summer</v>
      </c>
      <c r="AA90" s="337">
        <f t="shared" si="42"/>
        <v>2.18E-2</v>
      </c>
      <c r="AB90" s="336">
        <f t="shared" si="47"/>
        <v>0</v>
      </c>
    </row>
    <row r="91" spans="2:28" outlineLevel="1">
      <c r="B91" s="238">
        <f t="shared" si="43"/>
        <v>48396</v>
      </c>
      <c r="C91" s="342">
        <v>3574843.7703668787</v>
      </c>
      <c r="D91" s="234">
        <f>IF(ISNUMBER($F91),VLOOKUP($J91,'Table 1'!$B$13:$G$40,2,FALSE)/12*1000*Study_MW,"")</f>
        <v>0</v>
      </c>
      <c r="E91" s="234">
        <f t="shared" si="44"/>
        <v>3574843.7703668787</v>
      </c>
      <c r="F91" s="342">
        <v>74400</v>
      </c>
      <c r="G91" s="239">
        <f t="shared" si="45"/>
        <v>48.04897540815697</v>
      </c>
      <c r="I91" s="240">
        <f t="shared" si="48"/>
        <v>98</v>
      </c>
      <c r="J91" s="237">
        <f t="shared" si="46"/>
        <v>2032</v>
      </c>
      <c r="K91" s="238">
        <f t="shared" si="49"/>
        <v>48396</v>
      </c>
      <c r="V91" s="97" t="str">
        <f t="shared" si="41"/>
        <v>Summer</v>
      </c>
      <c r="AA91" s="337">
        <f t="shared" si="42"/>
        <v>2.18E-2</v>
      </c>
      <c r="AB91" s="336">
        <f t="shared" si="47"/>
        <v>0</v>
      </c>
    </row>
    <row r="92" spans="2:28" outlineLevel="1">
      <c r="B92" s="238">
        <f t="shared" si="43"/>
        <v>48427</v>
      </c>
      <c r="C92" s="342">
        <v>3988250.4400509205</v>
      </c>
      <c r="D92" s="234">
        <f>IF(ISNUMBER($F92),VLOOKUP($J92,'Table 1'!$B$13:$G$40,2,FALSE)/12*1000*Study_MW,"")</f>
        <v>0</v>
      </c>
      <c r="E92" s="234">
        <f t="shared" si="44"/>
        <v>3988250.4400509205</v>
      </c>
      <c r="F92" s="342">
        <v>74400</v>
      </c>
      <c r="G92" s="239">
        <f t="shared" si="45"/>
        <v>53.605516667351083</v>
      </c>
      <c r="I92" s="240">
        <f t="shared" si="48"/>
        <v>99</v>
      </c>
      <c r="J92" s="237">
        <f t="shared" si="46"/>
        <v>2032</v>
      </c>
      <c r="K92" s="238">
        <f t="shared" si="49"/>
        <v>48427</v>
      </c>
      <c r="V92" s="97" t="str">
        <f t="shared" si="41"/>
        <v>Summer</v>
      </c>
      <c r="AA92" s="337">
        <f t="shared" si="42"/>
        <v>2.18E-2</v>
      </c>
      <c r="AB92" s="336">
        <f t="shared" si="47"/>
        <v>0</v>
      </c>
    </row>
    <row r="93" spans="2:28" outlineLevel="1">
      <c r="B93" s="238">
        <f t="shared" si="43"/>
        <v>48458</v>
      </c>
      <c r="C93" s="342">
        <v>3182120.2429912994</v>
      </c>
      <c r="D93" s="234">
        <f>IF(ISNUMBER($F93),VLOOKUP($J93,'Table 1'!$B$13:$G$40,2,FALSE)/12*1000*Study_MW,"")</f>
        <v>0</v>
      </c>
      <c r="E93" s="234">
        <f t="shared" si="44"/>
        <v>3182120.2429912994</v>
      </c>
      <c r="F93" s="342">
        <v>72000</v>
      </c>
      <c r="G93" s="239">
        <f t="shared" si="45"/>
        <v>44.196114485990272</v>
      </c>
      <c r="I93" s="240">
        <f t="shared" si="48"/>
        <v>100</v>
      </c>
      <c r="J93" s="237">
        <f t="shared" si="46"/>
        <v>2032</v>
      </c>
      <c r="K93" s="238">
        <f t="shared" si="49"/>
        <v>48458</v>
      </c>
      <c r="V93" s="97" t="str">
        <f t="shared" si="41"/>
        <v>Winter</v>
      </c>
      <c r="AA93" s="337">
        <f t="shared" si="42"/>
        <v>2.18E-2</v>
      </c>
      <c r="AB93" s="336">
        <f t="shared" si="47"/>
        <v>0</v>
      </c>
    </row>
    <row r="94" spans="2:28" outlineLevel="1">
      <c r="B94" s="238">
        <f t="shared" si="43"/>
        <v>48488</v>
      </c>
      <c r="C94" s="342">
        <v>1839908.6493207579</v>
      </c>
      <c r="D94" s="234">
        <f>IF(ISNUMBER($F94),VLOOKUP($J94,'Table 1'!$B$13:$G$40,2,FALSE)/12*1000*Study_MW,"")</f>
        <v>0</v>
      </c>
      <c r="E94" s="234">
        <f t="shared" si="44"/>
        <v>1839908.6493207579</v>
      </c>
      <c r="F94" s="342">
        <v>74400</v>
      </c>
      <c r="G94" s="239">
        <f t="shared" si="45"/>
        <v>24.729954963988682</v>
      </c>
      <c r="I94" s="240">
        <f t="shared" si="48"/>
        <v>101</v>
      </c>
      <c r="J94" s="237">
        <f t="shared" si="46"/>
        <v>2032</v>
      </c>
      <c r="K94" s="238">
        <f t="shared" si="49"/>
        <v>48488</v>
      </c>
      <c r="V94" s="97" t="str">
        <f t="shared" si="41"/>
        <v>Winter</v>
      </c>
      <c r="AA94" s="337">
        <f t="shared" si="42"/>
        <v>2.18E-2</v>
      </c>
      <c r="AB94" s="336">
        <f t="shared" si="47"/>
        <v>0</v>
      </c>
    </row>
    <row r="95" spans="2:28" outlineLevel="1">
      <c r="B95" s="238">
        <f t="shared" si="43"/>
        <v>48519</v>
      </c>
      <c r="C95" s="342">
        <v>3509476.7036589435</v>
      </c>
      <c r="D95" s="234">
        <f>IF(ISNUMBER($F95),VLOOKUP($J95,'Table 1'!$B$13:$G$40,2,FALSE)/12*1000*Study_MW,"")</f>
        <v>0</v>
      </c>
      <c r="E95" s="234">
        <f t="shared" si="44"/>
        <v>3509476.7036589435</v>
      </c>
      <c r="F95" s="342">
        <v>72000</v>
      </c>
      <c r="G95" s="239">
        <f t="shared" si="45"/>
        <v>48.742731995263107</v>
      </c>
      <c r="I95" s="240">
        <f t="shared" si="48"/>
        <v>102</v>
      </c>
      <c r="J95" s="237">
        <f t="shared" si="46"/>
        <v>2032</v>
      </c>
      <c r="K95" s="238">
        <f t="shared" si="49"/>
        <v>48519</v>
      </c>
      <c r="V95" s="97" t="str">
        <f t="shared" si="41"/>
        <v>Winter</v>
      </c>
      <c r="AA95" s="337">
        <f t="shared" si="42"/>
        <v>2.18E-2</v>
      </c>
      <c r="AB95" s="336">
        <f t="shared" si="47"/>
        <v>0</v>
      </c>
    </row>
    <row r="96" spans="2:28" outlineLevel="1">
      <c r="B96" s="244">
        <f t="shared" si="43"/>
        <v>48549</v>
      </c>
      <c r="C96" s="343">
        <v>3691997.7037621159</v>
      </c>
      <c r="D96" s="245">
        <f>IF(ISNUMBER($F96),VLOOKUP($J96,'Table 1'!$B$13:$G$40,2,FALSE)/12*1000*Study_MW,"")</f>
        <v>0</v>
      </c>
      <c r="E96" s="245">
        <f t="shared" si="44"/>
        <v>3691997.7037621159</v>
      </c>
      <c r="F96" s="343">
        <v>74400</v>
      </c>
      <c r="G96" s="246">
        <f t="shared" si="45"/>
        <v>49.623625050566076</v>
      </c>
      <c r="I96" s="247">
        <f t="shared" si="48"/>
        <v>103</v>
      </c>
      <c r="J96" s="237">
        <f t="shared" si="46"/>
        <v>2032</v>
      </c>
      <c r="K96" s="244">
        <f t="shared" si="49"/>
        <v>48549</v>
      </c>
      <c r="V96" s="97" t="str">
        <f t="shared" si="41"/>
        <v>Winter</v>
      </c>
      <c r="AA96" s="337">
        <f t="shared" si="42"/>
        <v>2.18E-2</v>
      </c>
      <c r="AB96" s="336">
        <f t="shared" si="47"/>
        <v>0</v>
      </c>
    </row>
    <row r="97" spans="2:28" outlineLevel="1">
      <c r="B97" s="232">
        <f t="shared" si="43"/>
        <v>48580</v>
      </c>
      <c r="C97" s="338">
        <v>3053560.785088819</v>
      </c>
      <c r="D97" s="233">
        <f>IF(ISNUMBER($F97),VLOOKUP($J97,'Table 1'!$B$13:$G$40,2,FALSE)/12*1000*Study_MW,"")</f>
        <v>0</v>
      </c>
      <c r="E97" s="233">
        <f t="shared" si="44"/>
        <v>3053560.785088819</v>
      </c>
      <c r="F97" s="338">
        <v>74400</v>
      </c>
      <c r="G97" s="235">
        <f t="shared" si="45"/>
        <v>41.042483670548641</v>
      </c>
      <c r="I97" s="236">
        <f>I85+13</f>
        <v>105</v>
      </c>
      <c r="J97" s="237">
        <f t="shared" si="46"/>
        <v>2033</v>
      </c>
      <c r="K97" s="232">
        <f t="shared" si="49"/>
        <v>48580</v>
      </c>
      <c r="V97" s="97" t="str">
        <f t="shared" si="41"/>
        <v>Winter</v>
      </c>
      <c r="AA97" s="337">
        <f t="shared" si="42"/>
        <v>2.18E-2</v>
      </c>
      <c r="AB97" s="336">
        <f t="shared" si="47"/>
        <v>0</v>
      </c>
    </row>
    <row r="98" spans="2:28" outlineLevel="1">
      <c r="B98" s="238">
        <f t="shared" si="43"/>
        <v>48611</v>
      </c>
      <c r="C98" s="342">
        <v>2886298.2860291088</v>
      </c>
      <c r="D98" s="234">
        <f>IF(ISNUMBER($F98),VLOOKUP($J98,'Table 1'!$B$13:$G$40,2,FALSE)/12*1000*Study_MW,"")</f>
        <v>0</v>
      </c>
      <c r="E98" s="234">
        <f t="shared" si="44"/>
        <v>2886298.2860291088</v>
      </c>
      <c r="F98" s="342">
        <v>67199.999999999985</v>
      </c>
      <c r="G98" s="239">
        <f t="shared" si="45"/>
        <v>42.95086735162365</v>
      </c>
      <c r="I98" s="240">
        <f t="shared" ref="I98:I120" si="50">I86+13</f>
        <v>106</v>
      </c>
      <c r="J98" s="237">
        <f t="shared" si="46"/>
        <v>2033</v>
      </c>
      <c r="K98" s="238">
        <f t="shared" si="49"/>
        <v>48611</v>
      </c>
      <c r="V98" s="97" t="str">
        <f t="shared" si="41"/>
        <v>Winter</v>
      </c>
      <c r="AA98" s="337">
        <f t="shared" si="42"/>
        <v>2.18E-2</v>
      </c>
      <c r="AB98" s="336">
        <f t="shared" si="47"/>
        <v>0</v>
      </c>
    </row>
    <row r="99" spans="2:28" outlineLevel="1">
      <c r="B99" s="238">
        <f t="shared" si="43"/>
        <v>48639</v>
      </c>
      <c r="C99" s="342">
        <v>2047170.9023397125</v>
      </c>
      <c r="D99" s="234">
        <f>IF(ISNUMBER($F99),VLOOKUP($J99,'Table 1'!$B$13:$G$40,2,FALSE)/12*1000*Study_MW,"")</f>
        <v>0</v>
      </c>
      <c r="E99" s="234">
        <f t="shared" si="44"/>
        <v>2047170.9023397125</v>
      </c>
      <c r="F99" s="342">
        <v>74400</v>
      </c>
      <c r="G99" s="239">
        <f t="shared" si="45"/>
        <v>27.515737934673556</v>
      </c>
      <c r="I99" s="240">
        <f t="shared" si="50"/>
        <v>107</v>
      </c>
      <c r="J99" s="237">
        <f t="shared" si="46"/>
        <v>2033</v>
      </c>
      <c r="K99" s="238">
        <f t="shared" si="49"/>
        <v>48639</v>
      </c>
      <c r="V99" s="97" t="str">
        <f t="shared" si="41"/>
        <v>Winter</v>
      </c>
      <c r="AA99" s="337">
        <f t="shared" si="42"/>
        <v>2.18E-2</v>
      </c>
      <c r="AB99" s="336">
        <f t="shared" si="47"/>
        <v>0</v>
      </c>
    </row>
    <row r="100" spans="2:28" outlineLevel="1">
      <c r="B100" s="238">
        <f t="shared" si="43"/>
        <v>48670</v>
      </c>
      <c r="C100" s="342">
        <v>1435791.3654471193</v>
      </c>
      <c r="D100" s="234">
        <f>IF(ISNUMBER($F100),VLOOKUP($J100,'Table 1'!$B$13:$G$40,2,FALSE)/12*1000*Study_MW,"")</f>
        <v>0</v>
      </c>
      <c r="E100" s="234">
        <f t="shared" si="44"/>
        <v>1435791.3654471193</v>
      </c>
      <c r="F100" s="342">
        <v>72000</v>
      </c>
      <c r="G100" s="239">
        <f t="shared" si="45"/>
        <v>19.941546742321101</v>
      </c>
      <c r="I100" s="240">
        <f t="shared" si="50"/>
        <v>108</v>
      </c>
      <c r="J100" s="237">
        <f t="shared" si="46"/>
        <v>2033</v>
      </c>
      <c r="K100" s="238">
        <f t="shared" si="49"/>
        <v>48670</v>
      </c>
      <c r="V100" s="97" t="str">
        <f t="shared" si="41"/>
        <v>Winter</v>
      </c>
      <c r="AA100" s="337">
        <f t="shared" si="42"/>
        <v>2.18E-2</v>
      </c>
      <c r="AB100" s="336">
        <f t="shared" si="47"/>
        <v>0</v>
      </c>
    </row>
    <row r="101" spans="2:28" outlineLevel="1">
      <c r="B101" s="238">
        <f t="shared" si="43"/>
        <v>48700</v>
      </c>
      <c r="C101" s="342">
        <v>1745230.5193916836</v>
      </c>
      <c r="D101" s="234">
        <f>IF(ISNUMBER($F101),VLOOKUP($J101,'Table 1'!$B$13:$G$40,2,FALSE)/12*1000*Study_MW,"")</f>
        <v>0</v>
      </c>
      <c r="E101" s="234">
        <f t="shared" si="44"/>
        <v>1745230.5193916836</v>
      </c>
      <c r="F101" s="342">
        <v>74400</v>
      </c>
      <c r="G101" s="239">
        <f t="shared" si="45"/>
        <v>23.457399454189297</v>
      </c>
      <c r="I101" s="240">
        <f t="shared" si="50"/>
        <v>109</v>
      </c>
      <c r="J101" s="237">
        <f t="shared" si="46"/>
        <v>2033</v>
      </c>
      <c r="K101" s="238">
        <f t="shared" si="49"/>
        <v>48700</v>
      </c>
      <c r="V101" s="97" t="str">
        <f t="shared" si="41"/>
        <v>Summer</v>
      </c>
      <c r="AA101" s="337">
        <f t="shared" si="42"/>
        <v>2.18E-2</v>
      </c>
      <c r="AB101" s="336">
        <f t="shared" si="47"/>
        <v>0</v>
      </c>
    </row>
    <row r="102" spans="2:28" outlineLevel="1">
      <c r="B102" s="238">
        <f t="shared" si="43"/>
        <v>48731</v>
      </c>
      <c r="C102" s="342">
        <v>1970445.3493687762</v>
      </c>
      <c r="D102" s="234">
        <f>IF(ISNUMBER($F102),VLOOKUP($J102,'Table 1'!$B$13:$G$40,2,FALSE)/12*1000*Study_MW,"")</f>
        <v>0</v>
      </c>
      <c r="E102" s="234">
        <f t="shared" si="44"/>
        <v>1970445.3493687762</v>
      </c>
      <c r="F102" s="342">
        <v>72000</v>
      </c>
      <c r="G102" s="239">
        <f t="shared" si="45"/>
        <v>27.367296519010779</v>
      </c>
      <c r="I102" s="240">
        <f t="shared" si="50"/>
        <v>110</v>
      </c>
      <c r="J102" s="237">
        <f t="shared" si="46"/>
        <v>2033</v>
      </c>
      <c r="K102" s="238">
        <f t="shared" si="49"/>
        <v>48731</v>
      </c>
      <c r="V102" s="97" t="str">
        <f t="shared" si="41"/>
        <v>Summer</v>
      </c>
      <c r="AA102" s="337">
        <f t="shared" si="42"/>
        <v>2.18E-2</v>
      </c>
      <c r="AB102" s="336">
        <f t="shared" si="47"/>
        <v>0</v>
      </c>
    </row>
    <row r="103" spans="2:28" outlineLevel="1">
      <c r="B103" s="238">
        <f t="shared" si="43"/>
        <v>48761</v>
      </c>
      <c r="C103" s="342">
        <v>3671617.6405025325</v>
      </c>
      <c r="D103" s="234">
        <f>IF(ISNUMBER($F103),VLOOKUP($J103,'Table 1'!$B$13:$G$40,2,FALSE)/12*1000*Study_MW,"")</f>
        <v>0</v>
      </c>
      <c r="E103" s="234">
        <f t="shared" si="44"/>
        <v>3671617.6405025325</v>
      </c>
      <c r="F103" s="342">
        <v>74400</v>
      </c>
      <c r="G103" s="239">
        <f t="shared" si="45"/>
        <v>49.349699469120061</v>
      </c>
      <c r="I103" s="240">
        <f t="shared" si="50"/>
        <v>111</v>
      </c>
      <c r="J103" s="237">
        <f t="shared" si="46"/>
        <v>2033</v>
      </c>
      <c r="K103" s="238">
        <f t="shared" si="49"/>
        <v>48761</v>
      </c>
      <c r="V103" s="97" t="str">
        <f t="shared" si="41"/>
        <v>Summer</v>
      </c>
      <c r="AA103" s="337">
        <f t="shared" si="42"/>
        <v>2.18E-2</v>
      </c>
      <c r="AB103" s="336">
        <f t="shared" si="47"/>
        <v>0</v>
      </c>
    </row>
    <row r="104" spans="2:28" outlineLevel="1">
      <c r="B104" s="238">
        <f t="shared" si="43"/>
        <v>48792</v>
      </c>
      <c r="C104" s="342">
        <v>3864578.1116209836</v>
      </c>
      <c r="D104" s="234">
        <f>IF(ISNUMBER($F104),VLOOKUP($J104,'Table 1'!$B$13:$G$40,2,FALSE)/12*1000*Study_MW,"")</f>
        <v>0</v>
      </c>
      <c r="E104" s="234">
        <f t="shared" si="44"/>
        <v>3864578.1116209836</v>
      </c>
      <c r="F104" s="342">
        <v>74400</v>
      </c>
      <c r="G104" s="239">
        <f t="shared" si="45"/>
        <v>51.943254188454077</v>
      </c>
      <c r="I104" s="240">
        <f t="shared" si="50"/>
        <v>112</v>
      </c>
      <c r="J104" s="237">
        <f t="shared" si="46"/>
        <v>2033</v>
      </c>
      <c r="K104" s="238">
        <f t="shared" si="49"/>
        <v>48792</v>
      </c>
      <c r="V104" s="97" t="str">
        <f t="shared" si="41"/>
        <v>Summer</v>
      </c>
      <c r="AA104" s="337">
        <f t="shared" si="42"/>
        <v>2.18E-2</v>
      </c>
      <c r="AB104" s="336">
        <f t="shared" si="47"/>
        <v>0</v>
      </c>
    </row>
    <row r="105" spans="2:28" outlineLevel="1">
      <c r="B105" s="238">
        <f t="shared" si="43"/>
        <v>48823</v>
      </c>
      <c r="C105" s="342">
        <v>3113981.69143403</v>
      </c>
      <c r="D105" s="234">
        <f>IF(ISNUMBER($F105),VLOOKUP($J105,'Table 1'!$B$13:$G$40,2,FALSE)/12*1000*Study_MW,"")</f>
        <v>0</v>
      </c>
      <c r="E105" s="234">
        <f t="shared" si="44"/>
        <v>3113981.69143403</v>
      </c>
      <c r="F105" s="342">
        <v>72000</v>
      </c>
      <c r="G105" s="239">
        <f t="shared" si="45"/>
        <v>43.249745714361531</v>
      </c>
      <c r="I105" s="240">
        <f t="shared" si="50"/>
        <v>113</v>
      </c>
      <c r="J105" s="237">
        <f t="shared" si="46"/>
        <v>2033</v>
      </c>
      <c r="K105" s="238">
        <f t="shared" si="49"/>
        <v>48823</v>
      </c>
      <c r="V105" s="97" t="str">
        <f t="shared" si="41"/>
        <v>Winter</v>
      </c>
      <c r="AA105" s="337">
        <f t="shared" si="42"/>
        <v>2.18E-2</v>
      </c>
      <c r="AB105" s="336">
        <f t="shared" si="47"/>
        <v>0</v>
      </c>
    </row>
    <row r="106" spans="2:28" outlineLevel="1">
      <c r="B106" s="238">
        <f t="shared" si="43"/>
        <v>48853</v>
      </c>
      <c r="C106" s="342">
        <v>1747181.4158655033</v>
      </c>
      <c r="D106" s="234">
        <f>IF(ISNUMBER($F106),VLOOKUP($J106,'Table 1'!$B$13:$G$40,2,FALSE)/12*1000*Study_MW,"")</f>
        <v>0</v>
      </c>
      <c r="E106" s="234">
        <f t="shared" si="44"/>
        <v>1747181.4158655033</v>
      </c>
      <c r="F106" s="342">
        <v>74400</v>
      </c>
      <c r="G106" s="239">
        <f t="shared" si="45"/>
        <v>23.483621180987946</v>
      </c>
      <c r="I106" s="240">
        <f t="shared" si="50"/>
        <v>114</v>
      </c>
      <c r="J106" s="237">
        <f t="shared" si="46"/>
        <v>2033</v>
      </c>
      <c r="K106" s="238">
        <f t="shared" si="49"/>
        <v>48853</v>
      </c>
      <c r="V106" s="97" t="str">
        <f t="shared" si="41"/>
        <v>Winter</v>
      </c>
      <c r="AA106" s="337">
        <f t="shared" si="42"/>
        <v>2.18E-2</v>
      </c>
      <c r="AB106" s="336">
        <f t="shared" si="47"/>
        <v>0</v>
      </c>
    </row>
    <row r="107" spans="2:28" outlineLevel="1">
      <c r="B107" s="238">
        <f t="shared" si="43"/>
        <v>48884</v>
      </c>
      <c r="C107" s="342">
        <v>3308282.7238181382</v>
      </c>
      <c r="D107" s="234">
        <f>IF(ISNUMBER($F107),VLOOKUP($J107,'Table 1'!$B$13:$G$40,2,FALSE)/12*1000*Study_MW,"")</f>
        <v>0</v>
      </c>
      <c r="E107" s="234">
        <f t="shared" si="44"/>
        <v>3308282.7238181382</v>
      </c>
      <c r="F107" s="342">
        <v>72000</v>
      </c>
      <c r="G107" s="239">
        <f t="shared" si="45"/>
        <v>45.948371164140809</v>
      </c>
      <c r="I107" s="240">
        <f t="shared" si="50"/>
        <v>115</v>
      </c>
      <c r="J107" s="237">
        <f t="shared" si="46"/>
        <v>2033</v>
      </c>
      <c r="K107" s="238">
        <f t="shared" si="49"/>
        <v>48884</v>
      </c>
      <c r="V107" s="97" t="str">
        <f t="shared" si="41"/>
        <v>Winter</v>
      </c>
      <c r="AA107" s="337">
        <f t="shared" si="42"/>
        <v>2.18E-2</v>
      </c>
      <c r="AB107" s="336">
        <f t="shared" si="47"/>
        <v>0</v>
      </c>
    </row>
    <row r="108" spans="2:28" outlineLevel="1">
      <c r="B108" s="244">
        <f t="shared" si="43"/>
        <v>48914</v>
      </c>
      <c r="C108" s="343">
        <v>3905369.0139932102</v>
      </c>
      <c r="D108" s="245">
        <f>IF(ISNUMBER($F108),VLOOKUP($J108,'Table 1'!$B$13:$G$40,2,FALSE)/12*1000*Study_MW,"")</f>
        <v>0</v>
      </c>
      <c r="E108" s="245">
        <f t="shared" si="44"/>
        <v>3905369.0139932102</v>
      </c>
      <c r="F108" s="343">
        <v>74400.000000000015</v>
      </c>
      <c r="G108" s="246">
        <f t="shared" si="45"/>
        <v>52.49151900528507</v>
      </c>
      <c r="I108" s="247">
        <f t="shared" si="50"/>
        <v>116</v>
      </c>
      <c r="J108" s="237">
        <f t="shared" si="46"/>
        <v>2033</v>
      </c>
      <c r="K108" s="244">
        <f t="shared" si="49"/>
        <v>48914</v>
      </c>
      <c r="V108" s="97" t="str">
        <f t="shared" si="41"/>
        <v>Winter</v>
      </c>
      <c r="AA108" s="337">
        <f t="shared" si="42"/>
        <v>2.18E-2</v>
      </c>
      <c r="AB108" s="336">
        <f t="shared" si="47"/>
        <v>0</v>
      </c>
    </row>
    <row r="109" spans="2:28" outlineLevel="1">
      <c r="B109" s="232">
        <f t="shared" si="43"/>
        <v>48945</v>
      </c>
      <c r="C109" s="338">
        <v>3038352.9872874422</v>
      </c>
      <c r="D109" s="233">
        <f>IF(ISNUMBER($F109),VLOOKUP($J109,'Table 1'!$B$13:$G$40,2,FALSE)/12*1000*Study_MW,"")</f>
        <v>0</v>
      </c>
      <c r="E109" s="233">
        <f t="shared" si="44"/>
        <v>3038352.9872874422</v>
      </c>
      <c r="F109" s="338">
        <v>74400</v>
      </c>
      <c r="G109" s="235">
        <f t="shared" si="45"/>
        <v>40.838077786121538</v>
      </c>
      <c r="I109" s="236">
        <f>I97+13</f>
        <v>118</v>
      </c>
      <c r="J109" s="237">
        <f t="shared" si="46"/>
        <v>2034</v>
      </c>
      <c r="K109" s="232">
        <f t="shared" si="49"/>
        <v>48945</v>
      </c>
      <c r="V109" s="97" t="str">
        <f t="shared" si="41"/>
        <v>Winter</v>
      </c>
      <c r="AA109" s="337">
        <f t="shared" si="42"/>
        <v>2.18E-2</v>
      </c>
      <c r="AB109" s="336">
        <f t="shared" si="47"/>
        <v>0</v>
      </c>
    </row>
    <row r="110" spans="2:28" outlineLevel="1">
      <c r="B110" s="238">
        <f t="shared" si="43"/>
        <v>48976</v>
      </c>
      <c r="C110" s="342">
        <v>2948303.8195754853</v>
      </c>
      <c r="D110" s="234">
        <f>IF(ISNUMBER($F110),VLOOKUP($J110,'Table 1'!$B$13:$G$40,2,FALSE)/12*1000*Study_MW,"")</f>
        <v>0</v>
      </c>
      <c r="E110" s="234">
        <f t="shared" si="44"/>
        <v>2948303.8195754853</v>
      </c>
      <c r="F110" s="342">
        <v>67199.999999999985</v>
      </c>
      <c r="G110" s="239">
        <f t="shared" si="45"/>
        <v>43.873568743682824</v>
      </c>
      <c r="I110" s="240">
        <f t="shared" si="50"/>
        <v>119</v>
      </c>
      <c r="J110" s="237">
        <f t="shared" si="46"/>
        <v>2034</v>
      </c>
      <c r="K110" s="238">
        <f t="shared" si="49"/>
        <v>48976</v>
      </c>
      <c r="V110" s="97" t="str">
        <f t="shared" si="41"/>
        <v>Winter</v>
      </c>
      <c r="AA110" s="337">
        <f t="shared" si="42"/>
        <v>2.18E-2</v>
      </c>
      <c r="AB110" s="336">
        <f t="shared" si="47"/>
        <v>0</v>
      </c>
    </row>
    <row r="111" spans="2:28" outlineLevel="1">
      <c r="B111" s="238">
        <f t="shared" si="43"/>
        <v>49004</v>
      </c>
      <c r="C111" s="342">
        <v>1930680.5538047194</v>
      </c>
      <c r="D111" s="234">
        <f>IF(ISNUMBER($F111),VLOOKUP($J111,'Table 1'!$B$13:$G$40,2,FALSE)/12*1000*Study_MW,"")</f>
        <v>0</v>
      </c>
      <c r="E111" s="234">
        <f t="shared" si="44"/>
        <v>1930680.5538047194</v>
      </c>
      <c r="F111" s="342">
        <v>74400</v>
      </c>
      <c r="G111" s="239">
        <f t="shared" si="45"/>
        <v>25.95000744361182</v>
      </c>
      <c r="I111" s="240">
        <f t="shared" si="50"/>
        <v>120</v>
      </c>
      <c r="J111" s="237">
        <f t="shared" si="46"/>
        <v>2034</v>
      </c>
      <c r="K111" s="238">
        <f t="shared" si="49"/>
        <v>49004</v>
      </c>
      <c r="V111" s="97" t="str">
        <f t="shared" si="41"/>
        <v>Winter</v>
      </c>
      <c r="AA111" s="337">
        <f t="shared" si="42"/>
        <v>2.18E-2</v>
      </c>
      <c r="AB111" s="336">
        <f t="shared" si="47"/>
        <v>0</v>
      </c>
    </row>
    <row r="112" spans="2:28" outlineLevel="1">
      <c r="B112" s="238">
        <f t="shared" si="43"/>
        <v>49035</v>
      </c>
      <c r="C112" s="342">
        <v>1244299.9439802514</v>
      </c>
      <c r="D112" s="234">
        <f>IF(ISNUMBER($F112),VLOOKUP($J112,'Table 1'!$B$13:$G$40,2,FALSE)/12*1000*Study_MW,"")</f>
        <v>0</v>
      </c>
      <c r="E112" s="234">
        <f t="shared" si="44"/>
        <v>1244299.9439802514</v>
      </c>
      <c r="F112" s="342">
        <v>72000</v>
      </c>
      <c r="G112" s="239">
        <f t="shared" si="45"/>
        <v>17.28194366639238</v>
      </c>
      <c r="I112" s="240">
        <f t="shared" si="50"/>
        <v>121</v>
      </c>
      <c r="J112" s="237">
        <f t="shared" si="46"/>
        <v>2034</v>
      </c>
      <c r="K112" s="238">
        <f t="shared" si="49"/>
        <v>49035</v>
      </c>
      <c r="V112" s="97" t="str">
        <f t="shared" si="41"/>
        <v>Winter</v>
      </c>
      <c r="AA112" s="337">
        <f t="shared" si="42"/>
        <v>2.18E-2</v>
      </c>
      <c r="AB112" s="336">
        <f t="shared" si="47"/>
        <v>0</v>
      </c>
    </row>
    <row r="113" spans="2:28" outlineLevel="1">
      <c r="B113" s="238">
        <f t="shared" si="43"/>
        <v>49065</v>
      </c>
      <c r="C113" s="342">
        <v>1970976.9105549203</v>
      </c>
      <c r="D113" s="234">
        <f>IF(ISNUMBER($F113),VLOOKUP($J113,'Table 1'!$B$13:$G$40,2,FALSE)/12*1000*Study_MW,"")</f>
        <v>0</v>
      </c>
      <c r="E113" s="234">
        <f t="shared" si="44"/>
        <v>1970976.9105549203</v>
      </c>
      <c r="F113" s="342">
        <v>74400</v>
      </c>
      <c r="G113" s="239">
        <f t="shared" si="45"/>
        <v>26.49162514186721</v>
      </c>
      <c r="I113" s="240">
        <f t="shared" si="50"/>
        <v>122</v>
      </c>
      <c r="J113" s="237">
        <f t="shared" si="46"/>
        <v>2034</v>
      </c>
      <c r="K113" s="238">
        <f t="shared" si="49"/>
        <v>49065</v>
      </c>
      <c r="V113" s="97" t="str">
        <f t="shared" si="41"/>
        <v>Summer</v>
      </c>
      <c r="AA113" s="337">
        <f t="shared" si="42"/>
        <v>2.18E-2</v>
      </c>
      <c r="AB113" s="336">
        <f t="shared" si="47"/>
        <v>0</v>
      </c>
    </row>
    <row r="114" spans="2:28" outlineLevel="1">
      <c r="B114" s="238">
        <f t="shared" si="43"/>
        <v>49096</v>
      </c>
      <c r="C114" s="342">
        <v>2158459.4060649397</v>
      </c>
      <c r="D114" s="234">
        <f>IF(ISNUMBER($F114),VLOOKUP($J114,'Table 1'!$B$13:$G$40,2,FALSE)/12*1000*Study_MW,"")</f>
        <v>0</v>
      </c>
      <c r="E114" s="234">
        <f t="shared" si="44"/>
        <v>2158459.4060649397</v>
      </c>
      <c r="F114" s="342">
        <v>72000</v>
      </c>
      <c r="G114" s="239">
        <f t="shared" si="45"/>
        <v>29.978602862013052</v>
      </c>
      <c r="I114" s="240">
        <f t="shared" si="50"/>
        <v>123</v>
      </c>
      <c r="J114" s="237">
        <f t="shared" si="46"/>
        <v>2034</v>
      </c>
      <c r="K114" s="238">
        <f t="shared" si="49"/>
        <v>49096</v>
      </c>
      <c r="V114" s="97" t="str">
        <f t="shared" si="41"/>
        <v>Summer</v>
      </c>
      <c r="AA114" s="337">
        <f t="shared" si="42"/>
        <v>2.18E-2</v>
      </c>
      <c r="AB114" s="336">
        <f t="shared" si="47"/>
        <v>0</v>
      </c>
    </row>
    <row r="115" spans="2:28" outlineLevel="1">
      <c r="B115" s="238">
        <f t="shared" si="43"/>
        <v>49126</v>
      </c>
      <c r="C115" s="342">
        <v>3765390.7325689616</v>
      </c>
      <c r="D115" s="234">
        <f>IF(ISNUMBER($F115),VLOOKUP($J115,'Table 1'!$B$13:$G$40,2,FALSE)/12*1000*Study_MW,"")</f>
        <v>0</v>
      </c>
      <c r="E115" s="234">
        <f t="shared" si="44"/>
        <v>3765390.7325689616</v>
      </c>
      <c r="F115" s="342">
        <v>74400</v>
      </c>
      <c r="G115" s="239">
        <f t="shared" si="45"/>
        <v>50.610090491518299</v>
      </c>
      <c r="I115" s="240">
        <f t="shared" si="50"/>
        <v>124</v>
      </c>
      <c r="J115" s="237">
        <f t="shared" si="46"/>
        <v>2034</v>
      </c>
      <c r="K115" s="238">
        <f t="shared" si="49"/>
        <v>49126</v>
      </c>
      <c r="V115" s="97" t="str">
        <f t="shared" si="41"/>
        <v>Summer</v>
      </c>
      <c r="AA115" s="337">
        <f t="shared" si="42"/>
        <v>2.18E-2</v>
      </c>
      <c r="AB115" s="336">
        <f t="shared" si="47"/>
        <v>0</v>
      </c>
    </row>
    <row r="116" spans="2:28" outlineLevel="1">
      <c r="B116" s="238">
        <f t="shared" si="43"/>
        <v>49157</v>
      </c>
      <c r="C116" s="342">
        <v>3966213.9271715279</v>
      </c>
      <c r="D116" s="234">
        <f>IF(ISNUMBER($F116),VLOOKUP($J116,'Table 1'!$B$13:$G$40,2,FALSE)/12*1000*Study_MW,"")</f>
        <v>0</v>
      </c>
      <c r="E116" s="234">
        <f t="shared" si="44"/>
        <v>3966213.9271715279</v>
      </c>
      <c r="F116" s="342">
        <v>74400</v>
      </c>
      <c r="G116" s="239">
        <f t="shared" si="45"/>
        <v>53.309326978111933</v>
      </c>
      <c r="I116" s="240">
        <f t="shared" si="50"/>
        <v>125</v>
      </c>
      <c r="J116" s="237">
        <f t="shared" si="46"/>
        <v>2034</v>
      </c>
      <c r="K116" s="238">
        <f t="shared" si="49"/>
        <v>49157</v>
      </c>
      <c r="V116" s="97" t="str">
        <f t="shared" si="41"/>
        <v>Summer</v>
      </c>
      <c r="AA116" s="337">
        <f t="shared" si="42"/>
        <v>2.18E-2</v>
      </c>
      <c r="AB116" s="336">
        <f t="shared" si="47"/>
        <v>0</v>
      </c>
    </row>
    <row r="117" spans="2:28" outlineLevel="1">
      <c r="B117" s="238">
        <f t="shared" si="43"/>
        <v>49188</v>
      </c>
      <c r="C117" s="342">
        <v>3309772.5374307558</v>
      </c>
      <c r="D117" s="234">
        <f>IF(ISNUMBER($F117),VLOOKUP($J117,'Table 1'!$B$13:$G$40,2,FALSE)/12*1000*Study_MW,"")</f>
        <v>0</v>
      </c>
      <c r="E117" s="234">
        <f t="shared" si="44"/>
        <v>3309772.5374307558</v>
      </c>
      <c r="F117" s="342">
        <v>72000</v>
      </c>
      <c r="G117" s="239">
        <f t="shared" si="45"/>
        <v>45.969063019871605</v>
      </c>
      <c r="I117" s="240">
        <f t="shared" si="50"/>
        <v>126</v>
      </c>
      <c r="J117" s="237">
        <f t="shared" si="46"/>
        <v>2034</v>
      </c>
      <c r="K117" s="238">
        <f t="shared" si="49"/>
        <v>49188</v>
      </c>
      <c r="V117" s="97" t="str">
        <f t="shared" si="41"/>
        <v>Winter</v>
      </c>
      <c r="AA117" s="337">
        <f t="shared" si="42"/>
        <v>2.18E-2</v>
      </c>
      <c r="AB117" s="336">
        <f t="shared" si="47"/>
        <v>0</v>
      </c>
    </row>
    <row r="118" spans="2:28" outlineLevel="1">
      <c r="B118" s="238">
        <f t="shared" si="43"/>
        <v>49218</v>
      </c>
      <c r="C118" s="342">
        <v>1832850.8116920274</v>
      </c>
      <c r="D118" s="234">
        <f>IF(ISNUMBER($F118),VLOOKUP($J118,'Table 1'!$B$13:$G$40,2,FALSE)/12*1000*Study_MW,"")</f>
        <v>0</v>
      </c>
      <c r="E118" s="234">
        <f t="shared" si="44"/>
        <v>1832850.8116920274</v>
      </c>
      <c r="F118" s="342">
        <v>74400</v>
      </c>
      <c r="G118" s="239">
        <f t="shared" si="45"/>
        <v>24.635091555000368</v>
      </c>
      <c r="I118" s="240">
        <f t="shared" si="50"/>
        <v>127</v>
      </c>
      <c r="J118" s="237">
        <f t="shared" si="46"/>
        <v>2034</v>
      </c>
      <c r="K118" s="238">
        <f t="shared" si="49"/>
        <v>49218</v>
      </c>
      <c r="V118" s="97" t="str">
        <f t="shared" si="41"/>
        <v>Winter</v>
      </c>
      <c r="AA118" s="337">
        <f t="shared" si="42"/>
        <v>2.18E-2</v>
      </c>
      <c r="AB118" s="336">
        <f t="shared" si="47"/>
        <v>0</v>
      </c>
    </row>
    <row r="119" spans="2:28" outlineLevel="1">
      <c r="B119" s="238">
        <f t="shared" si="43"/>
        <v>49249</v>
      </c>
      <c r="C119" s="342">
        <v>3516955.4178412836</v>
      </c>
      <c r="D119" s="234">
        <f>IF(ISNUMBER($F119),VLOOKUP($J119,'Table 1'!$B$13:$G$40,2,FALSE)/12*1000*Study_MW,"")</f>
        <v>0</v>
      </c>
      <c r="E119" s="234">
        <f t="shared" si="44"/>
        <v>3516955.4178412836</v>
      </c>
      <c r="F119" s="342">
        <v>72000</v>
      </c>
      <c r="G119" s="239">
        <f t="shared" si="45"/>
        <v>48.84660302557338</v>
      </c>
      <c r="I119" s="240">
        <f t="shared" si="50"/>
        <v>128</v>
      </c>
      <c r="J119" s="237">
        <f t="shared" si="46"/>
        <v>2034</v>
      </c>
      <c r="K119" s="238">
        <f t="shared" si="49"/>
        <v>49249</v>
      </c>
      <c r="V119" s="97" t="str">
        <f t="shared" si="41"/>
        <v>Winter</v>
      </c>
      <c r="AA119" s="337">
        <f t="shared" si="42"/>
        <v>2.18E-2</v>
      </c>
      <c r="AB119" s="336">
        <f t="shared" si="47"/>
        <v>0</v>
      </c>
    </row>
    <row r="120" spans="2:28" outlineLevel="1">
      <c r="B120" s="244">
        <f t="shared" si="43"/>
        <v>49279</v>
      </c>
      <c r="C120" s="343">
        <v>3843463.6132960664</v>
      </c>
      <c r="D120" s="245">
        <f>IF(ISNUMBER($F120),VLOOKUP($J120,'Table 1'!$B$13:$G$40,2,FALSE)/12*1000*Study_MW,"")</f>
        <v>0</v>
      </c>
      <c r="E120" s="245">
        <f t="shared" si="44"/>
        <v>3843463.6132960664</v>
      </c>
      <c r="F120" s="343">
        <v>74400.000000000015</v>
      </c>
      <c r="G120" s="246">
        <f t="shared" si="45"/>
        <v>51.659457167957875</v>
      </c>
      <c r="I120" s="247">
        <f t="shared" si="50"/>
        <v>129</v>
      </c>
      <c r="J120" s="237">
        <f t="shared" si="46"/>
        <v>2034</v>
      </c>
      <c r="K120" s="244">
        <f t="shared" si="49"/>
        <v>49279</v>
      </c>
      <c r="V120" s="97" t="str">
        <f t="shared" si="41"/>
        <v>Winter</v>
      </c>
      <c r="AA120" s="337">
        <f t="shared" si="42"/>
        <v>2.18E-2</v>
      </c>
      <c r="AB120" s="336">
        <f t="shared" si="47"/>
        <v>0</v>
      </c>
    </row>
    <row r="121" spans="2:28" outlineLevel="1">
      <c r="B121" s="232">
        <f t="shared" si="43"/>
        <v>49310</v>
      </c>
      <c r="C121" s="338">
        <v>3150215.6383447293</v>
      </c>
      <c r="D121" s="233">
        <f>IF(ISNUMBER($F121),VLOOKUP($J121,'Table 1'!$B$13:$G$40,2,FALSE)/12*1000*Study_MW,"")</f>
        <v>0</v>
      </c>
      <c r="E121" s="233">
        <f t="shared" si="44"/>
        <v>3150215.6383447293</v>
      </c>
      <c r="F121" s="338">
        <v>74400</v>
      </c>
      <c r="G121" s="235">
        <f t="shared" si="45"/>
        <v>42.341608042267865</v>
      </c>
      <c r="I121" s="236">
        <f>I109+13</f>
        <v>131</v>
      </c>
      <c r="J121" s="237">
        <f t="shared" si="46"/>
        <v>2035</v>
      </c>
      <c r="K121" s="232">
        <f t="shared" si="49"/>
        <v>49310</v>
      </c>
      <c r="V121" s="97" t="str">
        <f t="shared" si="41"/>
        <v>Winter</v>
      </c>
      <c r="AA121" s="337">
        <f t="shared" si="42"/>
        <v>2.18E-2</v>
      </c>
      <c r="AB121" s="336">
        <f t="shared" si="47"/>
        <v>0</v>
      </c>
    </row>
    <row r="122" spans="2:28" outlineLevel="1">
      <c r="B122" s="238">
        <f t="shared" si="43"/>
        <v>49341</v>
      </c>
      <c r="C122" s="342">
        <v>3140245.4701247825</v>
      </c>
      <c r="D122" s="234">
        <f>IF(ISNUMBER($F122),VLOOKUP($J122,'Table 1'!$B$13:$G$40,2,FALSE)/12*1000*Study_MW,"")</f>
        <v>0</v>
      </c>
      <c r="E122" s="234">
        <f t="shared" si="44"/>
        <v>3140245.4701247825</v>
      </c>
      <c r="F122" s="342">
        <v>67199.999999999985</v>
      </c>
      <c r="G122" s="239">
        <f t="shared" si="45"/>
        <v>46.729843305428325</v>
      </c>
      <c r="I122" s="240">
        <f t="shared" ref="I122:I185" si="51">I110+13</f>
        <v>132</v>
      </c>
      <c r="J122" s="237">
        <f t="shared" si="46"/>
        <v>2035</v>
      </c>
      <c r="K122" s="238">
        <f t="shared" si="49"/>
        <v>49341</v>
      </c>
      <c r="V122" s="97" t="str">
        <f t="shared" si="41"/>
        <v>Winter</v>
      </c>
      <c r="AA122" s="337">
        <f t="shared" si="42"/>
        <v>2.18E-2</v>
      </c>
      <c r="AB122" s="336">
        <f t="shared" si="47"/>
        <v>0</v>
      </c>
    </row>
    <row r="123" spans="2:28" outlineLevel="1">
      <c r="B123" s="238">
        <f t="shared" si="43"/>
        <v>49369</v>
      </c>
      <c r="C123" s="342">
        <v>2259301.1831379044</v>
      </c>
      <c r="D123" s="234">
        <f>IF(ISNUMBER($F123),VLOOKUP($J123,'Table 1'!$B$13:$G$40,2,FALSE)/12*1000*Study_MW,"")</f>
        <v>0</v>
      </c>
      <c r="E123" s="234">
        <f t="shared" si="44"/>
        <v>2259301.1831379044</v>
      </c>
      <c r="F123" s="342">
        <v>74400</v>
      </c>
      <c r="G123" s="239">
        <f t="shared" si="45"/>
        <v>30.366951386262155</v>
      </c>
      <c r="I123" s="240">
        <f t="shared" si="51"/>
        <v>133</v>
      </c>
      <c r="J123" s="237">
        <f t="shared" si="46"/>
        <v>2035</v>
      </c>
      <c r="K123" s="238">
        <f t="shared" si="49"/>
        <v>49369</v>
      </c>
      <c r="V123" s="97" t="str">
        <f t="shared" si="41"/>
        <v>Winter</v>
      </c>
      <c r="AA123" s="337">
        <f t="shared" si="42"/>
        <v>2.18E-2</v>
      </c>
      <c r="AB123" s="336">
        <f t="shared" si="47"/>
        <v>0</v>
      </c>
    </row>
    <row r="124" spans="2:28" outlineLevel="1">
      <c r="B124" s="238">
        <f t="shared" si="43"/>
        <v>49400</v>
      </c>
      <c r="C124" s="342">
        <v>1354208.1516306789</v>
      </c>
      <c r="D124" s="234">
        <f>IF(ISNUMBER($F124),VLOOKUP($J124,'Table 1'!$B$13:$G$40,2,FALSE)/12*1000*Study_MW,"")</f>
        <v>0</v>
      </c>
      <c r="E124" s="234">
        <f t="shared" si="44"/>
        <v>1354208.1516306789</v>
      </c>
      <c r="F124" s="342">
        <v>72000</v>
      </c>
      <c r="G124" s="239">
        <f t="shared" si="45"/>
        <v>18.808446550426098</v>
      </c>
      <c r="I124" s="240">
        <f t="shared" si="51"/>
        <v>134</v>
      </c>
      <c r="J124" s="237">
        <f t="shared" si="46"/>
        <v>2035</v>
      </c>
      <c r="K124" s="238">
        <f t="shared" si="49"/>
        <v>49400</v>
      </c>
      <c r="V124" s="97" t="str">
        <f t="shared" si="41"/>
        <v>Winter</v>
      </c>
      <c r="AA124" s="337">
        <f t="shared" si="42"/>
        <v>2.18E-2</v>
      </c>
      <c r="AB124" s="336">
        <f t="shared" si="47"/>
        <v>0</v>
      </c>
    </row>
    <row r="125" spans="2:28" outlineLevel="1">
      <c r="B125" s="238">
        <f t="shared" si="43"/>
        <v>49430</v>
      </c>
      <c r="C125" s="342">
        <v>2101372.4377260515</v>
      </c>
      <c r="D125" s="234">
        <f>IF(ISNUMBER($F125),VLOOKUP($J125,'Table 1'!$B$13:$G$40,2,FALSE)/12*1000*Study_MW,"")</f>
        <v>0</v>
      </c>
      <c r="E125" s="234">
        <f t="shared" si="44"/>
        <v>2101372.4377260515</v>
      </c>
      <c r="F125" s="342">
        <v>74400</v>
      </c>
      <c r="G125" s="239">
        <f t="shared" si="45"/>
        <v>28.244253195242628</v>
      </c>
      <c r="I125" s="240">
        <f t="shared" si="51"/>
        <v>135</v>
      </c>
      <c r="J125" s="237">
        <f t="shared" si="46"/>
        <v>2035</v>
      </c>
      <c r="K125" s="238">
        <f t="shared" si="49"/>
        <v>49430</v>
      </c>
      <c r="V125" s="97" t="str">
        <f t="shared" si="41"/>
        <v>Summer</v>
      </c>
      <c r="AA125" s="337">
        <f t="shared" si="42"/>
        <v>2.18E-2</v>
      </c>
      <c r="AB125" s="336">
        <f t="shared" si="47"/>
        <v>0</v>
      </c>
    </row>
    <row r="126" spans="2:28" outlineLevel="1">
      <c r="B126" s="238">
        <f t="shared" si="43"/>
        <v>49461</v>
      </c>
      <c r="C126" s="342">
        <v>2186287.2480755248</v>
      </c>
      <c r="D126" s="234">
        <f>IF(ISNUMBER($F126),VLOOKUP($J126,'Table 1'!$B$13:$G$40,2,FALSE)/12*1000*Study_MW,"")</f>
        <v>0</v>
      </c>
      <c r="E126" s="234">
        <f t="shared" si="44"/>
        <v>2186287.2480755248</v>
      </c>
      <c r="F126" s="342">
        <v>72000</v>
      </c>
      <c r="G126" s="239">
        <f t="shared" si="45"/>
        <v>30.365100667715623</v>
      </c>
      <c r="I126" s="240">
        <f t="shared" si="51"/>
        <v>136</v>
      </c>
      <c r="J126" s="237">
        <f t="shared" si="46"/>
        <v>2035</v>
      </c>
      <c r="K126" s="238">
        <f t="shared" si="49"/>
        <v>49461</v>
      </c>
      <c r="V126" s="97" t="str">
        <f t="shared" si="41"/>
        <v>Summer</v>
      </c>
      <c r="AA126" s="337">
        <f t="shared" si="42"/>
        <v>2.18E-2</v>
      </c>
      <c r="AB126" s="336">
        <f t="shared" si="47"/>
        <v>0</v>
      </c>
    </row>
    <row r="127" spans="2:28" outlineLevel="1">
      <c r="B127" s="238">
        <f t="shared" si="43"/>
        <v>49491</v>
      </c>
      <c r="C127" s="342">
        <v>3716189.1111550559</v>
      </c>
      <c r="D127" s="234">
        <f>IF(ISNUMBER($F127),VLOOKUP($J127,'Table 1'!$B$13:$G$40,2,FALSE)/12*1000*Study_MW,"")</f>
        <v>0</v>
      </c>
      <c r="E127" s="234">
        <f t="shared" si="44"/>
        <v>3716189.1111550559</v>
      </c>
      <c r="F127" s="342">
        <v>74400</v>
      </c>
      <c r="G127" s="239">
        <f t="shared" si="45"/>
        <v>49.948778375739998</v>
      </c>
      <c r="I127" s="240">
        <f t="shared" si="51"/>
        <v>137</v>
      </c>
      <c r="J127" s="237">
        <f t="shared" si="46"/>
        <v>2035</v>
      </c>
      <c r="K127" s="238">
        <f t="shared" si="49"/>
        <v>49491</v>
      </c>
      <c r="V127" s="97" t="str">
        <f t="shared" si="41"/>
        <v>Summer</v>
      </c>
      <c r="AA127" s="337">
        <f t="shared" si="42"/>
        <v>2.18E-2</v>
      </c>
      <c r="AB127" s="336">
        <f t="shared" si="47"/>
        <v>0</v>
      </c>
    </row>
    <row r="128" spans="2:28" outlineLevel="1">
      <c r="B128" s="238">
        <f t="shared" si="43"/>
        <v>49522</v>
      </c>
      <c r="C128" s="342">
        <v>3894885.8658015397</v>
      </c>
      <c r="D128" s="234">
        <f>IF(ISNUMBER($F128),VLOOKUP($J128,'Table 1'!$B$13:$G$40,2,FALSE)/12*1000*Study_MW,"")</f>
        <v>0</v>
      </c>
      <c r="E128" s="234">
        <f t="shared" si="44"/>
        <v>3894885.8658015397</v>
      </c>
      <c r="F128" s="342">
        <v>74400</v>
      </c>
      <c r="G128" s="239">
        <f t="shared" si="45"/>
        <v>52.350616475827145</v>
      </c>
      <c r="I128" s="240">
        <f t="shared" si="51"/>
        <v>138</v>
      </c>
      <c r="J128" s="237">
        <f t="shared" si="46"/>
        <v>2035</v>
      </c>
      <c r="K128" s="238">
        <f t="shared" si="49"/>
        <v>49522</v>
      </c>
      <c r="V128" s="97" t="str">
        <f t="shared" si="41"/>
        <v>Summer</v>
      </c>
      <c r="AA128" s="337">
        <f t="shared" si="42"/>
        <v>2.18E-2</v>
      </c>
      <c r="AB128" s="336">
        <f t="shared" si="47"/>
        <v>0</v>
      </c>
    </row>
    <row r="129" spans="2:28" outlineLevel="1">
      <c r="B129" s="238">
        <f t="shared" si="43"/>
        <v>49553</v>
      </c>
      <c r="C129" s="342">
        <v>3532108.4766225759</v>
      </c>
      <c r="D129" s="234">
        <f>IF(ISNUMBER($F129),VLOOKUP($J129,'Table 1'!$B$13:$G$40,2,FALSE)/12*1000*Study_MW,"")</f>
        <v>0</v>
      </c>
      <c r="E129" s="234">
        <f t="shared" si="44"/>
        <v>3532108.4766225759</v>
      </c>
      <c r="F129" s="342">
        <v>72000</v>
      </c>
      <c r="G129" s="239">
        <f t="shared" si="45"/>
        <v>49.057062175313554</v>
      </c>
      <c r="I129" s="240">
        <f t="shared" si="51"/>
        <v>139</v>
      </c>
      <c r="J129" s="237">
        <f t="shared" si="46"/>
        <v>2035</v>
      </c>
      <c r="K129" s="238">
        <f t="shared" si="49"/>
        <v>49553</v>
      </c>
      <c r="V129" s="97" t="str">
        <f t="shared" si="41"/>
        <v>Winter</v>
      </c>
      <c r="AA129" s="337">
        <f t="shared" si="42"/>
        <v>2.18E-2</v>
      </c>
      <c r="AB129" s="336">
        <f t="shared" si="47"/>
        <v>0</v>
      </c>
    </row>
    <row r="130" spans="2:28" outlineLevel="1">
      <c r="B130" s="238">
        <f t="shared" si="43"/>
        <v>49583</v>
      </c>
      <c r="C130" s="342">
        <v>2037670.9235728486</v>
      </c>
      <c r="D130" s="234">
        <f>IF(ISNUMBER($F130),VLOOKUP($J130,'Table 1'!$B$13:$G$40,2,FALSE)/12*1000*Study_MW,"")</f>
        <v>0</v>
      </c>
      <c r="E130" s="234">
        <f t="shared" si="44"/>
        <v>2037670.9235728486</v>
      </c>
      <c r="F130" s="342">
        <v>74400</v>
      </c>
      <c r="G130" s="239">
        <f t="shared" si="45"/>
        <v>27.388050048022158</v>
      </c>
      <c r="I130" s="240">
        <f t="shared" si="51"/>
        <v>140</v>
      </c>
      <c r="J130" s="237">
        <f t="shared" si="46"/>
        <v>2035</v>
      </c>
      <c r="K130" s="238">
        <f t="shared" si="49"/>
        <v>49583</v>
      </c>
      <c r="V130" s="97" t="str">
        <f t="shared" si="41"/>
        <v>Winter</v>
      </c>
      <c r="AA130" s="337">
        <f t="shared" si="42"/>
        <v>2.18E-2</v>
      </c>
      <c r="AB130" s="336">
        <f t="shared" si="47"/>
        <v>0</v>
      </c>
    </row>
    <row r="131" spans="2:28" outlineLevel="1">
      <c r="B131" s="238">
        <f t="shared" si="43"/>
        <v>49614</v>
      </c>
      <c r="C131" s="342">
        <v>3479344.1341496673</v>
      </c>
      <c r="D131" s="234">
        <f>IF(ISNUMBER($F131),VLOOKUP($J131,'Table 1'!$B$13:$G$40,2,FALSE)/12*1000*Study_MW,"")</f>
        <v>0</v>
      </c>
      <c r="E131" s="234">
        <f t="shared" si="44"/>
        <v>3479344.1341496673</v>
      </c>
      <c r="F131" s="342">
        <v>72000</v>
      </c>
      <c r="G131" s="239">
        <f t="shared" si="45"/>
        <v>48.324224085412048</v>
      </c>
      <c r="I131" s="240">
        <f t="shared" si="51"/>
        <v>141</v>
      </c>
      <c r="J131" s="237">
        <f t="shared" si="46"/>
        <v>2035</v>
      </c>
      <c r="K131" s="238">
        <f t="shared" si="49"/>
        <v>49614</v>
      </c>
      <c r="V131" s="97" t="str">
        <f t="shared" si="41"/>
        <v>Winter</v>
      </c>
      <c r="AA131" s="337">
        <f t="shared" si="42"/>
        <v>2.18E-2</v>
      </c>
      <c r="AB131" s="336">
        <f t="shared" si="47"/>
        <v>0</v>
      </c>
    </row>
    <row r="132" spans="2:28" outlineLevel="1">
      <c r="B132" s="244">
        <f t="shared" si="43"/>
        <v>49644</v>
      </c>
      <c r="C132" s="343">
        <v>4123580.0480535845</v>
      </c>
      <c r="D132" s="245">
        <f>IF(ISNUMBER($F132),VLOOKUP($J132,'Table 1'!$B$13:$G$40,2,FALSE)/12*1000*Study_MW,"")</f>
        <v>0</v>
      </c>
      <c r="E132" s="245">
        <f t="shared" si="44"/>
        <v>4123580.0480535845</v>
      </c>
      <c r="F132" s="343">
        <v>74400.000000000015</v>
      </c>
      <c r="G132" s="246">
        <f t="shared" si="45"/>
        <v>55.424463011472902</v>
      </c>
      <c r="I132" s="247">
        <f t="shared" si="51"/>
        <v>142</v>
      </c>
      <c r="J132" s="237">
        <f t="shared" si="46"/>
        <v>2035</v>
      </c>
      <c r="K132" s="244">
        <f t="shared" si="49"/>
        <v>49644</v>
      </c>
      <c r="V132" s="97" t="str">
        <f t="shared" si="41"/>
        <v>Winter</v>
      </c>
      <c r="AA132" s="337">
        <f t="shared" si="42"/>
        <v>2.18E-2</v>
      </c>
      <c r="AB132" s="336">
        <f t="shared" si="47"/>
        <v>0</v>
      </c>
    </row>
    <row r="133" spans="2:28" outlineLevel="1">
      <c r="B133" s="232">
        <f t="shared" si="43"/>
        <v>49675</v>
      </c>
      <c r="C133" s="338">
        <v>1897776.5159487608</v>
      </c>
      <c r="D133" s="233">
        <f>IF(ISNUMBER($F133),VLOOKUP($J133,'Table 1'!$B$13:$G$40,2,FALSE)/12*1000*Study_MW,"")</f>
        <v>0</v>
      </c>
      <c r="E133" s="233">
        <f t="shared" si="44"/>
        <v>1897776.5159487608</v>
      </c>
      <c r="F133" s="338">
        <v>74400</v>
      </c>
      <c r="G133" s="235">
        <f t="shared" si="45"/>
        <v>25.507748870279041</v>
      </c>
      <c r="I133" s="236">
        <f t="shared" si="51"/>
        <v>144</v>
      </c>
      <c r="J133" s="237">
        <f t="shared" si="46"/>
        <v>2036</v>
      </c>
      <c r="K133" s="232">
        <f t="shared" si="49"/>
        <v>49675</v>
      </c>
      <c r="V133" s="97" t="str">
        <f t="shared" si="41"/>
        <v>Winter</v>
      </c>
      <c r="AA133" s="337">
        <f t="shared" si="42"/>
        <v>2.18E-2</v>
      </c>
      <c r="AB133" s="336">
        <f t="shared" si="47"/>
        <v>0</v>
      </c>
    </row>
    <row r="134" spans="2:28" outlineLevel="1">
      <c r="B134" s="238">
        <f t="shared" si="43"/>
        <v>49706</v>
      </c>
      <c r="C134" s="342">
        <v>2449579.4773093946</v>
      </c>
      <c r="D134" s="234">
        <f>IF(ISNUMBER($F134),VLOOKUP($J134,'Table 1'!$B$13:$G$40,2,FALSE)/12*1000*Study_MW,"")</f>
        <v>0</v>
      </c>
      <c r="E134" s="234">
        <f t="shared" si="44"/>
        <v>2449579.4773093946</v>
      </c>
      <c r="F134" s="342">
        <v>69600</v>
      </c>
      <c r="G134" s="239">
        <f t="shared" si="45"/>
        <v>35.195107432606243</v>
      </c>
      <c r="I134" s="240">
        <f t="shared" si="51"/>
        <v>145</v>
      </c>
      <c r="J134" s="237">
        <f t="shared" si="46"/>
        <v>2036</v>
      </c>
      <c r="K134" s="238">
        <f t="shared" si="49"/>
        <v>49706</v>
      </c>
      <c r="V134" s="97" t="str">
        <f t="shared" si="41"/>
        <v>Winter</v>
      </c>
      <c r="AA134" s="337">
        <f t="shared" si="42"/>
        <v>2.18E-2</v>
      </c>
      <c r="AB134" s="336">
        <f t="shared" si="47"/>
        <v>0</v>
      </c>
    </row>
    <row r="135" spans="2:28" outlineLevel="1">
      <c r="B135" s="238">
        <f t="shared" si="43"/>
        <v>49735</v>
      </c>
      <c r="C135" s="342">
        <v>1025026.3691958535</v>
      </c>
      <c r="D135" s="234">
        <f>IF(ISNUMBER($F135),VLOOKUP($J135,'Table 1'!$B$13:$G$40,2,FALSE)/12*1000*Study_MW,"")</f>
        <v>0</v>
      </c>
      <c r="E135" s="234">
        <f t="shared" si="44"/>
        <v>1025026.3691958535</v>
      </c>
      <c r="F135" s="342">
        <v>74400</v>
      </c>
      <c r="G135" s="239">
        <f t="shared" si="45"/>
        <v>13.777236145105558</v>
      </c>
      <c r="I135" s="240">
        <f t="shared" si="51"/>
        <v>146</v>
      </c>
      <c r="J135" s="237">
        <f t="shared" si="46"/>
        <v>2036</v>
      </c>
      <c r="K135" s="238">
        <f t="shared" si="49"/>
        <v>49735</v>
      </c>
      <c r="V135" s="97" t="str">
        <f t="shared" si="41"/>
        <v>Winter</v>
      </c>
      <c r="AA135" s="337">
        <f t="shared" si="42"/>
        <v>2.18E-2</v>
      </c>
      <c r="AB135" s="336">
        <f t="shared" si="47"/>
        <v>0</v>
      </c>
    </row>
    <row r="136" spans="2:28" outlineLevel="1">
      <c r="B136" s="238">
        <f t="shared" si="43"/>
        <v>49766</v>
      </c>
      <c r="C136" s="342">
        <v>335683.20462229894</v>
      </c>
      <c r="D136" s="234">
        <f>IF(ISNUMBER($F136),VLOOKUP($J136,'Table 1'!$B$13:$G$40,2,FALSE)/12*1000*Study_MW,"")</f>
        <v>0</v>
      </c>
      <c r="E136" s="234">
        <f t="shared" si="44"/>
        <v>335683.20462229894</v>
      </c>
      <c r="F136" s="342">
        <v>72000</v>
      </c>
      <c r="G136" s="239">
        <f t="shared" si="45"/>
        <v>4.6622667308652632</v>
      </c>
      <c r="I136" s="240">
        <f t="shared" si="51"/>
        <v>147</v>
      </c>
      <c r="J136" s="237">
        <f t="shared" si="46"/>
        <v>2036</v>
      </c>
      <c r="K136" s="238">
        <f t="shared" si="49"/>
        <v>49766</v>
      </c>
      <c r="V136" s="97" t="str">
        <f t="shared" si="41"/>
        <v>Winter</v>
      </c>
      <c r="AA136" s="337">
        <f t="shared" si="42"/>
        <v>2.18E-2</v>
      </c>
      <c r="AB136" s="336">
        <f t="shared" si="47"/>
        <v>0</v>
      </c>
    </row>
    <row r="137" spans="2:28" outlineLevel="1">
      <c r="B137" s="238">
        <f t="shared" si="43"/>
        <v>49796</v>
      </c>
      <c r="C137" s="342">
        <v>937802.04770673299</v>
      </c>
      <c r="D137" s="234">
        <f>IF(ISNUMBER($F137),VLOOKUP($J137,'Table 1'!$B$13:$G$40,2,FALSE)/12*1000*Study_MW,"")</f>
        <v>0</v>
      </c>
      <c r="E137" s="234">
        <f t="shared" si="44"/>
        <v>937802.04770673299</v>
      </c>
      <c r="F137" s="342">
        <v>74400</v>
      </c>
      <c r="G137" s="239">
        <f t="shared" si="45"/>
        <v>12.604866232617379</v>
      </c>
      <c r="I137" s="240">
        <f t="shared" si="51"/>
        <v>148</v>
      </c>
      <c r="J137" s="237">
        <f t="shared" si="46"/>
        <v>2036</v>
      </c>
      <c r="K137" s="238">
        <f t="shared" si="49"/>
        <v>49796</v>
      </c>
      <c r="V137" s="97" t="str">
        <f t="shared" si="41"/>
        <v>Summer</v>
      </c>
      <c r="AA137" s="337">
        <f t="shared" si="42"/>
        <v>2.18E-2</v>
      </c>
      <c r="AB137" s="336">
        <f t="shared" si="47"/>
        <v>0</v>
      </c>
    </row>
    <row r="138" spans="2:28" outlineLevel="1">
      <c r="B138" s="238">
        <f t="shared" si="43"/>
        <v>49827</v>
      </c>
      <c r="C138" s="342">
        <v>1235153.2126515377</v>
      </c>
      <c r="D138" s="234">
        <f>IF(ISNUMBER($F138),VLOOKUP($J138,'Table 1'!$B$13:$G$40,2,FALSE)/12*1000*Study_MW,"")</f>
        <v>0</v>
      </c>
      <c r="E138" s="234">
        <f t="shared" si="44"/>
        <v>1235153.2126515377</v>
      </c>
      <c r="F138" s="342">
        <v>72000</v>
      </c>
      <c r="G138" s="239">
        <f t="shared" si="45"/>
        <v>17.154905731271356</v>
      </c>
      <c r="I138" s="240">
        <f t="shared" si="51"/>
        <v>149</v>
      </c>
      <c r="J138" s="237">
        <f t="shared" si="46"/>
        <v>2036</v>
      </c>
      <c r="K138" s="238">
        <f t="shared" si="49"/>
        <v>49827</v>
      </c>
      <c r="V138" s="97" t="str">
        <f t="shared" si="41"/>
        <v>Summer</v>
      </c>
      <c r="AA138" s="337">
        <f t="shared" si="42"/>
        <v>2.18E-2</v>
      </c>
      <c r="AB138" s="336">
        <f t="shared" si="47"/>
        <v>0</v>
      </c>
    </row>
    <row r="139" spans="2:28" outlineLevel="1">
      <c r="B139" s="238">
        <f t="shared" si="43"/>
        <v>49857</v>
      </c>
      <c r="C139" s="342">
        <v>2803732.6722687138</v>
      </c>
      <c r="D139" s="234">
        <f>IF(ISNUMBER($F139),VLOOKUP($J139,'Table 1'!$B$13:$G$40,2,FALSE)/12*1000*Study_MW,"")</f>
        <v>0</v>
      </c>
      <c r="E139" s="234">
        <f t="shared" si="44"/>
        <v>2803732.6722687138</v>
      </c>
      <c r="F139" s="342">
        <v>74400</v>
      </c>
      <c r="G139" s="239">
        <f t="shared" si="45"/>
        <v>37.68457892834293</v>
      </c>
      <c r="I139" s="240">
        <f t="shared" si="51"/>
        <v>150</v>
      </c>
      <c r="J139" s="237">
        <f t="shared" si="46"/>
        <v>2036</v>
      </c>
      <c r="K139" s="238">
        <f t="shared" si="49"/>
        <v>49857</v>
      </c>
      <c r="V139" s="97" t="str">
        <f t="shared" si="41"/>
        <v>Summer</v>
      </c>
      <c r="AA139" s="337">
        <f t="shared" si="42"/>
        <v>2.18E-2</v>
      </c>
      <c r="AB139" s="336">
        <f t="shared" si="47"/>
        <v>0</v>
      </c>
    </row>
    <row r="140" spans="2:28" outlineLevel="1">
      <c r="B140" s="238">
        <f t="shared" si="43"/>
        <v>49888</v>
      </c>
      <c r="C140" s="342">
        <v>3245957.3827716811</v>
      </c>
      <c r="D140" s="234">
        <f>IF(ISNUMBER($F140),VLOOKUP($J140,'Table 1'!$B$13:$G$40,2,FALSE)/12*1000*Study_MW,"")</f>
        <v>0</v>
      </c>
      <c r="E140" s="234">
        <f t="shared" si="44"/>
        <v>3245957.3827716811</v>
      </c>
      <c r="F140" s="342">
        <v>74400</v>
      </c>
      <c r="G140" s="239">
        <f t="shared" si="45"/>
        <v>43.628459445855931</v>
      </c>
      <c r="I140" s="240">
        <f t="shared" si="51"/>
        <v>151</v>
      </c>
      <c r="J140" s="237">
        <f t="shared" si="46"/>
        <v>2036</v>
      </c>
      <c r="K140" s="238">
        <f t="shared" si="49"/>
        <v>49888</v>
      </c>
      <c r="V140" s="97" t="str">
        <f t="shared" ref="V140:V203" si="52">IFERROR(IF(AND(MONTH(K141)&gt;=6,MONTH(K141)&lt;=9),"Summer","Winter"),"-")</f>
        <v>Summer</v>
      </c>
      <c r="AA140" s="337">
        <f t="shared" si="42"/>
        <v>2.18E-2</v>
      </c>
      <c r="AB140" s="336">
        <f t="shared" si="47"/>
        <v>0</v>
      </c>
    </row>
    <row r="141" spans="2:28" outlineLevel="1">
      <c r="B141" s="238">
        <f t="shared" si="43"/>
        <v>49919</v>
      </c>
      <c r="C141" s="342">
        <v>2616128.8071318413</v>
      </c>
      <c r="D141" s="234">
        <f>IF(ISNUMBER($F141),VLOOKUP($J141,'Table 1'!$B$13:$G$40,2,FALSE)/12*1000*Study_MW,"")</f>
        <v>0</v>
      </c>
      <c r="E141" s="234">
        <f t="shared" si="44"/>
        <v>2616128.8071318413</v>
      </c>
      <c r="F141" s="342">
        <v>72000</v>
      </c>
      <c r="G141" s="239">
        <f t="shared" si="45"/>
        <v>36.335122321275577</v>
      </c>
      <c r="I141" s="240">
        <f t="shared" si="51"/>
        <v>152</v>
      </c>
      <c r="J141" s="237">
        <f t="shared" si="46"/>
        <v>2036</v>
      </c>
      <c r="K141" s="238">
        <f t="shared" si="49"/>
        <v>49919</v>
      </c>
      <c r="V141" s="97" t="str">
        <f t="shared" si="52"/>
        <v>Winter</v>
      </c>
      <c r="AA141" s="337">
        <f t="shared" ref="AA141:AA204" si="53">Inflation</f>
        <v>2.18E-2</v>
      </c>
      <c r="AB141" s="336">
        <f t="shared" si="47"/>
        <v>0</v>
      </c>
    </row>
    <row r="142" spans="2:28" outlineLevel="1">
      <c r="B142" s="238">
        <f t="shared" ref="B142:B205" si="54">EDATE(B141,1)</f>
        <v>49949</v>
      </c>
      <c r="C142" s="342">
        <v>792532.56809667801</v>
      </c>
      <c r="D142" s="234">
        <f>IF(ISNUMBER($F142),VLOOKUP($J142,'Table 1'!$B$13:$G$40,2,FALSE)/12*1000*Study_MW,"")</f>
        <v>0</v>
      </c>
      <c r="E142" s="234">
        <f t="shared" ref="E142:E205" si="55">IF(ISNUMBER(C142+D142),C142+D142,"")</f>
        <v>792532.56809667801</v>
      </c>
      <c r="F142" s="342">
        <v>74400</v>
      </c>
      <c r="G142" s="239">
        <f t="shared" ref="G142:G205" si="56">IF(ISNUMBER($F142),E142/$F142,"")</f>
        <v>10.652319463665027</v>
      </c>
      <c r="I142" s="240">
        <f t="shared" si="51"/>
        <v>153</v>
      </c>
      <c r="J142" s="237">
        <f t="shared" ref="J142:J192" si="57">YEAR(B142)</f>
        <v>2036</v>
      </c>
      <c r="K142" s="238">
        <f t="shared" si="49"/>
        <v>49949</v>
      </c>
      <c r="V142" s="97" t="str">
        <f t="shared" si="52"/>
        <v>Winter</v>
      </c>
      <c r="AA142" s="337">
        <f t="shared" si="53"/>
        <v>2.18E-2</v>
      </c>
      <c r="AB142" s="336">
        <f t="shared" ref="AB142:AB205" si="58">IF($AB$8="Solar",IFERROR(IF(J142&gt;$AC$1,-0.005,0),AB130),0)</f>
        <v>0</v>
      </c>
    </row>
    <row r="143" spans="2:28" outlineLevel="1">
      <c r="B143" s="238">
        <f t="shared" si="54"/>
        <v>49980</v>
      </c>
      <c r="C143" s="342">
        <v>1447653.6602219129</v>
      </c>
      <c r="D143" s="234">
        <f>IF(ISNUMBER($F143),VLOOKUP($J143,'Table 1'!$B$13:$G$40,2,FALSE)/12*1000*Study_MW,"")</f>
        <v>0</v>
      </c>
      <c r="E143" s="234">
        <f t="shared" si="55"/>
        <v>1447653.6602219129</v>
      </c>
      <c r="F143" s="342">
        <v>72000</v>
      </c>
      <c r="G143" s="239">
        <f t="shared" si="56"/>
        <v>20.106300836415457</v>
      </c>
      <c r="I143" s="240">
        <f t="shared" si="51"/>
        <v>154</v>
      </c>
      <c r="J143" s="237">
        <f t="shared" si="57"/>
        <v>2036</v>
      </c>
      <c r="K143" s="238">
        <f t="shared" si="49"/>
        <v>49980</v>
      </c>
      <c r="V143" s="97" t="str">
        <f t="shared" si="52"/>
        <v>Winter</v>
      </c>
      <c r="AA143" s="337">
        <f t="shared" si="53"/>
        <v>2.18E-2</v>
      </c>
      <c r="AB143" s="336">
        <f t="shared" si="58"/>
        <v>0</v>
      </c>
    </row>
    <row r="144" spans="2:28" outlineLevel="1">
      <c r="B144" s="244">
        <f t="shared" si="54"/>
        <v>50010</v>
      </c>
      <c r="C144" s="343">
        <v>2228490.4006369165</v>
      </c>
      <c r="D144" s="245">
        <f>IF(ISNUMBER($F144),VLOOKUP($J144,'Table 1'!$B$13:$G$40,2,FALSE)/12*1000*Study_MW,"")</f>
        <v>0</v>
      </c>
      <c r="E144" s="245">
        <f t="shared" si="55"/>
        <v>2228490.4006369165</v>
      </c>
      <c r="F144" s="343">
        <v>74400</v>
      </c>
      <c r="G144" s="246">
        <f t="shared" si="56"/>
        <v>29.952827965549954</v>
      </c>
      <c r="I144" s="247">
        <f t="shared" si="51"/>
        <v>155</v>
      </c>
      <c r="J144" s="237">
        <f t="shared" si="57"/>
        <v>2036</v>
      </c>
      <c r="K144" s="244">
        <f t="shared" si="49"/>
        <v>50010</v>
      </c>
      <c r="V144" s="97" t="str">
        <f t="shared" si="52"/>
        <v>Winter</v>
      </c>
      <c r="AA144" s="337">
        <f t="shared" si="53"/>
        <v>2.18E-2</v>
      </c>
      <c r="AB144" s="336">
        <f t="shared" si="58"/>
        <v>0</v>
      </c>
    </row>
    <row r="145" spans="2:28" outlineLevel="1">
      <c r="B145" s="232">
        <f t="shared" si="54"/>
        <v>50041</v>
      </c>
      <c r="C145" s="338">
        <v>2281613.3934764946</v>
      </c>
      <c r="D145" s="233">
        <f>IF(ISNUMBER($F145),VLOOKUP($J145,'Table 1'!$B$13:$G$40,2,FALSE)/12*1000*Study_MW,"")</f>
        <v>0</v>
      </c>
      <c r="E145" s="233">
        <f t="shared" si="55"/>
        <v>2281613.3934764946</v>
      </c>
      <c r="F145" s="338">
        <v>74400</v>
      </c>
      <c r="G145" s="235">
        <f t="shared" si="56"/>
        <v>30.666846686512024</v>
      </c>
      <c r="I145" s="236">
        <f t="shared" si="51"/>
        <v>157</v>
      </c>
      <c r="J145" s="237">
        <f t="shared" si="57"/>
        <v>2037</v>
      </c>
      <c r="K145" s="232">
        <f t="shared" si="49"/>
        <v>50041</v>
      </c>
      <c r="V145" s="97" t="str">
        <f t="shared" si="52"/>
        <v>Winter</v>
      </c>
      <c r="AA145" s="337">
        <f t="shared" si="53"/>
        <v>2.18E-2</v>
      </c>
      <c r="AB145" s="336">
        <f t="shared" si="58"/>
        <v>0</v>
      </c>
    </row>
    <row r="146" spans="2:28" outlineLevel="1">
      <c r="B146" s="238">
        <f t="shared" si="54"/>
        <v>50072</v>
      </c>
      <c r="C146" s="342">
        <v>2041952.5974143762</v>
      </c>
      <c r="D146" s="234">
        <f>IF(ISNUMBER($F146),VLOOKUP($J146,'Table 1'!$B$13:$G$40,2,FALSE)/12*1000*Study_MW,"")</f>
        <v>0</v>
      </c>
      <c r="E146" s="234">
        <f t="shared" si="55"/>
        <v>2041952.5974143762</v>
      </c>
      <c r="F146" s="342">
        <v>67199.999999999985</v>
      </c>
      <c r="G146" s="239">
        <f t="shared" si="56"/>
        <v>30.386199366285368</v>
      </c>
      <c r="I146" s="240">
        <f t="shared" si="51"/>
        <v>158</v>
      </c>
      <c r="J146" s="237">
        <f t="shared" si="57"/>
        <v>2037</v>
      </c>
      <c r="K146" s="238">
        <f t="shared" si="49"/>
        <v>50072</v>
      </c>
      <c r="V146" s="97" t="str">
        <f t="shared" si="52"/>
        <v>Winter</v>
      </c>
      <c r="AA146" s="337">
        <f t="shared" si="53"/>
        <v>2.18E-2</v>
      </c>
      <c r="AB146" s="336">
        <f t="shared" si="58"/>
        <v>0</v>
      </c>
    </row>
    <row r="147" spans="2:28" outlineLevel="1">
      <c r="B147" s="238">
        <f t="shared" si="54"/>
        <v>50100</v>
      </c>
      <c r="C147" s="342">
        <v>1528488.7142716181</v>
      </c>
      <c r="D147" s="234">
        <f>IF(ISNUMBER($F147),VLOOKUP($J147,'Table 1'!$B$13:$G$40,2,FALSE)/12*1000*Study_MW,"")</f>
        <v>0</v>
      </c>
      <c r="E147" s="234">
        <f t="shared" si="55"/>
        <v>1528488.7142716181</v>
      </c>
      <c r="F147" s="342">
        <v>74400</v>
      </c>
      <c r="G147" s="239">
        <f t="shared" si="56"/>
        <v>20.54420314881207</v>
      </c>
      <c r="I147" s="240">
        <f t="shared" si="51"/>
        <v>159</v>
      </c>
      <c r="J147" s="237">
        <f t="shared" si="57"/>
        <v>2037</v>
      </c>
      <c r="K147" s="238">
        <f t="shared" si="49"/>
        <v>50100</v>
      </c>
      <c r="V147" s="97" t="str">
        <f t="shared" si="52"/>
        <v>Winter</v>
      </c>
      <c r="AA147" s="337">
        <f t="shared" si="53"/>
        <v>2.18E-2</v>
      </c>
      <c r="AB147" s="336">
        <f t="shared" si="58"/>
        <v>0</v>
      </c>
    </row>
    <row r="148" spans="2:28" outlineLevel="1">
      <c r="B148" s="238">
        <f t="shared" si="54"/>
        <v>50131</v>
      </c>
      <c r="C148" s="342">
        <v>649251.0820182215</v>
      </c>
      <c r="D148" s="234">
        <f>IF(ISNUMBER($F148),VLOOKUP($J148,'Table 1'!$B$13:$G$40,2,FALSE)/12*1000*Study_MW,"")</f>
        <v>0</v>
      </c>
      <c r="E148" s="234">
        <f t="shared" si="55"/>
        <v>649251.0820182215</v>
      </c>
      <c r="F148" s="342">
        <v>72000</v>
      </c>
      <c r="G148" s="239">
        <f t="shared" si="56"/>
        <v>9.017376139141966</v>
      </c>
      <c r="I148" s="240">
        <f t="shared" si="51"/>
        <v>160</v>
      </c>
      <c r="J148" s="237">
        <f t="shared" si="57"/>
        <v>2037</v>
      </c>
      <c r="K148" s="238">
        <f t="shared" si="49"/>
        <v>50131</v>
      </c>
      <c r="V148" s="97" t="str">
        <f t="shared" si="52"/>
        <v>Winter</v>
      </c>
      <c r="AA148" s="337">
        <f t="shared" si="53"/>
        <v>2.18E-2</v>
      </c>
      <c r="AB148" s="336">
        <f t="shared" si="58"/>
        <v>0</v>
      </c>
    </row>
    <row r="149" spans="2:28" outlineLevel="1">
      <c r="B149" s="238">
        <f t="shared" si="54"/>
        <v>50161</v>
      </c>
      <c r="C149" s="342">
        <v>1147812.527207454</v>
      </c>
      <c r="D149" s="234">
        <f>IF(ISNUMBER($F149),VLOOKUP($J149,'Table 1'!$B$13:$G$40,2,FALSE)/12*1000*Study_MW,"")</f>
        <v>0</v>
      </c>
      <c r="E149" s="234">
        <f t="shared" si="55"/>
        <v>1147812.527207454</v>
      </c>
      <c r="F149" s="342">
        <v>74400</v>
      </c>
      <c r="G149" s="239">
        <f t="shared" si="56"/>
        <v>15.427587731282983</v>
      </c>
      <c r="I149" s="240">
        <f t="shared" si="51"/>
        <v>161</v>
      </c>
      <c r="J149" s="237">
        <f t="shared" si="57"/>
        <v>2037</v>
      </c>
      <c r="K149" s="238">
        <f t="shared" si="49"/>
        <v>50161</v>
      </c>
      <c r="V149" s="97" t="str">
        <f t="shared" si="52"/>
        <v>Summer</v>
      </c>
      <c r="AA149" s="337">
        <f t="shared" si="53"/>
        <v>2.18E-2</v>
      </c>
      <c r="AB149" s="336">
        <f t="shared" si="58"/>
        <v>0</v>
      </c>
    </row>
    <row r="150" spans="2:28" outlineLevel="1">
      <c r="B150" s="238">
        <f t="shared" si="54"/>
        <v>50192</v>
      </c>
      <c r="C150" s="342">
        <v>1256724.0591116571</v>
      </c>
      <c r="D150" s="234">
        <f>IF(ISNUMBER($F150),VLOOKUP($J150,'Table 1'!$B$13:$G$40,2,FALSE)/12*1000*Study_MW,"")</f>
        <v>0</v>
      </c>
      <c r="E150" s="234">
        <f t="shared" si="55"/>
        <v>1256724.0591116571</v>
      </c>
      <c r="F150" s="342">
        <v>72000</v>
      </c>
      <c r="G150" s="239">
        <f t="shared" si="56"/>
        <v>17.454500820995236</v>
      </c>
      <c r="I150" s="240">
        <f t="shared" si="51"/>
        <v>162</v>
      </c>
      <c r="J150" s="237">
        <f t="shared" si="57"/>
        <v>2037</v>
      </c>
      <c r="K150" s="238">
        <f t="shared" si="49"/>
        <v>50192</v>
      </c>
      <c r="V150" s="97" t="str">
        <f t="shared" si="52"/>
        <v>Summer</v>
      </c>
      <c r="AA150" s="337">
        <f t="shared" si="53"/>
        <v>2.18E-2</v>
      </c>
      <c r="AB150" s="336">
        <f t="shared" si="58"/>
        <v>0</v>
      </c>
    </row>
    <row r="151" spans="2:28" outlineLevel="1">
      <c r="B151" s="238">
        <f t="shared" si="54"/>
        <v>50222</v>
      </c>
      <c r="C151" s="342">
        <v>2991426.850501026</v>
      </c>
      <c r="D151" s="234">
        <f>IF(ISNUMBER($F151),VLOOKUP($J151,'Table 1'!$B$13:$G$40,2,FALSE)/12*1000*Study_MW,"")</f>
        <v>0</v>
      </c>
      <c r="E151" s="234">
        <f t="shared" si="55"/>
        <v>2991426.850501026</v>
      </c>
      <c r="F151" s="342">
        <v>74400</v>
      </c>
      <c r="G151" s="239">
        <f t="shared" si="56"/>
        <v>40.207350141142825</v>
      </c>
      <c r="I151" s="240">
        <f t="shared" si="51"/>
        <v>163</v>
      </c>
      <c r="J151" s="237">
        <f t="shared" si="57"/>
        <v>2037</v>
      </c>
      <c r="K151" s="238">
        <f t="shared" si="49"/>
        <v>50222</v>
      </c>
      <c r="V151" s="97" t="str">
        <f t="shared" si="52"/>
        <v>Summer</v>
      </c>
      <c r="AA151" s="337">
        <f t="shared" si="53"/>
        <v>2.18E-2</v>
      </c>
      <c r="AB151" s="336">
        <f t="shared" si="58"/>
        <v>0</v>
      </c>
    </row>
    <row r="152" spans="2:28" outlineLevel="1">
      <c r="B152" s="238">
        <f t="shared" si="54"/>
        <v>50253</v>
      </c>
      <c r="C152" s="342">
        <v>3561937.3877292965</v>
      </c>
      <c r="D152" s="234">
        <f>IF(ISNUMBER($F152),VLOOKUP($J152,'Table 1'!$B$13:$G$40,2,FALSE)/12*1000*Study_MW,"")</f>
        <v>0</v>
      </c>
      <c r="E152" s="234">
        <f t="shared" si="55"/>
        <v>3561937.3877292965</v>
      </c>
      <c r="F152" s="342">
        <v>74400</v>
      </c>
      <c r="G152" s="239">
        <f t="shared" si="56"/>
        <v>47.875502523243235</v>
      </c>
      <c r="I152" s="240">
        <f t="shared" si="51"/>
        <v>164</v>
      </c>
      <c r="J152" s="237">
        <f t="shared" si="57"/>
        <v>2037</v>
      </c>
      <c r="K152" s="238">
        <f t="shared" si="49"/>
        <v>50253</v>
      </c>
      <c r="V152" s="97" t="str">
        <f t="shared" si="52"/>
        <v>Summer</v>
      </c>
      <c r="AA152" s="337">
        <f t="shared" si="53"/>
        <v>2.18E-2</v>
      </c>
      <c r="AB152" s="336">
        <f t="shared" si="58"/>
        <v>0</v>
      </c>
    </row>
    <row r="153" spans="2:28" outlineLevel="1">
      <c r="B153" s="238">
        <f t="shared" si="54"/>
        <v>50284</v>
      </c>
      <c r="C153" s="342">
        <v>2671971.6681249412</v>
      </c>
      <c r="D153" s="234">
        <f>IF(ISNUMBER($F153),VLOOKUP($J153,'Table 1'!$B$13:$G$40,2,FALSE)/12*1000*Study_MW,"")</f>
        <v>0</v>
      </c>
      <c r="E153" s="234">
        <f t="shared" si="55"/>
        <v>2671971.6681249412</v>
      </c>
      <c r="F153" s="342">
        <v>72000</v>
      </c>
      <c r="G153" s="239">
        <f t="shared" si="56"/>
        <v>37.110717612846408</v>
      </c>
      <c r="I153" s="240">
        <f t="shared" si="51"/>
        <v>165</v>
      </c>
      <c r="J153" s="237">
        <f t="shared" si="57"/>
        <v>2037</v>
      </c>
      <c r="K153" s="238">
        <f t="shared" si="49"/>
        <v>50284</v>
      </c>
      <c r="V153" s="97" t="str">
        <f t="shared" si="52"/>
        <v>Winter</v>
      </c>
      <c r="AA153" s="337">
        <f t="shared" si="53"/>
        <v>2.18E-2</v>
      </c>
      <c r="AB153" s="336">
        <f t="shared" si="58"/>
        <v>0</v>
      </c>
    </row>
    <row r="154" spans="2:28" outlineLevel="1">
      <c r="B154" s="238">
        <f t="shared" si="54"/>
        <v>50314</v>
      </c>
      <c r="C154" s="342">
        <v>780393.95783207146</v>
      </c>
      <c r="D154" s="234">
        <f>IF(ISNUMBER($F154),VLOOKUP($J154,'Table 1'!$B$13:$G$40,2,FALSE)/12*1000*Study_MW,"")</f>
        <v>0</v>
      </c>
      <c r="E154" s="234">
        <f t="shared" si="55"/>
        <v>780393.95783207146</v>
      </c>
      <c r="F154" s="342">
        <v>74400</v>
      </c>
      <c r="G154" s="239">
        <f t="shared" si="56"/>
        <v>10.489166099893433</v>
      </c>
      <c r="I154" s="240">
        <f t="shared" si="51"/>
        <v>166</v>
      </c>
      <c r="J154" s="237">
        <f t="shared" si="57"/>
        <v>2037</v>
      </c>
      <c r="K154" s="238">
        <f t="shared" ref="K154:K192" si="59">IF(ISNUMBER(F154),IF(F154&lt;&gt;0,B154,""),"")</f>
        <v>50314</v>
      </c>
      <c r="V154" s="97" t="str">
        <f t="shared" si="52"/>
        <v>Winter</v>
      </c>
      <c r="AA154" s="337">
        <f t="shared" si="53"/>
        <v>2.18E-2</v>
      </c>
      <c r="AB154" s="336">
        <f t="shared" si="58"/>
        <v>0</v>
      </c>
    </row>
    <row r="155" spans="2:28" outlineLevel="1">
      <c r="B155" s="238">
        <f t="shared" si="54"/>
        <v>50345</v>
      </c>
      <c r="C155" s="342">
        <v>2641083.8528176248</v>
      </c>
      <c r="D155" s="234">
        <f>IF(ISNUMBER($F155),VLOOKUP($J155,'Table 1'!$B$13:$G$40,2,FALSE)/12*1000*Study_MW,"")</f>
        <v>0</v>
      </c>
      <c r="E155" s="234">
        <f t="shared" si="55"/>
        <v>2641083.8528176248</v>
      </c>
      <c r="F155" s="342">
        <v>72000</v>
      </c>
      <c r="G155" s="239">
        <f t="shared" si="56"/>
        <v>36.681720178022566</v>
      </c>
      <c r="I155" s="240">
        <f t="shared" si="51"/>
        <v>167</v>
      </c>
      <c r="J155" s="237">
        <f t="shared" si="57"/>
        <v>2037</v>
      </c>
      <c r="K155" s="238">
        <f t="shared" si="59"/>
        <v>50345</v>
      </c>
      <c r="V155" s="97" t="str">
        <f t="shared" si="52"/>
        <v>Winter</v>
      </c>
      <c r="AA155" s="337">
        <f t="shared" si="53"/>
        <v>2.18E-2</v>
      </c>
      <c r="AB155" s="336">
        <f t="shared" si="58"/>
        <v>0</v>
      </c>
    </row>
    <row r="156" spans="2:28" outlineLevel="1">
      <c r="B156" s="244">
        <f t="shared" si="54"/>
        <v>50375</v>
      </c>
      <c r="C156" s="343">
        <v>2201699.7489775987</v>
      </c>
      <c r="D156" s="245">
        <f>IF(ISNUMBER($F156),VLOOKUP($J156,'Table 1'!$B$13:$G$40,2,FALSE)/12*1000*Study_MW,"")</f>
        <v>0</v>
      </c>
      <c r="E156" s="245">
        <f t="shared" si="55"/>
        <v>2201699.7489775987</v>
      </c>
      <c r="F156" s="343">
        <v>74400.000000000015</v>
      </c>
      <c r="G156" s="246">
        <f t="shared" si="56"/>
        <v>29.592738561526858</v>
      </c>
      <c r="I156" s="247">
        <f t="shared" si="51"/>
        <v>168</v>
      </c>
      <c r="J156" s="237">
        <f t="shared" si="57"/>
        <v>2037</v>
      </c>
      <c r="K156" s="244">
        <f t="shared" si="59"/>
        <v>50375</v>
      </c>
      <c r="V156" s="97" t="str">
        <f t="shared" si="52"/>
        <v>Winter</v>
      </c>
      <c r="AA156" s="337">
        <f t="shared" si="53"/>
        <v>2.18E-2</v>
      </c>
      <c r="AB156" s="336">
        <f t="shared" si="58"/>
        <v>0</v>
      </c>
    </row>
    <row r="157" spans="2:28" outlineLevel="1">
      <c r="B157" s="232">
        <f t="shared" si="54"/>
        <v>50406</v>
      </c>
      <c r="C157" s="338">
        <v>2365010.9777389737</v>
      </c>
      <c r="D157" s="233">
        <f>IF(ISNUMBER($F157),VLOOKUP($J157,'Table 1'!$B$13:$G$40,2,FALSE)/12*1000*Study_MW,"")</f>
        <v>0</v>
      </c>
      <c r="E157" s="233">
        <f t="shared" si="55"/>
        <v>2365010.9777389737</v>
      </c>
      <c r="F157" s="338">
        <v>74400</v>
      </c>
      <c r="G157" s="235">
        <f t="shared" si="56"/>
        <v>31.787781958857174</v>
      </c>
      <c r="I157" s="236">
        <f t="shared" si="51"/>
        <v>170</v>
      </c>
      <c r="J157" s="237">
        <f t="shared" si="57"/>
        <v>2038</v>
      </c>
      <c r="K157" s="232">
        <f t="shared" si="59"/>
        <v>50406</v>
      </c>
      <c r="V157" s="97" t="str">
        <f t="shared" si="52"/>
        <v>Winter</v>
      </c>
      <c r="AA157" s="337">
        <f t="shared" si="53"/>
        <v>2.18E-2</v>
      </c>
      <c r="AB157" s="336">
        <f t="shared" si="58"/>
        <v>0</v>
      </c>
    </row>
    <row r="158" spans="2:28" outlineLevel="1">
      <c r="B158" s="238">
        <f t="shared" si="54"/>
        <v>50437</v>
      </c>
      <c r="C158" s="342">
        <v>2379276.7583161476</v>
      </c>
      <c r="D158" s="234">
        <f>IF(ISNUMBER($F158),VLOOKUP($J158,'Table 1'!$B$13:$G$40,2,FALSE)/12*1000*Study_MW,"")</f>
        <v>0</v>
      </c>
      <c r="E158" s="234">
        <f t="shared" si="55"/>
        <v>2379276.7583161476</v>
      </c>
      <c r="F158" s="342">
        <v>67199.999999999985</v>
      </c>
      <c r="G158" s="239">
        <f t="shared" si="56"/>
        <v>35.405904141609348</v>
      </c>
      <c r="I158" s="240">
        <f t="shared" si="51"/>
        <v>171</v>
      </c>
      <c r="J158" s="237">
        <f t="shared" si="57"/>
        <v>2038</v>
      </c>
      <c r="K158" s="238">
        <f t="shared" si="59"/>
        <v>50437</v>
      </c>
      <c r="V158" s="97" t="str">
        <f t="shared" si="52"/>
        <v>Winter</v>
      </c>
      <c r="AA158" s="337">
        <f t="shared" si="53"/>
        <v>2.18E-2</v>
      </c>
      <c r="AB158" s="336">
        <f t="shared" si="58"/>
        <v>0</v>
      </c>
    </row>
    <row r="159" spans="2:28" outlineLevel="1">
      <c r="B159" s="238">
        <f t="shared" si="54"/>
        <v>50465</v>
      </c>
      <c r="C159" s="342">
        <v>1575489.3901017639</v>
      </c>
      <c r="D159" s="234">
        <f>IF(ISNUMBER($F159),VLOOKUP($J159,'Table 1'!$B$13:$G$40,2,FALSE)/12*1000*Study_MW,"")</f>
        <v>0</v>
      </c>
      <c r="E159" s="234">
        <f t="shared" si="55"/>
        <v>1575489.3901017639</v>
      </c>
      <c r="F159" s="342">
        <v>74400</v>
      </c>
      <c r="G159" s="239">
        <f t="shared" si="56"/>
        <v>21.175932662658116</v>
      </c>
      <c r="I159" s="240">
        <f t="shared" si="51"/>
        <v>172</v>
      </c>
      <c r="J159" s="237">
        <f t="shared" si="57"/>
        <v>2038</v>
      </c>
      <c r="K159" s="238">
        <f t="shared" si="59"/>
        <v>50465</v>
      </c>
      <c r="V159" s="97" t="str">
        <f t="shared" si="52"/>
        <v>Winter</v>
      </c>
      <c r="AA159" s="337">
        <f t="shared" si="53"/>
        <v>2.18E-2</v>
      </c>
      <c r="AB159" s="336">
        <f t="shared" si="58"/>
        <v>0</v>
      </c>
    </row>
    <row r="160" spans="2:28" outlineLevel="1">
      <c r="B160" s="238">
        <f t="shared" si="54"/>
        <v>50496</v>
      </c>
      <c r="C160" s="342">
        <v>791463.5696279438</v>
      </c>
      <c r="D160" s="234">
        <f>IF(ISNUMBER($F160),VLOOKUP($J160,'Table 1'!$B$13:$G$40,2,FALSE)/12*1000*Study_MW,"")</f>
        <v>0</v>
      </c>
      <c r="E160" s="234">
        <f t="shared" si="55"/>
        <v>791463.5696279438</v>
      </c>
      <c r="F160" s="342">
        <v>72000</v>
      </c>
      <c r="G160" s="239">
        <f t="shared" si="56"/>
        <v>10.992549578165885</v>
      </c>
      <c r="I160" s="240">
        <f t="shared" si="51"/>
        <v>173</v>
      </c>
      <c r="J160" s="237">
        <f t="shared" si="57"/>
        <v>2038</v>
      </c>
      <c r="K160" s="238">
        <f t="shared" si="59"/>
        <v>50496</v>
      </c>
      <c r="V160" s="97" t="str">
        <f t="shared" si="52"/>
        <v>Winter</v>
      </c>
      <c r="AA160" s="337">
        <f t="shared" si="53"/>
        <v>2.18E-2</v>
      </c>
      <c r="AB160" s="336">
        <f t="shared" si="58"/>
        <v>0</v>
      </c>
    </row>
    <row r="161" spans="2:28" outlineLevel="1">
      <c r="B161" s="238">
        <f t="shared" si="54"/>
        <v>50526</v>
      </c>
      <c r="C161" s="342">
        <v>1074466.5731126587</v>
      </c>
      <c r="D161" s="234">
        <f>IF(ISNUMBER($F161),VLOOKUP($J161,'Table 1'!$B$13:$G$40,2,FALSE)/12*1000*Study_MW,"")</f>
        <v>0</v>
      </c>
      <c r="E161" s="234">
        <f t="shared" si="55"/>
        <v>1074466.5731126587</v>
      </c>
      <c r="F161" s="342">
        <v>74400</v>
      </c>
      <c r="G161" s="239">
        <f t="shared" si="56"/>
        <v>14.44175501495509</v>
      </c>
      <c r="I161" s="240">
        <f t="shared" si="51"/>
        <v>174</v>
      </c>
      <c r="J161" s="237">
        <f t="shared" si="57"/>
        <v>2038</v>
      </c>
      <c r="K161" s="238">
        <f t="shared" si="59"/>
        <v>50526</v>
      </c>
      <c r="V161" s="97" t="str">
        <f t="shared" si="52"/>
        <v>Summer</v>
      </c>
      <c r="AA161" s="337">
        <f t="shared" si="53"/>
        <v>2.18E-2</v>
      </c>
      <c r="AB161" s="336">
        <f t="shared" si="58"/>
        <v>0</v>
      </c>
    </row>
    <row r="162" spans="2:28" outlineLevel="1">
      <c r="B162" s="238">
        <f t="shared" si="54"/>
        <v>50557</v>
      </c>
      <c r="C162" s="342">
        <v>1275828.51754679</v>
      </c>
      <c r="D162" s="234">
        <f>IF(ISNUMBER($F162),VLOOKUP($J162,'Table 1'!$B$13:$G$40,2,FALSE)/12*1000*Study_MW,"")</f>
        <v>0</v>
      </c>
      <c r="E162" s="234">
        <f t="shared" si="55"/>
        <v>1275828.51754679</v>
      </c>
      <c r="F162" s="342">
        <v>72000</v>
      </c>
      <c r="G162" s="239">
        <f t="shared" si="56"/>
        <v>17.719840521483192</v>
      </c>
      <c r="I162" s="240">
        <f t="shared" si="51"/>
        <v>175</v>
      </c>
      <c r="J162" s="237">
        <f t="shared" si="57"/>
        <v>2038</v>
      </c>
      <c r="K162" s="238">
        <f t="shared" si="59"/>
        <v>50557</v>
      </c>
      <c r="V162" s="97" t="str">
        <f t="shared" si="52"/>
        <v>Summer</v>
      </c>
      <c r="AA162" s="337">
        <f t="shared" si="53"/>
        <v>2.18E-2</v>
      </c>
      <c r="AB162" s="336">
        <f t="shared" si="58"/>
        <v>0</v>
      </c>
    </row>
    <row r="163" spans="2:28" outlineLevel="1">
      <c r="B163" s="238">
        <f t="shared" si="54"/>
        <v>50587</v>
      </c>
      <c r="C163" s="342">
        <v>3165435.5653156163</v>
      </c>
      <c r="D163" s="234">
        <f>IF(ISNUMBER($F163),VLOOKUP($J163,'Table 1'!$B$13:$G$40,2,FALSE)/12*1000*Study_MW,"")</f>
        <v>0</v>
      </c>
      <c r="E163" s="234">
        <f t="shared" si="55"/>
        <v>3165435.5653156163</v>
      </c>
      <c r="F163" s="342">
        <v>74400</v>
      </c>
      <c r="G163" s="239">
        <f t="shared" si="56"/>
        <v>42.546176953166885</v>
      </c>
      <c r="I163" s="240">
        <f t="shared" si="51"/>
        <v>176</v>
      </c>
      <c r="J163" s="237">
        <f t="shared" si="57"/>
        <v>2038</v>
      </c>
      <c r="K163" s="238">
        <f t="shared" si="59"/>
        <v>50587</v>
      </c>
      <c r="V163" s="97" t="str">
        <f t="shared" si="52"/>
        <v>Summer</v>
      </c>
      <c r="AA163" s="337">
        <f t="shared" si="53"/>
        <v>2.18E-2</v>
      </c>
      <c r="AB163" s="336">
        <f t="shared" si="58"/>
        <v>0</v>
      </c>
    </row>
    <row r="164" spans="2:28" outlineLevel="1">
      <c r="B164" s="238">
        <f t="shared" si="54"/>
        <v>50618</v>
      </c>
      <c r="C164" s="342">
        <v>3787768.6902162386</v>
      </c>
      <c r="D164" s="234">
        <f>IF(ISNUMBER($F164),VLOOKUP($J164,'Table 1'!$B$13:$G$40,2,FALSE)/12*1000*Study_MW,"")</f>
        <v>0</v>
      </c>
      <c r="E164" s="234">
        <f t="shared" si="55"/>
        <v>3787768.6902162386</v>
      </c>
      <c r="F164" s="342">
        <v>74400</v>
      </c>
      <c r="G164" s="239">
        <f t="shared" si="56"/>
        <v>50.910869492153743</v>
      </c>
      <c r="I164" s="240">
        <f t="shared" si="51"/>
        <v>177</v>
      </c>
      <c r="J164" s="237">
        <f t="shared" si="57"/>
        <v>2038</v>
      </c>
      <c r="K164" s="238">
        <f t="shared" si="59"/>
        <v>50618</v>
      </c>
      <c r="V164" s="97" t="str">
        <f t="shared" si="52"/>
        <v>Summer</v>
      </c>
      <c r="AA164" s="337">
        <f t="shared" si="53"/>
        <v>2.18E-2</v>
      </c>
      <c r="AB164" s="336">
        <f t="shared" si="58"/>
        <v>0</v>
      </c>
    </row>
    <row r="165" spans="2:28" outlineLevel="1">
      <c r="B165" s="238">
        <f t="shared" si="54"/>
        <v>50649</v>
      </c>
      <c r="C165" s="342">
        <v>2833560.3544746046</v>
      </c>
      <c r="D165" s="234">
        <f>IF(ISNUMBER($F165),VLOOKUP($J165,'Table 1'!$B$13:$G$40,2,FALSE)/12*1000*Study_MW,"")</f>
        <v>0</v>
      </c>
      <c r="E165" s="234">
        <f t="shared" si="55"/>
        <v>2833560.3544746046</v>
      </c>
      <c r="F165" s="342">
        <v>72000</v>
      </c>
      <c r="G165" s="239">
        <f t="shared" si="56"/>
        <v>39.355004923258399</v>
      </c>
      <c r="I165" s="240">
        <f t="shared" si="51"/>
        <v>178</v>
      </c>
      <c r="J165" s="237">
        <f t="shared" si="57"/>
        <v>2038</v>
      </c>
      <c r="K165" s="238">
        <f t="shared" si="59"/>
        <v>50649</v>
      </c>
      <c r="V165" s="97" t="str">
        <f t="shared" si="52"/>
        <v>Winter</v>
      </c>
      <c r="AA165" s="337">
        <f t="shared" si="53"/>
        <v>2.18E-2</v>
      </c>
      <c r="AB165" s="336">
        <f t="shared" si="58"/>
        <v>0</v>
      </c>
    </row>
    <row r="166" spans="2:28" outlineLevel="1">
      <c r="B166" s="238">
        <f t="shared" si="54"/>
        <v>50679</v>
      </c>
      <c r="C166" s="342">
        <v>603254.30608258466</v>
      </c>
      <c r="D166" s="234">
        <f>IF(ISNUMBER($F166),VLOOKUP($J166,'Table 1'!$B$13:$G$40,2,FALSE)/12*1000*Study_MW,"")</f>
        <v>0</v>
      </c>
      <c r="E166" s="234">
        <f t="shared" si="55"/>
        <v>603254.30608258466</v>
      </c>
      <c r="F166" s="342">
        <v>74400</v>
      </c>
      <c r="G166" s="239">
        <f t="shared" si="56"/>
        <v>8.1082568021852772</v>
      </c>
      <c r="I166" s="240">
        <f t="shared" si="51"/>
        <v>179</v>
      </c>
      <c r="J166" s="237">
        <f t="shared" si="57"/>
        <v>2038</v>
      </c>
      <c r="K166" s="238">
        <f t="shared" si="59"/>
        <v>50679</v>
      </c>
      <c r="V166" s="97" t="str">
        <f t="shared" si="52"/>
        <v>Winter</v>
      </c>
      <c r="AA166" s="337">
        <f t="shared" si="53"/>
        <v>2.18E-2</v>
      </c>
      <c r="AB166" s="336">
        <f t="shared" si="58"/>
        <v>0</v>
      </c>
    </row>
    <row r="167" spans="2:28" outlineLevel="1">
      <c r="B167" s="238">
        <f t="shared" si="54"/>
        <v>50710</v>
      </c>
      <c r="C167" s="342">
        <v>2965604.3217459372</v>
      </c>
      <c r="D167" s="234">
        <f>IF(ISNUMBER($F167),VLOOKUP($J167,'Table 1'!$B$13:$G$40,2,FALSE)/12*1000*Study_MW,"")</f>
        <v>0</v>
      </c>
      <c r="E167" s="234">
        <f t="shared" si="55"/>
        <v>2965604.3217459372</v>
      </c>
      <c r="F167" s="342">
        <v>72000</v>
      </c>
      <c r="G167" s="239">
        <f t="shared" si="56"/>
        <v>41.18894891313802</v>
      </c>
      <c r="I167" s="240">
        <f t="shared" si="51"/>
        <v>180</v>
      </c>
      <c r="J167" s="237">
        <f t="shared" si="57"/>
        <v>2038</v>
      </c>
      <c r="K167" s="238">
        <f t="shared" si="59"/>
        <v>50710</v>
      </c>
      <c r="V167" s="97" t="str">
        <f t="shared" si="52"/>
        <v>Winter</v>
      </c>
      <c r="AA167" s="337">
        <f t="shared" si="53"/>
        <v>2.18E-2</v>
      </c>
      <c r="AB167" s="336">
        <f t="shared" si="58"/>
        <v>0</v>
      </c>
    </row>
    <row r="168" spans="2:28" outlineLevel="1">
      <c r="B168" s="244">
        <f t="shared" si="54"/>
        <v>50740</v>
      </c>
      <c r="C168" s="343">
        <v>2954053.5181132671</v>
      </c>
      <c r="D168" s="245">
        <f>IF(ISNUMBER($F168),VLOOKUP($J168,'Table 1'!$B$13:$G$40,2,FALSE)/12*1000*Study_MW,"")</f>
        <v>0</v>
      </c>
      <c r="E168" s="245">
        <f t="shared" si="55"/>
        <v>2954053.5181132671</v>
      </c>
      <c r="F168" s="343">
        <v>74400.000000000015</v>
      </c>
      <c r="G168" s="246">
        <f t="shared" si="56"/>
        <v>39.705020404748204</v>
      </c>
      <c r="I168" s="247">
        <f t="shared" si="51"/>
        <v>181</v>
      </c>
      <c r="J168" s="237">
        <f t="shared" si="57"/>
        <v>2038</v>
      </c>
      <c r="K168" s="244">
        <f t="shared" si="59"/>
        <v>50740</v>
      </c>
      <c r="V168" s="97" t="str">
        <f t="shared" si="52"/>
        <v>Winter</v>
      </c>
      <c r="AA168" s="337">
        <f t="shared" si="53"/>
        <v>2.18E-2</v>
      </c>
      <c r="AB168" s="336">
        <f t="shared" si="58"/>
        <v>0</v>
      </c>
    </row>
    <row r="169" spans="2:28" outlineLevel="1">
      <c r="B169" s="232">
        <f t="shared" si="54"/>
        <v>50771</v>
      </c>
      <c r="C169" s="338">
        <v>2401014.9169988288</v>
      </c>
      <c r="D169" s="233">
        <f>IF(ISNUMBER($F169),VLOOKUP($J169,'Table 1'!$B$13:$G$40,2,FALSE)/12*1000*Study_MW,"")</f>
        <v>0</v>
      </c>
      <c r="E169" s="233">
        <f t="shared" si="55"/>
        <v>2401014.9169988288</v>
      </c>
      <c r="F169" s="338">
        <v>74400</v>
      </c>
      <c r="G169" s="235">
        <f t="shared" si="56"/>
        <v>32.271705873640173</v>
      </c>
      <c r="I169" s="236">
        <f t="shared" si="51"/>
        <v>183</v>
      </c>
      <c r="J169" s="237">
        <f t="shared" si="57"/>
        <v>2039</v>
      </c>
      <c r="K169" s="232">
        <f t="shared" si="59"/>
        <v>50771</v>
      </c>
      <c r="V169" s="97" t="str">
        <f t="shared" si="52"/>
        <v>Winter</v>
      </c>
      <c r="AA169" s="337">
        <f t="shared" si="53"/>
        <v>2.18E-2</v>
      </c>
      <c r="AB169" s="336">
        <f t="shared" si="58"/>
        <v>0</v>
      </c>
    </row>
    <row r="170" spans="2:28" outlineLevel="1">
      <c r="B170" s="238">
        <f t="shared" si="54"/>
        <v>50802</v>
      </c>
      <c r="C170" s="342">
        <v>2543550.3314353772</v>
      </c>
      <c r="D170" s="234">
        <f>IF(ISNUMBER($F170),VLOOKUP($J170,'Table 1'!$B$13:$G$40,2,FALSE)/12*1000*Study_MW,"")</f>
        <v>0</v>
      </c>
      <c r="E170" s="234">
        <f t="shared" si="55"/>
        <v>2543550.3314353772</v>
      </c>
      <c r="F170" s="342">
        <v>67199.999999999985</v>
      </c>
      <c r="G170" s="239">
        <f t="shared" si="56"/>
        <v>37.850451360645501</v>
      </c>
      <c r="I170" s="240">
        <f t="shared" si="51"/>
        <v>184</v>
      </c>
      <c r="J170" s="237">
        <f t="shared" si="57"/>
        <v>2039</v>
      </c>
      <c r="K170" s="238">
        <f t="shared" si="59"/>
        <v>50802</v>
      </c>
      <c r="V170" s="97" t="str">
        <f t="shared" si="52"/>
        <v>Winter</v>
      </c>
      <c r="AA170" s="337">
        <f t="shared" si="53"/>
        <v>2.18E-2</v>
      </c>
      <c r="AB170" s="336">
        <f t="shared" si="58"/>
        <v>0</v>
      </c>
    </row>
    <row r="171" spans="2:28" outlineLevel="1">
      <c r="B171" s="238">
        <f t="shared" si="54"/>
        <v>50830</v>
      </c>
      <c r="C171" s="342">
        <v>1428731.1474630116</v>
      </c>
      <c r="D171" s="234">
        <f>IF(ISNUMBER($F171),VLOOKUP($J171,'Table 1'!$B$13:$G$40,2,FALSE)/12*1000*Study_MW,"")</f>
        <v>0</v>
      </c>
      <c r="E171" s="234">
        <f t="shared" si="55"/>
        <v>1428731.1474630116</v>
      </c>
      <c r="F171" s="342">
        <v>74400</v>
      </c>
      <c r="G171" s="239">
        <f t="shared" si="56"/>
        <v>19.203375637943704</v>
      </c>
      <c r="I171" s="240">
        <f t="shared" si="51"/>
        <v>185</v>
      </c>
      <c r="J171" s="237">
        <f t="shared" si="57"/>
        <v>2039</v>
      </c>
      <c r="K171" s="238">
        <f t="shared" si="59"/>
        <v>50830</v>
      </c>
      <c r="V171" s="97" t="str">
        <f t="shared" si="52"/>
        <v>Winter</v>
      </c>
      <c r="AA171" s="337">
        <f t="shared" si="53"/>
        <v>2.18E-2</v>
      </c>
      <c r="AB171" s="336">
        <f t="shared" si="58"/>
        <v>0</v>
      </c>
    </row>
    <row r="172" spans="2:28" outlineLevel="1">
      <c r="B172" s="238">
        <f t="shared" si="54"/>
        <v>50861</v>
      </c>
      <c r="C172" s="342">
        <v>749349.51304855349</v>
      </c>
      <c r="D172" s="234">
        <f>IF(ISNUMBER($F172),VLOOKUP($J172,'Table 1'!$B$13:$G$40,2,FALSE)/12*1000*Study_MW,"")</f>
        <v>0</v>
      </c>
      <c r="E172" s="234">
        <f t="shared" si="55"/>
        <v>749349.51304855349</v>
      </c>
      <c r="F172" s="342">
        <v>72000</v>
      </c>
      <c r="G172" s="239">
        <f t="shared" si="56"/>
        <v>10.407632125674354</v>
      </c>
      <c r="I172" s="240">
        <f t="shared" si="51"/>
        <v>186</v>
      </c>
      <c r="J172" s="237">
        <f t="shared" si="57"/>
        <v>2039</v>
      </c>
      <c r="K172" s="238">
        <f t="shared" si="59"/>
        <v>50861</v>
      </c>
      <c r="V172" s="97" t="str">
        <f t="shared" si="52"/>
        <v>Winter</v>
      </c>
      <c r="AA172" s="337">
        <f t="shared" si="53"/>
        <v>2.18E-2</v>
      </c>
      <c r="AB172" s="336">
        <f t="shared" si="58"/>
        <v>0</v>
      </c>
    </row>
    <row r="173" spans="2:28" outlineLevel="1">
      <c r="B173" s="238">
        <f t="shared" si="54"/>
        <v>50891</v>
      </c>
      <c r="C173" s="342">
        <v>1353368.2342996181</v>
      </c>
      <c r="D173" s="234">
        <f>IF(ISNUMBER($F173),VLOOKUP($J173,'Table 1'!$B$13:$G$40,2,FALSE)/12*1000*Study_MW,"")</f>
        <v>0</v>
      </c>
      <c r="E173" s="234">
        <f t="shared" si="55"/>
        <v>1353368.2342996181</v>
      </c>
      <c r="F173" s="342">
        <v>74400</v>
      </c>
      <c r="G173" s="239">
        <f t="shared" si="56"/>
        <v>18.190433256715295</v>
      </c>
      <c r="I173" s="240">
        <f t="shared" si="51"/>
        <v>187</v>
      </c>
      <c r="J173" s="237">
        <f t="shared" si="57"/>
        <v>2039</v>
      </c>
      <c r="K173" s="238">
        <f t="shared" si="59"/>
        <v>50891</v>
      </c>
      <c r="V173" s="97" t="str">
        <f t="shared" si="52"/>
        <v>Summer</v>
      </c>
      <c r="AA173" s="337">
        <f t="shared" si="53"/>
        <v>2.18E-2</v>
      </c>
      <c r="AB173" s="336">
        <f t="shared" si="58"/>
        <v>0</v>
      </c>
    </row>
    <row r="174" spans="2:28" outlineLevel="1">
      <c r="B174" s="238">
        <f t="shared" si="54"/>
        <v>50922</v>
      </c>
      <c r="C174" s="342">
        <v>1281225.6174669745</v>
      </c>
      <c r="D174" s="234">
        <f>IF(ISNUMBER($F174),VLOOKUP($J174,'Table 1'!$B$13:$G$40,2,FALSE)/12*1000*Study_MW,"")</f>
        <v>0</v>
      </c>
      <c r="E174" s="234">
        <f t="shared" si="55"/>
        <v>1281225.6174669745</v>
      </c>
      <c r="F174" s="342">
        <v>72000</v>
      </c>
      <c r="G174" s="239">
        <f t="shared" si="56"/>
        <v>17.794800242596867</v>
      </c>
      <c r="I174" s="240">
        <f t="shared" si="51"/>
        <v>188</v>
      </c>
      <c r="J174" s="237">
        <f t="shared" si="57"/>
        <v>2039</v>
      </c>
      <c r="K174" s="238">
        <f t="shared" si="59"/>
        <v>50922</v>
      </c>
      <c r="V174" s="97" t="str">
        <f t="shared" si="52"/>
        <v>Summer</v>
      </c>
      <c r="AA174" s="337">
        <f t="shared" si="53"/>
        <v>2.18E-2</v>
      </c>
      <c r="AB174" s="336">
        <f t="shared" si="58"/>
        <v>0</v>
      </c>
    </row>
    <row r="175" spans="2:28" outlineLevel="1">
      <c r="B175" s="238">
        <f t="shared" si="54"/>
        <v>50952</v>
      </c>
      <c r="C175" s="342">
        <v>3307579.3002366992</v>
      </c>
      <c r="D175" s="234">
        <f>IF(ISNUMBER($F175),VLOOKUP($J175,'Table 1'!$B$13:$G$40,2,FALSE)/12*1000*Study_MW,"")</f>
        <v>0</v>
      </c>
      <c r="E175" s="234">
        <f t="shared" si="55"/>
        <v>3307579.3002366992</v>
      </c>
      <c r="F175" s="342">
        <v>74400</v>
      </c>
      <c r="G175" s="239">
        <f t="shared" si="56"/>
        <v>44.456711024686818</v>
      </c>
      <c r="I175" s="240">
        <f t="shared" si="51"/>
        <v>189</v>
      </c>
      <c r="J175" s="237">
        <f t="shared" si="57"/>
        <v>2039</v>
      </c>
      <c r="K175" s="238">
        <f t="shared" si="59"/>
        <v>50952</v>
      </c>
      <c r="V175" s="97" t="str">
        <f t="shared" si="52"/>
        <v>Summer</v>
      </c>
      <c r="AA175" s="337">
        <f t="shared" si="53"/>
        <v>2.18E-2</v>
      </c>
      <c r="AB175" s="336">
        <f t="shared" si="58"/>
        <v>0</v>
      </c>
    </row>
    <row r="176" spans="2:28" outlineLevel="1">
      <c r="B176" s="238">
        <f t="shared" si="54"/>
        <v>50983</v>
      </c>
      <c r="C176" s="342">
        <v>3759167.4853824517</v>
      </c>
      <c r="D176" s="234">
        <f>IF(ISNUMBER($F176),VLOOKUP($J176,'Table 1'!$B$13:$G$40,2,FALSE)/12*1000*Study_MW,"")</f>
        <v>0</v>
      </c>
      <c r="E176" s="234">
        <f t="shared" si="55"/>
        <v>3759167.4853824517</v>
      </c>
      <c r="F176" s="342">
        <v>74400</v>
      </c>
      <c r="G176" s="239">
        <f t="shared" si="56"/>
        <v>50.526444696000695</v>
      </c>
      <c r="I176" s="240">
        <f t="shared" si="51"/>
        <v>190</v>
      </c>
      <c r="J176" s="237">
        <f t="shared" si="57"/>
        <v>2039</v>
      </c>
      <c r="K176" s="238">
        <f t="shared" si="59"/>
        <v>50983</v>
      </c>
      <c r="V176" s="97" t="str">
        <f t="shared" si="52"/>
        <v>Summer</v>
      </c>
      <c r="AA176" s="337">
        <f t="shared" si="53"/>
        <v>2.18E-2</v>
      </c>
      <c r="AB176" s="336">
        <f t="shared" si="58"/>
        <v>0</v>
      </c>
    </row>
    <row r="177" spans="2:28" outlineLevel="1">
      <c r="B177" s="238">
        <f t="shared" si="54"/>
        <v>51014</v>
      </c>
      <c r="C177" s="342">
        <v>3206110.8694252907</v>
      </c>
      <c r="D177" s="234">
        <f>IF(ISNUMBER($F177),VLOOKUP($J177,'Table 1'!$B$13:$G$40,2,FALSE)/12*1000*Study_MW,"")</f>
        <v>0</v>
      </c>
      <c r="E177" s="234">
        <f t="shared" si="55"/>
        <v>3206110.8694252907</v>
      </c>
      <c r="F177" s="342">
        <v>72000</v>
      </c>
      <c r="G177" s="239">
        <f t="shared" si="56"/>
        <v>44.529317630906817</v>
      </c>
      <c r="I177" s="240">
        <f t="shared" si="51"/>
        <v>191</v>
      </c>
      <c r="J177" s="237">
        <f t="shared" si="57"/>
        <v>2039</v>
      </c>
      <c r="K177" s="238">
        <f t="shared" si="59"/>
        <v>51014</v>
      </c>
      <c r="V177" s="97" t="str">
        <f t="shared" si="52"/>
        <v>Winter</v>
      </c>
      <c r="AA177" s="337">
        <f t="shared" si="53"/>
        <v>2.18E-2</v>
      </c>
      <c r="AB177" s="336">
        <f t="shared" si="58"/>
        <v>0</v>
      </c>
    </row>
    <row r="178" spans="2:28" outlineLevel="1">
      <c r="B178" s="238">
        <f t="shared" si="54"/>
        <v>51044</v>
      </c>
      <c r="C178" s="342">
        <v>643002.35687353415</v>
      </c>
      <c r="D178" s="234">
        <f>IF(ISNUMBER($F178),VLOOKUP($J178,'Table 1'!$B$13:$G$40,2,FALSE)/12*1000*Study_MW,"")</f>
        <v>0</v>
      </c>
      <c r="E178" s="234">
        <f t="shared" si="55"/>
        <v>643002.35687353415</v>
      </c>
      <c r="F178" s="342">
        <v>74400</v>
      </c>
      <c r="G178" s="239">
        <f t="shared" si="56"/>
        <v>8.6425047966872874</v>
      </c>
      <c r="I178" s="240">
        <f t="shared" si="51"/>
        <v>192</v>
      </c>
      <c r="J178" s="237">
        <f t="shared" si="57"/>
        <v>2039</v>
      </c>
      <c r="K178" s="238">
        <f t="shared" si="59"/>
        <v>51044</v>
      </c>
      <c r="V178" s="97" t="str">
        <f t="shared" si="52"/>
        <v>Winter</v>
      </c>
      <c r="AA178" s="337">
        <f t="shared" si="53"/>
        <v>2.18E-2</v>
      </c>
      <c r="AB178" s="336">
        <f t="shared" si="58"/>
        <v>0</v>
      </c>
    </row>
    <row r="179" spans="2:28" outlineLevel="1">
      <c r="B179" s="238">
        <f t="shared" si="54"/>
        <v>51075</v>
      </c>
      <c r="C179" s="342">
        <v>3241196.6872995617</v>
      </c>
      <c r="D179" s="234">
        <f>IF(ISNUMBER($F179),VLOOKUP($J179,'Table 1'!$B$13:$G$40,2,FALSE)/12*1000*Study_MW,"")</f>
        <v>0</v>
      </c>
      <c r="E179" s="234">
        <f t="shared" si="55"/>
        <v>3241196.6872995617</v>
      </c>
      <c r="F179" s="342">
        <v>72000</v>
      </c>
      <c r="G179" s="239">
        <f t="shared" si="56"/>
        <v>45.016620656938358</v>
      </c>
      <c r="I179" s="240">
        <f t="shared" si="51"/>
        <v>193</v>
      </c>
      <c r="J179" s="237">
        <f t="shared" si="57"/>
        <v>2039</v>
      </c>
      <c r="K179" s="238">
        <f t="shared" si="59"/>
        <v>51075</v>
      </c>
      <c r="V179" s="97" t="str">
        <f t="shared" si="52"/>
        <v>Winter</v>
      </c>
      <c r="AA179" s="337">
        <f t="shared" si="53"/>
        <v>2.18E-2</v>
      </c>
      <c r="AB179" s="336">
        <f t="shared" si="58"/>
        <v>0</v>
      </c>
    </row>
    <row r="180" spans="2:28" outlineLevel="1">
      <c r="B180" s="244">
        <f t="shared" si="54"/>
        <v>51105</v>
      </c>
      <c r="C180" s="343">
        <v>3498645.9610220618</v>
      </c>
      <c r="D180" s="245">
        <f>IF(ISNUMBER($F180),VLOOKUP($J180,'Table 1'!$B$13:$G$40,2,FALSE)/12*1000*Study_MW,"")</f>
        <v>0</v>
      </c>
      <c r="E180" s="245">
        <f t="shared" si="55"/>
        <v>3498645.9610220618</v>
      </c>
      <c r="F180" s="343">
        <v>74400.000000000015</v>
      </c>
      <c r="G180" s="246">
        <f t="shared" si="56"/>
        <v>47.024811304059959</v>
      </c>
      <c r="I180" s="247">
        <f t="shared" si="51"/>
        <v>194</v>
      </c>
      <c r="J180" s="237">
        <f t="shared" si="57"/>
        <v>2039</v>
      </c>
      <c r="K180" s="244">
        <f t="shared" si="59"/>
        <v>51105</v>
      </c>
      <c r="V180" s="97" t="str">
        <f t="shared" si="52"/>
        <v>Winter</v>
      </c>
      <c r="AA180" s="337">
        <f t="shared" si="53"/>
        <v>2.18E-2</v>
      </c>
      <c r="AB180" s="336">
        <f t="shared" si="58"/>
        <v>0</v>
      </c>
    </row>
    <row r="181" spans="2:28" outlineLevel="1">
      <c r="B181" s="232">
        <f t="shared" si="54"/>
        <v>51136</v>
      </c>
      <c r="C181" s="338">
        <v>2596049.4523083251</v>
      </c>
      <c r="D181" s="233">
        <f>IF(ISNUMBER($F181),VLOOKUP($J181,'Table 1'!$B$13:$G$40,2,FALSE)/12*1000*Study_MW,"")</f>
        <v>0</v>
      </c>
      <c r="E181" s="233">
        <f t="shared" si="55"/>
        <v>2596049.4523083251</v>
      </c>
      <c r="F181" s="338">
        <v>74400</v>
      </c>
      <c r="G181" s="235">
        <f t="shared" si="56"/>
        <v>34.893137799843082</v>
      </c>
      <c r="I181" s="236">
        <f t="shared" si="51"/>
        <v>196</v>
      </c>
      <c r="J181" s="237">
        <f t="shared" si="57"/>
        <v>2040</v>
      </c>
      <c r="K181" s="232">
        <f t="shared" si="59"/>
        <v>51136</v>
      </c>
      <c r="V181" s="97" t="str">
        <f t="shared" si="52"/>
        <v>Winter</v>
      </c>
      <c r="AA181" s="337">
        <f t="shared" si="53"/>
        <v>2.18E-2</v>
      </c>
      <c r="AB181" s="336">
        <f t="shared" si="58"/>
        <v>0</v>
      </c>
    </row>
    <row r="182" spans="2:28" outlineLevel="1">
      <c r="B182" s="238">
        <f t="shared" si="54"/>
        <v>51167</v>
      </c>
      <c r="C182" s="342">
        <v>2558229.3229569732</v>
      </c>
      <c r="D182" s="234">
        <f>IF(ISNUMBER($F182),VLOOKUP($J182,'Table 1'!$B$13:$G$40,2,FALSE)/12*1000*Study_MW,"")</f>
        <v>0</v>
      </c>
      <c r="E182" s="234">
        <f t="shared" si="55"/>
        <v>2558229.3229569732</v>
      </c>
      <c r="F182" s="342">
        <v>69600</v>
      </c>
      <c r="G182" s="239">
        <f t="shared" si="56"/>
        <v>36.756168433289844</v>
      </c>
      <c r="I182" s="240">
        <f t="shared" si="51"/>
        <v>197</v>
      </c>
      <c r="J182" s="237">
        <f t="shared" si="57"/>
        <v>2040</v>
      </c>
      <c r="K182" s="238">
        <f t="shared" si="59"/>
        <v>51167</v>
      </c>
      <c r="V182" s="97" t="str">
        <f t="shared" si="52"/>
        <v>Winter</v>
      </c>
      <c r="AA182" s="337">
        <f t="shared" si="53"/>
        <v>2.18E-2</v>
      </c>
      <c r="AB182" s="336">
        <f t="shared" si="58"/>
        <v>0</v>
      </c>
    </row>
    <row r="183" spans="2:28" outlineLevel="1">
      <c r="B183" s="238">
        <f t="shared" si="54"/>
        <v>51196</v>
      </c>
      <c r="C183" s="342">
        <v>1867391.5783875273</v>
      </c>
      <c r="D183" s="234">
        <f>IF(ISNUMBER($F183),VLOOKUP($J183,'Table 1'!$B$13:$G$40,2,FALSE)/12*1000*Study_MW,"")</f>
        <v>0</v>
      </c>
      <c r="E183" s="234">
        <f t="shared" si="55"/>
        <v>1867391.5783875273</v>
      </c>
      <c r="F183" s="342">
        <v>74400</v>
      </c>
      <c r="G183" s="239">
        <f t="shared" si="56"/>
        <v>25.099349171875367</v>
      </c>
      <c r="I183" s="240">
        <f t="shared" si="51"/>
        <v>198</v>
      </c>
      <c r="J183" s="237">
        <f t="shared" si="57"/>
        <v>2040</v>
      </c>
      <c r="K183" s="238">
        <f t="shared" si="59"/>
        <v>51196</v>
      </c>
      <c r="V183" s="97" t="str">
        <f t="shared" si="52"/>
        <v>Winter</v>
      </c>
      <c r="AA183" s="337">
        <f t="shared" si="53"/>
        <v>2.18E-2</v>
      </c>
      <c r="AB183" s="336">
        <f t="shared" si="58"/>
        <v>0</v>
      </c>
    </row>
    <row r="184" spans="2:28" outlineLevel="1">
      <c r="B184" s="238">
        <f t="shared" si="54"/>
        <v>51227</v>
      </c>
      <c r="C184" s="342">
        <v>593970.19134747097</v>
      </c>
      <c r="D184" s="234">
        <f>IF(ISNUMBER($F184),VLOOKUP($J184,'Table 1'!$B$13:$G$40,2,FALSE)/12*1000*Study_MW,"")</f>
        <v>0</v>
      </c>
      <c r="E184" s="234">
        <f t="shared" si="55"/>
        <v>593970.19134747097</v>
      </c>
      <c r="F184" s="342">
        <v>72000</v>
      </c>
      <c r="G184" s="239">
        <f t="shared" si="56"/>
        <v>8.2495859909370974</v>
      </c>
      <c r="I184" s="240">
        <f t="shared" si="51"/>
        <v>199</v>
      </c>
      <c r="J184" s="237">
        <f t="shared" si="57"/>
        <v>2040</v>
      </c>
      <c r="K184" s="238">
        <f t="shared" si="59"/>
        <v>51227</v>
      </c>
      <c r="V184" s="97" t="str">
        <f t="shared" si="52"/>
        <v>Winter</v>
      </c>
      <c r="AA184" s="337">
        <f t="shared" si="53"/>
        <v>2.18E-2</v>
      </c>
      <c r="AB184" s="336">
        <f t="shared" si="58"/>
        <v>0</v>
      </c>
    </row>
    <row r="185" spans="2:28" outlineLevel="1">
      <c r="B185" s="238">
        <f t="shared" si="54"/>
        <v>51257</v>
      </c>
      <c r="C185" s="342">
        <v>1249356.1428566026</v>
      </c>
      <c r="D185" s="234">
        <f>IF(ISNUMBER($F185),VLOOKUP($J185,'Table 1'!$B$13:$G$40,2,FALSE)/12*1000*Study_MW,"")</f>
        <v>0</v>
      </c>
      <c r="E185" s="234">
        <f t="shared" si="55"/>
        <v>1249356.1428566026</v>
      </c>
      <c r="F185" s="342">
        <v>74400</v>
      </c>
      <c r="G185" s="239">
        <f t="shared" si="56"/>
        <v>16.792421274954336</v>
      </c>
      <c r="I185" s="240">
        <f t="shared" si="51"/>
        <v>200</v>
      </c>
      <c r="J185" s="237">
        <f t="shared" si="57"/>
        <v>2040</v>
      </c>
      <c r="K185" s="238">
        <f t="shared" si="59"/>
        <v>51257</v>
      </c>
      <c r="V185" s="97" t="str">
        <f t="shared" si="52"/>
        <v>Summer</v>
      </c>
      <c r="AA185" s="337">
        <f t="shared" si="53"/>
        <v>2.18E-2</v>
      </c>
      <c r="AB185" s="336">
        <f t="shared" si="58"/>
        <v>0</v>
      </c>
    </row>
    <row r="186" spans="2:28" outlineLevel="1">
      <c r="B186" s="238">
        <f t="shared" si="54"/>
        <v>51288</v>
      </c>
      <c r="C186" s="342">
        <v>1243758.8510632049</v>
      </c>
      <c r="D186" s="234">
        <f>IF(ISNUMBER($F186),VLOOKUP($J186,'Table 1'!$B$13:$G$40,2,FALSE)/12*1000*Study_MW,"")</f>
        <v>0</v>
      </c>
      <c r="E186" s="234">
        <f t="shared" si="55"/>
        <v>1243758.8510632049</v>
      </c>
      <c r="F186" s="342">
        <v>72000</v>
      </c>
      <c r="G186" s="239">
        <f t="shared" si="56"/>
        <v>17.274428486988956</v>
      </c>
      <c r="I186" s="240">
        <f t="shared" ref="I186:I252" si="60">I174+13</f>
        <v>201</v>
      </c>
      <c r="J186" s="237">
        <f t="shared" si="57"/>
        <v>2040</v>
      </c>
      <c r="K186" s="238">
        <f t="shared" si="59"/>
        <v>51288</v>
      </c>
      <c r="V186" s="97" t="str">
        <f t="shared" si="52"/>
        <v>Summer</v>
      </c>
      <c r="AA186" s="337">
        <f t="shared" si="53"/>
        <v>2.18E-2</v>
      </c>
      <c r="AB186" s="336">
        <f t="shared" si="58"/>
        <v>0</v>
      </c>
    </row>
    <row r="187" spans="2:28" outlineLevel="1">
      <c r="B187" s="238">
        <f t="shared" si="54"/>
        <v>51318</v>
      </c>
      <c r="C187" s="342">
        <v>3645122.7656795452</v>
      </c>
      <c r="D187" s="234">
        <f>IF(ISNUMBER($F187),VLOOKUP($J187,'Table 1'!$B$13:$G$40,2,FALSE)/12*1000*Study_MW,"")</f>
        <v>0</v>
      </c>
      <c r="E187" s="234">
        <f t="shared" si="55"/>
        <v>3645122.7656795452</v>
      </c>
      <c r="F187" s="342">
        <v>74400</v>
      </c>
      <c r="G187" s="239">
        <f t="shared" si="56"/>
        <v>48.993585560208942</v>
      </c>
      <c r="I187" s="240">
        <f t="shared" si="60"/>
        <v>202</v>
      </c>
      <c r="J187" s="237">
        <f t="shared" si="57"/>
        <v>2040</v>
      </c>
      <c r="K187" s="238">
        <f t="shared" si="59"/>
        <v>51318</v>
      </c>
      <c r="V187" s="97" t="str">
        <f t="shared" si="52"/>
        <v>Summer</v>
      </c>
      <c r="AA187" s="337">
        <f t="shared" si="53"/>
        <v>2.18E-2</v>
      </c>
      <c r="AB187" s="336">
        <f t="shared" si="58"/>
        <v>0</v>
      </c>
    </row>
    <row r="188" spans="2:28" outlineLevel="1">
      <c r="B188" s="238">
        <f t="shared" si="54"/>
        <v>51349</v>
      </c>
      <c r="C188" s="342">
        <v>3909987.8716464918</v>
      </c>
      <c r="D188" s="234">
        <f>IF(ISNUMBER($F188),VLOOKUP($J188,'Table 1'!$B$13:$G$40,2,FALSE)/12*1000*Study_MW,"")</f>
        <v>0</v>
      </c>
      <c r="E188" s="234">
        <f t="shared" si="55"/>
        <v>3909987.8716464918</v>
      </c>
      <c r="F188" s="342">
        <v>74400</v>
      </c>
      <c r="G188" s="239">
        <f t="shared" si="56"/>
        <v>52.553600425356073</v>
      </c>
      <c r="I188" s="240">
        <f t="shared" si="60"/>
        <v>203</v>
      </c>
      <c r="J188" s="237">
        <f t="shared" si="57"/>
        <v>2040</v>
      </c>
      <c r="K188" s="238">
        <f t="shared" si="59"/>
        <v>51349</v>
      </c>
      <c r="V188" s="97" t="str">
        <f t="shared" si="52"/>
        <v>Summer</v>
      </c>
      <c r="AA188" s="337">
        <f t="shared" si="53"/>
        <v>2.18E-2</v>
      </c>
      <c r="AB188" s="336">
        <f t="shared" si="58"/>
        <v>0</v>
      </c>
    </row>
    <row r="189" spans="2:28" outlineLevel="1">
      <c r="B189" s="238">
        <f t="shared" si="54"/>
        <v>51380</v>
      </c>
      <c r="C189" s="342">
        <v>3339069.0127729885</v>
      </c>
      <c r="D189" s="234">
        <f>IF(ISNUMBER($F189),VLOOKUP($J189,'Table 1'!$B$13:$G$40,2,FALSE)/12*1000*Study_MW,"")</f>
        <v>0</v>
      </c>
      <c r="E189" s="234">
        <f t="shared" si="55"/>
        <v>3339069.0127729885</v>
      </c>
      <c r="F189" s="342">
        <v>72000</v>
      </c>
      <c r="G189" s="239">
        <f t="shared" si="56"/>
        <v>46.375958510735948</v>
      </c>
      <c r="I189" s="240">
        <f t="shared" si="60"/>
        <v>204</v>
      </c>
      <c r="J189" s="237">
        <f t="shared" si="57"/>
        <v>2040</v>
      </c>
      <c r="K189" s="238">
        <f t="shared" si="59"/>
        <v>51380</v>
      </c>
      <c r="V189" s="97" t="str">
        <f t="shared" si="52"/>
        <v>Winter</v>
      </c>
      <c r="AA189" s="337">
        <f t="shared" si="53"/>
        <v>2.18E-2</v>
      </c>
      <c r="AB189" s="336">
        <f t="shared" si="58"/>
        <v>0</v>
      </c>
    </row>
    <row r="190" spans="2:28" outlineLevel="1">
      <c r="B190" s="238">
        <f t="shared" si="54"/>
        <v>51410</v>
      </c>
      <c r="C190" s="342">
        <v>1241895.6205659197</v>
      </c>
      <c r="D190" s="234">
        <f>IF(ISNUMBER($F190),VLOOKUP($J190,'Table 1'!$B$13:$G$40,2,FALSE)/12*1000*Study_MW,"")</f>
        <v>0</v>
      </c>
      <c r="E190" s="234">
        <f t="shared" si="55"/>
        <v>1241895.6205659197</v>
      </c>
      <c r="F190" s="342">
        <v>74400</v>
      </c>
      <c r="G190" s="239">
        <f t="shared" si="56"/>
        <v>16.692145437713975</v>
      </c>
      <c r="I190" s="240">
        <f t="shared" si="60"/>
        <v>205</v>
      </c>
      <c r="J190" s="237">
        <f t="shared" si="57"/>
        <v>2040</v>
      </c>
      <c r="K190" s="238">
        <f t="shared" si="59"/>
        <v>51410</v>
      </c>
      <c r="V190" s="97" t="str">
        <f t="shared" si="52"/>
        <v>Winter</v>
      </c>
      <c r="AA190" s="337">
        <f t="shared" si="53"/>
        <v>2.18E-2</v>
      </c>
      <c r="AB190" s="336">
        <f t="shared" si="58"/>
        <v>0</v>
      </c>
    </row>
    <row r="191" spans="2:28" outlineLevel="1">
      <c r="B191" s="238">
        <f t="shared" si="54"/>
        <v>51441</v>
      </c>
      <c r="C191" s="342">
        <v>2990646.7933163387</v>
      </c>
      <c r="D191" s="234">
        <f>IF(ISNUMBER($F191),VLOOKUP($J191,'Table 1'!$B$13:$G$40,2,FALSE)/12*1000*Study_MW,"")</f>
        <v>0</v>
      </c>
      <c r="E191" s="234">
        <f t="shared" si="55"/>
        <v>2990646.7933163387</v>
      </c>
      <c r="F191" s="342">
        <v>72000</v>
      </c>
      <c r="G191" s="239">
        <f t="shared" si="56"/>
        <v>41.536761018282483</v>
      </c>
      <c r="I191" s="240">
        <f t="shared" si="60"/>
        <v>206</v>
      </c>
      <c r="J191" s="237">
        <f t="shared" si="57"/>
        <v>2040</v>
      </c>
      <c r="K191" s="238">
        <f t="shared" si="59"/>
        <v>51441</v>
      </c>
      <c r="V191" s="97" t="str">
        <f t="shared" si="52"/>
        <v>Winter</v>
      </c>
      <c r="AA191" s="337">
        <f t="shared" si="53"/>
        <v>2.18E-2</v>
      </c>
      <c r="AB191" s="336">
        <f t="shared" si="58"/>
        <v>0</v>
      </c>
    </row>
    <row r="192" spans="2:28" outlineLevel="1">
      <c r="B192" s="244">
        <f t="shared" si="54"/>
        <v>51471</v>
      </c>
      <c r="C192" s="343">
        <v>3999055.7594330893</v>
      </c>
      <c r="D192" s="245">
        <f>IF(ISNUMBER($F192),VLOOKUP($J192,'Table 1'!$B$13:$G$40,2,FALSE)/12*1000*Study_MW,"")</f>
        <v>0</v>
      </c>
      <c r="E192" s="245">
        <f t="shared" si="55"/>
        <v>3999055.7594330893</v>
      </c>
      <c r="F192" s="343">
        <v>74400</v>
      </c>
      <c r="G192" s="246">
        <f t="shared" si="56"/>
        <v>53.750749454745822</v>
      </c>
      <c r="I192" s="247">
        <f t="shared" si="60"/>
        <v>207</v>
      </c>
      <c r="J192" s="237">
        <f t="shared" si="57"/>
        <v>2040</v>
      </c>
      <c r="K192" s="244">
        <f t="shared" si="59"/>
        <v>51471</v>
      </c>
      <c r="V192" s="97" t="str">
        <f t="shared" si="52"/>
        <v>Winter</v>
      </c>
      <c r="AA192" s="337">
        <f t="shared" si="53"/>
        <v>2.18E-2</v>
      </c>
      <c r="AB192" s="336">
        <f t="shared" si="58"/>
        <v>0</v>
      </c>
    </row>
    <row r="193" spans="2:28" outlineLevel="1">
      <c r="B193" s="232">
        <f t="shared" si="54"/>
        <v>51502</v>
      </c>
      <c r="C193" s="338">
        <v>2804828.1378679019</v>
      </c>
      <c r="D193" s="233">
        <f>IF(ISNUMBER($F193),VLOOKUP($J193,'Table 1'!$B$13:$G$40,2,FALSE)/12*1000*Study_MW,"")</f>
        <v>0</v>
      </c>
      <c r="E193" s="233">
        <f t="shared" si="55"/>
        <v>2804828.1378679019</v>
      </c>
      <c r="F193" s="338">
        <v>74400</v>
      </c>
      <c r="G193" s="235">
        <f t="shared" si="56"/>
        <v>37.699302928332017</v>
      </c>
      <c r="I193" s="236">
        <f t="shared" si="60"/>
        <v>209</v>
      </c>
      <c r="J193" s="237">
        <f t="shared" ref="J193:J240" si="61">YEAR(B193)</f>
        <v>2041</v>
      </c>
      <c r="K193" s="232">
        <f t="shared" ref="K193:K240" si="62">IF(ISNUMBER(F193),IF(F193&lt;&gt;0,B193,""),"")</f>
        <v>51502</v>
      </c>
      <c r="M193" s="36"/>
      <c r="V193" s="97" t="str">
        <f t="shared" si="52"/>
        <v>Winter</v>
      </c>
      <c r="AA193" s="337">
        <f t="shared" si="53"/>
        <v>2.18E-2</v>
      </c>
      <c r="AB193" s="336">
        <f t="shared" si="58"/>
        <v>0</v>
      </c>
    </row>
    <row r="194" spans="2:28" outlineLevel="1">
      <c r="B194" s="238">
        <f t="shared" si="54"/>
        <v>51533</v>
      </c>
      <c r="C194" s="342">
        <v>3093272.508377315</v>
      </c>
      <c r="D194" s="234">
        <f>IF(ISNUMBER($F194),VLOOKUP($J194,'Table 1'!$B$13:$G$40,2,FALSE)/12*1000*Study_MW,"")</f>
        <v>0</v>
      </c>
      <c r="E194" s="234">
        <f t="shared" si="55"/>
        <v>3093272.508377315</v>
      </c>
      <c r="F194" s="342">
        <v>67199.999999999985</v>
      </c>
      <c r="G194" s="239">
        <f t="shared" si="56"/>
        <v>46.030840898471958</v>
      </c>
      <c r="I194" s="240">
        <f t="shared" si="60"/>
        <v>210</v>
      </c>
      <c r="J194" s="237">
        <f t="shared" si="61"/>
        <v>2041</v>
      </c>
      <c r="K194" s="238">
        <f t="shared" si="62"/>
        <v>51533</v>
      </c>
      <c r="M194" s="36"/>
      <c r="V194" s="97" t="str">
        <f t="shared" si="52"/>
        <v>Winter</v>
      </c>
      <c r="AA194" s="337">
        <f t="shared" si="53"/>
        <v>2.18E-2</v>
      </c>
      <c r="AB194" s="336">
        <f t="shared" si="58"/>
        <v>0</v>
      </c>
    </row>
    <row r="195" spans="2:28" outlineLevel="1">
      <c r="B195" s="238">
        <f t="shared" si="54"/>
        <v>51561</v>
      </c>
      <c r="C195" s="342">
        <v>2189325.0143296174</v>
      </c>
      <c r="D195" s="234">
        <f>IF(ISNUMBER($F195),VLOOKUP($J195,'Table 1'!$B$13:$G$40,2,FALSE)/12*1000*Study_MW,"")</f>
        <v>0</v>
      </c>
      <c r="E195" s="234">
        <f t="shared" si="55"/>
        <v>2189325.0143296174</v>
      </c>
      <c r="F195" s="342">
        <v>74400</v>
      </c>
      <c r="G195" s="239">
        <f t="shared" si="56"/>
        <v>29.426411482924966</v>
      </c>
      <c r="I195" s="240">
        <f t="shared" si="60"/>
        <v>211</v>
      </c>
      <c r="J195" s="237">
        <f t="shared" si="61"/>
        <v>2041</v>
      </c>
      <c r="K195" s="238">
        <f t="shared" si="62"/>
        <v>51561</v>
      </c>
      <c r="M195" s="36"/>
      <c r="V195" s="97" t="str">
        <f t="shared" si="52"/>
        <v>Winter</v>
      </c>
      <c r="AA195" s="337">
        <f t="shared" si="53"/>
        <v>2.18E-2</v>
      </c>
      <c r="AB195" s="336">
        <f t="shared" si="58"/>
        <v>0</v>
      </c>
    </row>
    <row r="196" spans="2:28" outlineLevel="1">
      <c r="B196" s="238">
        <f t="shared" si="54"/>
        <v>51592</v>
      </c>
      <c r="C196" s="342">
        <v>1026702.454183207</v>
      </c>
      <c r="D196" s="234">
        <f>IF(ISNUMBER($F196),VLOOKUP($J196,'Table 1'!$B$13:$G$40,2,FALSE)/12*1000*Study_MW,"")</f>
        <v>0</v>
      </c>
      <c r="E196" s="234">
        <f t="shared" si="55"/>
        <v>1026702.454183207</v>
      </c>
      <c r="F196" s="342">
        <v>72000</v>
      </c>
      <c r="G196" s="239">
        <f t="shared" si="56"/>
        <v>14.259756308100098</v>
      </c>
      <c r="I196" s="240">
        <f t="shared" si="60"/>
        <v>212</v>
      </c>
      <c r="J196" s="237">
        <f t="shared" si="61"/>
        <v>2041</v>
      </c>
      <c r="K196" s="238">
        <f t="shared" si="62"/>
        <v>51592</v>
      </c>
      <c r="M196" s="36"/>
      <c r="V196" s="97" t="str">
        <f t="shared" si="52"/>
        <v>Winter</v>
      </c>
      <c r="AA196" s="337">
        <f t="shared" si="53"/>
        <v>2.18E-2</v>
      </c>
      <c r="AB196" s="336">
        <f t="shared" si="58"/>
        <v>0</v>
      </c>
    </row>
    <row r="197" spans="2:28" outlineLevel="1">
      <c r="B197" s="238">
        <f t="shared" si="54"/>
        <v>51622</v>
      </c>
      <c r="C197" s="342">
        <v>954919.94539568259</v>
      </c>
      <c r="D197" s="234">
        <f>IF(ISNUMBER($F197),VLOOKUP($J197,'Table 1'!$B$13:$G$40,2,FALSE)/12*1000*Study_MW,"")</f>
        <v>0</v>
      </c>
      <c r="E197" s="234">
        <f t="shared" si="55"/>
        <v>954919.94539568259</v>
      </c>
      <c r="F197" s="342">
        <v>74400</v>
      </c>
      <c r="G197" s="239">
        <f t="shared" si="56"/>
        <v>12.834945502630143</v>
      </c>
      <c r="I197" s="240">
        <f t="shared" si="60"/>
        <v>213</v>
      </c>
      <c r="J197" s="237">
        <f t="shared" si="61"/>
        <v>2041</v>
      </c>
      <c r="K197" s="238">
        <f t="shared" si="62"/>
        <v>51622</v>
      </c>
      <c r="M197" s="36"/>
      <c r="V197" s="97" t="str">
        <f t="shared" si="52"/>
        <v>Summer</v>
      </c>
      <c r="AA197" s="337">
        <f t="shared" si="53"/>
        <v>2.18E-2</v>
      </c>
      <c r="AB197" s="336">
        <f t="shared" si="58"/>
        <v>0</v>
      </c>
    </row>
    <row r="198" spans="2:28" outlineLevel="1">
      <c r="B198" s="238">
        <f t="shared" si="54"/>
        <v>51653</v>
      </c>
      <c r="C198" s="342">
        <v>1878649.0458144327</v>
      </c>
      <c r="D198" s="234">
        <f>IF(ISNUMBER($F198),VLOOKUP($J198,'Table 1'!$B$13:$G$40,2,FALSE)/12*1000*Study_MW,"")</f>
        <v>0</v>
      </c>
      <c r="E198" s="234">
        <f t="shared" si="55"/>
        <v>1878649.0458144327</v>
      </c>
      <c r="F198" s="342">
        <v>72000</v>
      </c>
      <c r="G198" s="239">
        <f t="shared" si="56"/>
        <v>26.092347858533788</v>
      </c>
      <c r="I198" s="240">
        <f t="shared" si="60"/>
        <v>214</v>
      </c>
      <c r="J198" s="237">
        <f t="shared" si="61"/>
        <v>2041</v>
      </c>
      <c r="K198" s="238">
        <f t="shared" si="62"/>
        <v>51653</v>
      </c>
      <c r="M198" s="36"/>
      <c r="V198" s="97" t="str">
        <f t="shared" si="52"/>
        <v>Summer</v>
      </c>
      <c r="AA198" s="337">
        <f t="shared" si="53"/>
        <v>2.18E-2</v>
      </c>
      <c r="AB198" s="336">
        <f t="shared" si="58"/>
        <v>0</v>
      </c>
    </row>
    <row r="199" spans="2:28" outlineLevel="1">
      <c r="B199" s="238">
        <f t="shared" si="54"/>
        <v>51683</v>
      </c>
      <c r="C199" s="342">
        <v>3797924.9484645561</v>
      </c>
      <c r="D199" s="234">
        <f>IF(ISNUMBER($F199),VLOOKUP($J199,'Table 1'!$B$13:$G$40,2,FALSE)/12*1000*Study_MW,"")</f>
        <v>0</v>
      </c>
      <c r="E199" s="234">
        <f t="shared" si="55"/>
        <v>3797924.9484645561</v>
      </c>
      <c r="F199" s="342">
        <v>74400</v>
      </c>
      <c r="G199" s="239">
        <f t="shared" si="56"/>
        <v>51.047378339577371</v>
      </c>
      <c r="I199" s="240">
        <f t="shared" si="60"/>
        <v>215</v>
      </c>
      <c r="J199" s="237">
        <f t="shared" si="61"/>
        <v>2041</v>
      </c>
      <c r="K199" s="238">
        <f t="shared" si="62"/>
        <v>51683</v>
      </c>
      <c r="M199" s="36"/>
      <c r="V199" s="97" t="str">
        <f t="shared" si="52"/>
        <v>Summer</v>
      </c>
      <c r="AA199" s="337">
        <f t="shared" si="53"/>
        <v>2.18E-2</v>
      </c>
      <c r="AB199" s="336">
        <f t="shared" si="58"/>
        <v>0</v>
      </c>
    </row>
    <row r="200" spans="2:28" outlineLevel="1">
      <c r="B200" s="238">
        <f t="shared" si="54"/>
        <v>51714</v>
      </c>
      <c r="C200" s="342">
        <v>3826674.3771167765</v>
      </c>
      <c r="D200" s="234">
        <f>IF(ISNUMBER($F200),VLOOKUP($J200,'Table 1'!$B$13:$G$40,2,FALSE)/12*1000*Study_MW,"")</f>
        <v>0</v>
      </c>
      <c r="E200" s="234">
        <f t="shared" si="55"/>
        <v>3826674.3771167765</v>
      </c>
      <c r="F200" s="342">
        <v>74400</v>
      </c>
      <c r="G200" s="239">
        <f t="shared" si="56"/>
        <v>51.433795391354522</v>
      </c>
      <c r="I200" s="240">
        <f t="shared" si="60"/>
        <v>216</v>
      </c>
      <c r="J200" s="237">
        <f t="shared" si="61"/>
        <v>2041</v>
      </c>
      <c r="K200" s="238">
        <f t="shared" si="62"/>
        <v>51714</v>
      </c>
      <c r="M200" s="36"/>
      <c r="V200" s="97" t="str">
        <f t="shared" si="52"/>
        <v>Summer</v>
      </c>
      <c r="AA200" s="337">
        <f t="shared" si="53"/>
        <v>2.18E-2</v>
      </c>
      <c r="AB200" s="336">
        <f t="shared" si="58"/>
        <v>0</v>
      </c>
    </row>
    <row r="201" spans="2:28" outlineLevel="1">
      <c r="B201" s="238">
        <f t="shared" si="54"/>
        <v>51745</v>
      </c>
      <c r="C201" s="342">
        <v>3496753.8579017892</v>
      </c>
      <c r="D201" s="234">
        <f>IF(ISNUMBER($F201),VLOOKUP($J201,'Table 1'!$B$13:$G$40,2,FALSE)/12*1000*Study_MW,"")</f>
        <v>0</v>
      </c>
      <c r="E201" s="234">
        <f t="shared" si="55"/>
        <v>3496753.8579017892</v>
      </c>
      <c r="F201" s="342">
        <v>72000</v>
      </c>
      <c r="G201" s="239">
        <f t="shared" si="56"/>
        <v>48.566025804191518</v>
      </c>
      <c r="I201" s="240">
        <f t="shared" si="60"/>
        <v>217</v>
      </c>
      <c r="J201" s="237">
        <f t="shared" si="61"/>
        <v>2041</v>
      </c>
      <c r="K201" s="238">
        <f t="shared" si="62"/>
        <v>51745</v>
      </c>
      <c r="M201" s="36"/>
      <c r="V201" s="97" t="str">
        <f t="shared" si="52"/>
        <v>Winter</v>
      </c>
      <c r="AA201" s="337">
        <f t="shared" si="53"/>
        <v>2.18E-2</v>
      </c>
      <c r="AB201" s="336">
        <f t="shared" si="58"/>
        <v>0</v>
      </c>
    </row>
    <row r="202" spans="2:28" outlineLevel="1">
      <c r="B202" s="238">
        <f t="shared" si="54"/>
        <v>51775</v>
      </c>
      <c r="C202" s="342">
        <v>1652354.4706947724</v>
      </c>
      <c r="D202" s="234">
        <f>IF(ISNUMBER($F202),VLOOKUP($J202,'Table 1'!$B$13:$G$40,2,FALSE)/12*1000*Study_MW,"")</f>
        <v>0</v>
      </c>
      <c r="E202" s="234">
        <f t="shared" si="55"/>
        <v>1652354.4706947724</v>
      </c>
      <c r="F202" s="342">
        <v>74400</v>
      </c>
      <c r="G202" s="239">
        <f t="shared" si="56"/>
        <v>22.209065466327587</v>
      </c>
      <c r="I202" s="240">
        <f t="shared" si="60"/>
        <v>218</v>
      </c>
      <c r="J202" s="237">
        <f t="shared" si="61"/>
        <v>2041</v>
      </c>
      <c r="K202" s="238">
        <f t="shared" si="62"/>
        <v>51775</v>
      </c>
      <c r="M202" s="36"/>
      <c r="V202" s="97" t="str">
        <f t="shared" si="52"/>
        <v>Winter</v>
      </c>
      <c r="AA202" s="337">
        <f t="shared" si="53"/>
        <v>2.18E-2</v>
      </c>
      <c r="AB202" s="336">
        <f t="shared" si="58"/>
        <v>0</v>
      </c>
    </row>
    <row r="203" spans="2:28" outlineLevel="1">
      <c r="B203" s="238">
        <f t="shared" si="54"/>
        <v>51806</v>
      </c>
      <c r="C203" s="342">
        <v>3412481.2015141505</v>
      </c>
      <c r="D203" s="234">
        <f>IF(ISNUMBER($F203),VLOOKUP($J203,'Table 1'!$B$13:$G$40,2,FALSE)/12*1000*Study_MW,"")</f>
        <v>0</v>
      </c>
      <c r="E203" s="234">
        <f t="shared" si="55"/>
        <v>3412481.2015141505</v>
      </c>
      <c r="F203" s="342">
        <v>72000</v>
      </c>
      <c r="G203" s="239">
        <f t="shared" si="56"/>
        <v>47.39557224325209</v>
      </c>
      <c r="I203" s="240">
        <f t="shared" si="60"/>
        <v>219</v>
      </c>
      <c r="J203" s="237">
        <f t="shared" si="61"/>
        <v>2041</v>
      </c>
      <c r="K203" s="238">
        <f t="shared" si="62"/>
        <v>51806</v>
      </c>
      <c r="M203" s="36"/>
      <c r="V203" s="97" t="str">
        <f t="shared" si="52"/>
        <v>Winter</v>
      </c>
      <c r="AA203" s="337">
        <f t="shared" si="53"/>
        <v>2.18E-2</v>
      </c>
      <c r="AB203" s="336">
        <f t="shared" si="58"/>
        <v>0</v>
      </c>
    </row>
    <row r="204" spans="2:28" outlineLevel="1">
      <c r="B204" s="244">
        <f t="shared" si="54"/>
        <v>51836</v>
      </c>
      <c r="C204" s="343">
        <v>4470740.8362375693</v>
      </c>
      <c r="D204" s="245">
        <f>IF(ISNUMBER($F204),VLOOKUP($J204,'Table 1'!$B$13:$G$40,2,FALSE)/12*1000*Study_MW,"")</f>
        <v>0</v>
      </c>
      <c r="E204" s="245">
        <f t="shared" si="55"/>
        <v>4470740.8362375693</v>
      </c>
      <c r="F204" s="343">
        <v>74400.000000000015</v>
      </c>
      <c r="G204" s="246">
        <f t="shared" si="56"/>
        <v>60.090602637601727</v>
      </c>
      <c r="I204" s="247">
        <f t="shared" si="60"/>
        <v>220</v>
      </c>
      <c r="J204" s="237">
        <f t="shared" si="61"/>
        <v>2041</v>
      </c>
      <c r="K204" s="244">
        <f t="shared" si="62"/>
        <v>51836</v>
      </c>
      <c r="M204" s="36"/>
      <c r="V204" s="97" t="str">
        <f t="shared" ref="V204:V267" si="63">IFERROR(IF(AND(MONTH(K205)&gt;=6,MONTH(K205)&lt;=9),"Summer","Winter"),"-")</f>
        <v>Winter</v>
      </c>
      <c r="AA204" s="337">
        <f t="shared" si="53"/>
        <v>2.18E-2</v>
      </c>
      <c r="AB204" s="336">
        <f t="shared" si="58"/>
        <v>0</v>
      </c>
    </row>
    <row r="205" spans="2:28" outlineLevel="1">
      <c r="B205" s="232">
        <f t="shared" si="54"/>
        <v>51867</v>
      </c>
      <c r="C205" s="338">
        <v>4375781.3947080867</v>
      </c>
      <c r="D205" s="233">
        <f>IF(ISNUMBER($F205),VLOOKUP($J205,'Table 1'!$B$13:$G$40,2,FALSE)/12*1000*Study_MW,"")</f>
        <v>0</v>
      </c>
      <c r="E205" s="233">
        <f t="shared" si="55"/>
        <v>4375781.3947080867</v>
      </c>
      <c r="F205" s="338">
        <v>74400</v>
      </c>
      <c r="G205" s="235">
        <f t="shared" si="56"/>
        <v>58.814266057904391</v>
      </c>
      <c r="I205" s="236">
        <f t="shared" si="60"/>
        <v>222</v>
      </c>
      <c r="J205" s="237">
        <f t="shared" si="61"/>
        <v>2042</v>
      </c>
      <c r="K205" s="232">
        <f t="shared" si="62"/>
        <v>51867</v>
      </c>
      <c r="M205" s="36"/>
      <c r="V205" s="97" t="str">
        <f t="shared" si="63"/>
        <v>Winter</v>
      </c>
      <c r="AA205" s="337">
        <f t="shared" ref="AA205:AA268" si="64">Inflation</f>
        <v>2.18E-2</v>
      </c>
      <c r="AB205" s="336">
        <f t="shared" si="58"/>
        <v>0</v>
      </c>
    </row>
    <row r="206" spans="2:28" outlineLevel="1">
      <c r="B206" s="238">
        <f t="shared" ref="B206:B252" si="65">EDATE(B205,1)</f>
        <v>51898</v>
      </c>
      <c r="C206" s="342">
        <v>3324243.8971784832</v>
      </c>
      <c r="D206" s="234">
        <f>IF(ISNUMBER($F206),VLOOKUP($J206,'Table 1'!$B$13:$G$40,2,FALSE)/12*1000*Study_MW,"")</f>
        <v>0</v>
      </c>
      <c r="E206" s="234">
        <f t="shared" ref="E206:E252" si="66">IF(ISNUMBER(C206+D206),C206+D206,"")</f>
        <v>3324243.8971784832</v>
      </c>
      <c r="F206" s="342">
        <v>67199.999999999985</v>
      </c>
      <c r="G206" s="239">
        <f t="shared" ref="G206:G252" si="67">IF(ISNUMBER($F206),E206/$F206,"")</f>
        <v>49.46791513658458</v>
      </c>
      <c r="I206" s="240">
        <f t="shared" si="60"/>
        <v>223</v>
      </c>
      <c r="J206" s="237">
        <f t="shared" si="61"/>
        <v>2042</v>
      </c>
      <c r="K206" s="238">
        <f t="shared" si="62"/>
        <v>51898</v>
      </c>
      <c r="M206" s="36"/>
      <c r="V206" s="97" t="str">
        <f t="shared" si="63"/>
        <v>Winter</v>
      </c>
      <c r="AA206" s="337">
        <f t="shared" si="64"/>
        <v>2.18E-2</v>
      </c>
      <c r="AB206" s="336">
        <f t="shared" ref="AB206:AB269" si="68">IF($AB$8="Solar",IFERROR(IF(J206&gt;$AC$1,-0.005,0),AB194),0)</f>
        <v>0</v>
      </c>
    </row>
    <row r="207" spans="2:28" outlineLevel="1">
      <c r="B207" s="238">
        <f t="shared" si="65"/>
        <v>51926</v>
      </c>
      <c r="C207" s="342">
        <v>3164689.7163603869</v>
      </c>
      <c r="D207" s="234">
        <f>IF(ISNUMBER($F207),VLOOKUP($J207,'Table 1'!$B$13:$G$40,2,FALSE)/12*1000*Study_MW,"")</f>
        <v>0</v>
      </c>
      <c r="E207" s="234">
        <f t="shared" si="66"/>
        <v>3164689.7163603869</v>
      </c>
      <c r="F207" s="342">
        <v>74400</v>
      </c>
      <c r="G207" s="239">
        <f t="shared" si="67"/>
        <v>42.536152101618107</v>
      </c>
      <c r="I207" s="240">
        <f t="shared" si="60"/>
        <v>224</v>
      </c>
      <c r="J207" s="237">
        <f t="shared" si="61"/>
        <v>2042</v>
      </c>
      <c r="K207" s="238">
        <f t="shared" si="62"/>
        <v>51926</v>
      </c>
      <c r="M207" s="36"/>
      <c r="V207" s="97" t="str">
        <f t="shared" si="63"/>
        <v>Winter</v>
      </c>
      <c r="AA207" s="337">
        <f t="shared" si="64"/>
        <v>2.18E-2</v>
      </c>
      <c r="AB207" s="336">
        <f t="shared" si="68"/>
        <v>0</v>
      </c>
    </row>
    <row r="208" spans="2:28" outlineLevel="1">
      <c r="B208" s="238">
        <f t="shared" si="65"/>
        <v>51957</v>
      </c>
      <c r="C208" s="342">
        <v>2012136.3584167629</v>
      </c>
      <c r="D208" s="234">
        <f>IF(ISNUMBER($F208),VLOOKUP($J208,'Table 1'!$B$13:$G$40,2,FALSE)/12*1000*Study_MW,"")</f>
        <v>0</v>
      </c>
      <c r="E208" s="234">
        <f t="shared" si="66"/>
        <v>2012136.3584167629</v>
      </c>
      <c r="F208" s="342">
        <v>72000</v>
      </c>
      <c r="G208" s="239">
        <f t="shared" si="67"/>
        <v>27.946338311343929</v>
      </c>
      <c r="I208" s="240">
        <f t="shared" si="60"/>
        <v>225</v>
      </c>
      <c r="J208" s="237">
        <f t="shared" si="61"/>
        <v>2042</v>
      </c>
      <c r="K208" s="238">
        <f t="shared" si="62"/>
        <v>51957</v>
      </c>
      <c r="M208" s="36"/>
      <c r="V208" s="97" t="str">
        <f t="shared" si="63"/>
        <v>Winter</v>
      </c>
      <c r="AA208" s="337">
        <f t="shared" si="64"/>
        <v>2.18E-2</v>
      </c>
      <c r="AB208" s="336">
        <f t="shared" si="68"/>
        <v>0</v>
      </c>
    </row>
    <row r="209" spans="2:28" outlineLevel="1">
      <c r="B209" s="238">
        <f t="shared" si="65"/>
        <v>51987</v>
      </c>
      <c r="C209" s="342">
        <v>1869405.8401180808</v>
      </c>
      <c r="D209" s="234">
        <f>IF(ISNUMBER($F209),VLOOKUP($J209,'Table 1'!$B$13:$G$40,2,FALSE)/12*1000*Study_MW,"")</f>
        <v>0</v>
      </c>
      <c r="E209" s="234">
        <f t="shared" si="66"/>
        <v>1869405.8401180808</v>
      </c>
      <c r="F209" s="342">
        <v>74400</v>
      </c>
      <c r="G209" s="239">
        <f t="shared" si="67"/>
        <v>25.126422582232269</v>
      </c>
      <c r="I209" s="240">
        <f t="shared" si="60"/>
        <v>226</v>
      </c>
      <c r="J209" s="237">
        <f t="shared" si="61"/>
        <v>2042</v>
      </c>
      <c r="K209" s="238">
        <f t="shared" si="62"/>
        <v>51987</v>
      </c>
      <c r="M209" s="36"/>
      <c r="V209" s="97" t="str">
        <f t="shared" si="63"/>
        <v>Summer</v>
      </c>
      <c r="AA209" s="337">
        <f t="shared" si="64"/>
        <v>2.18E-2</v>
      </c>
      <c r="AB209" s="336">
        <f t="shared" si="68"/>
        <v>0</v>
      </c>
    </row>
    <row r="210" spans="2:28" outlineLevel="1">
      <c r="B210" s="238">
        <f t="shared" si="65"/>
        <v>52018</v>
      </c>
      <c r="C210" s="342">
        <v>2976472.7109996974</v>
      </c>
      <c r="D210" s="234">
        <f>IF(ISNUMBER($F210),VLOOKUP($J210,'Table 1'!$B$13:$G$40,2,FALSE)/12*1000*Study_MW,"")</f>
        <v>0</v>
      </c>
      <c r="E210" s="234">
        <f t="shared" si="66"/>
        <v>2976472.7109996974</v>
      </c>
      <c r="F210" s="342">
        <v>72000</v>
      </c>
      <c r="G210" s="239">
        <f t="shared" si="67"/>
        <v>41.339898763884683</v>
      </c>
      <c r="I210" s="240">
        <f t="shared" si="60"/>
        <v>227</v>
      </c>
      <c r="J210" s="237">
        <f t="shared" si="61"/>
        <v>2042</v>
      </c>
      <c r="K210" s="238">
        <f t="shared" si="62"/>
        <v>52018</v>
      </c>
      <c r="M210" s="36"/>
      <c r="V210" s="97" t="str">
        <f t="shared" si="63"/>
        <v>Summer</v>
      </c>
      <c r="AA210" s="337">
        <f t="shared" si="64"/>
        <v>2.18E-2</v>
      </c>
      <c r="AB210" s="336">
        <f t="shared" si="68"/>
        <v>0</v>
      </c>
    </row>
    <row r="211" spans="2:28" outlineLevel="1">
      <c r="B211" s="238">
        <f t="shared" si="65"/>
        <v>52048</v>
      </c>
      <c r="C211" s="342">
        <v>3936661.2411367241</v>
      </c>
      <c r="D211" s="234">
        <f>IF(ISNUMBER($F211),VLOOKUP($J211,'Table 1'!$B$13:$G$40,2,FALSE)/12*1000*Study_MW,"")</f>
        <v>0</v>
      </c>
      <c r="E211" s="234">
        <f t="shared" si="66"/>
        <v>3936661.2411367241</v>
      </c>
      <c r="F211" s="342">
        <v>74400</v>
      </c>
      <c r="G211" s="239">
        <f t="shared" si="67"/>
        <v>52.912113456138762</v>
      </c>
      <c r="I211" s="240">
        <f t="shared" si="60"/>
        <v>228</v>
      </c>
      <c r="J211" s="237">
        <f t="shared" si="61"/>
        <v>2042</v>
      </c>
      <c r="K211" s="238">
        <f t="shared" si="62"/>
        <v>52048</v>
      </c>
      <c r="M211" s="36"/>
      <c r="V211" s="97" t="str">
        <f t="shared" si="63"/>
        <v>Summer</v>
      </c>
      <c r="AA211" s="337">
        <f t="shared" si="64"/>
        <v>2.18E-2</v>
      </c>
      <c r="AB211" s="336">
        <f t="shared" si="68"/>
        <v>0</v>
      </c>
    </row>
    <row r="212" spans="2:28" outlineLevel="1">
      <c r="B212" s="238">
        <f t="shared" si="65"/>
        <v>52079</v>
      </c>
      <c r="C212" s="342">
        <v>4692491.454031813</v>
      </c>
      <c r="D212" s="234">
        <f>IF(ISNUMBER($F212),VLOOKUP($J212,'Table 1'!$B$13:$G$40,2,FALSE)/12*1000*Study_MW,"")</f>
        <v>0</v>
      </c>
      <c r="E212" s="234">
        <f t="shared" si="66"/>
        <v>4692491.454031813</v>
      </c>
      <c r="F212" s="342">
        <v>74400</v>
      </c>
      <c r="G212" s="239">
        <f t="shared" si="67"/>
        <v>63.071121693975982</v>
      </c>
      <c r="I212" s="240">
        <f t="shared" si="60"/>
        <v>229</v>
      </c>
      <c r="J212" s="237">
        <f t="shared" si="61"/>
        <v>2042</v>
      </c>
      <c r="K212" s="238">
        <f t="shared" si="62"/>
        <v>52079</v>
      </c>
      <c r="M212" s="36"/>
      <c r="V212" s="97" t="str">
        <f t="shared" si="63"/>
        <v>Summer</v>
      </c>
      <c r="AA212" s="337">
        <f t="shared" si="64"/>
        <v>2.18E-2</v>
      </c>
      <c r="AB212" s="336">
        <f t="shared" si="68"/>
        <v>0</v>
      </c>
    </row>
    <row r="213" spans="2:28" outlineLevel="1">
      <c r="B213" s="238">
        <f t="shared" si="65"/>
        <v>52110</v>
      </c>
      <c r="C213" s="342">
        <v>4257556.6030400516</v>
      </c>
      <c r="D213" s="234">
        <f>IF(ISNUMBER($F213),VLOOKUP($J213,'Table 1'!$B$13:$G$40,2,FALSE)/12*1000*Study_MW,"")</f>
        <v>0</v>
      </c>
      <c r="E213" s="234">
        <f t="shared" si="66"/>
        <v>4257556.6030400516</v>
      </c>
      <c r="F213" s="342">
        <v>72000</v>
      </c>
      <c r="G213" s="239">
        <f t="shared" si="67"/>
        <v>59.132730597778497</v>
      </c>
      <c r="I213" s="240">
        <f t="shared" si="60"/>
        <v>230</v>
      </c>
      <c r="J213" s="237">
        <f t="shared" si="61"/>
        <v>2042</v>
      </c>
      <c r="K213" s="238">
        <f t="shared" si="62"/>
        <v>52110</v>
      </c>
      <c r="M213" s="36"/>
      <c r="V213" s="97" t="str">
        <f t="shared" si="63"/>
        <v>Winter</v>
      </c>
      <c r="AA213" s="337">
        <f t="shared" si="64"/>
        <v>2.18E-2</v>
      </c>
      <c r="AB213" s="336">
        <f t="shared" si="68"/>
        <v>0</v>
      </c>
    </row>
    <row r="214" spans="2:28" outlineLevel="1">
      <c r="B214" s="238">
        <f t="shared" si="65"/>
        <v>52140</v>
      </c>
      <c r="C214" s="342">
        <v>2061223.4270920998</v>
      </c>
      <c r="D214" s="234">
        <f>IF(ISNUMBER($F214),VLOOKUP($J214,'Table 1'!$B$13:$G$40,2,FALSE)/12*1000*Study_MW,"")</f>
        <v>0</v>
      </c>
      <c r="E214" s="234">
        <f t="shared" si="66"/>
        <v>2061223.4270920998</v>
      </c>
      <c r="F214" s="342">
        <v>74400</v>
      </c>
      <c r="G214" s="239">
        <f t="shared" si="67"/>
        <v>27.704615955538976</v>
      </c>
      <c r="I214" s="240">
        <f t="shared" si="60"/>
        <v>231</v>
      </c>
      <c r="J214" s="237">
        <f t="shared" si="61"/>
        <v>2042</v>
      </c>
      <c r="K214" s="238">
        <f t="shared" si="62"/>
        <v>52140</v>
      </c>
      <c r="M214" s="36"/>
      <c r="V214" s="97" t="str">
        <f t="shared" si="63"/>
        <v>Winter</v>
      </c>
      <c r="AA214" s="337">
        <f t="shared" si="64"/>
        <v>2.18E-2</v>
      </c>
      <c r="AB214" s="336">
        <f t="shared" si="68"/>
        <v>0</v>
      </c>
    </row>
    <row r="215" spans="2:28" outlineLevel="1">
      <c r="B215" s="238">
        <f t="shared" si="65"/>
        <v>52171</v>
      </c>
      <c r="C215" s="342">
        <v>4410404.8858908499</v>
      </c>
      <c r="D215" s="234">
        <f>IF(ISNUMBER($F215),VLOOKUP($J215,'Table 1'!$B$13:$G$40,2,FALSE)/12*1000*Study_MW,"")</f>
        <v>0</v>
      </c>
      <c r="E215" s="234">
        <f t="shared" si="66"/>
        <v>4410404.8858908499</v>
      </c>
      <c r="F215" s="342">
        <v>72000</v>
      </c>
      <c r="G215" s="239">
        <f t="shared" si="67"/>
        <v>61.255623415150694</v>
      </c>
      <c r="I215" s="240">
        <f t="shared" si="60"/>
        <v>232</v>
      </c>
      <c r="J215" s="237">
        <f t="shared" si="61"/>
        <v>2042</v>
      </c>
      <c r="K215" s="238">
        <f t="shared" si="62"/>
        <v>52171</v>
      </c>
      <c r="M215" s="36"/>
      <c r="V215" s="97" t="str">
        <f t="shared" si="63"/>
        <v>Winter</v>
      </c>
      <c r="AA215" s="337">
        <f t="shared" si="64"/>
        <v>2.18E-2</v>
      </c>
      <c r="AB215" s="336">
        <f t="shared" si="68"/>
        <v>0</v>
      </c>
    </row>
    <row r="216" spans="2:28" outlineLevel="1">
      <c r="B216" s="244">
        <f t="shared" si="65"/>
        <v>52201</v>
      </c>
      <c r="C216" s="343">
        <v>4638465.5980482213</v>
      </c>
      <c r="D216" s="245">
        <f>IF(ISNUMBER($F216),VLOOKUP($J216,'Table 1'!$B$13:$G$40,2,FALSE)/12*1000*Study_MW,"")</f>
        <v>0</v>
      </c>
      <c r="E216" s="245">
        <f t="shared" si="66"/>
        <v>4638465.5980482213</v>
      </c>
      <c r="F216" s="343">
        <v>74400.000000000015</v>
      </c>
      <c r="G216" s="246">
        <f t="shared" si="67"/>
        <v>62.344967715701884</v>
      </c>
      <c r="I216" s="247">
        <f t="shared" si="60"/>
        <v>233</v>
      </c>
      <c r="J216" s="237">
        <f t="shared" si="61"/>
        <v>2042</v>
      </c>
      <c r="K216" s="244">
        <f t="shared" si="62"/>
        <v>52201</v>
      </c>
      <c r="M216" s="36"/>
      <c r="V216" s="97" t="str">
        <f t="shared" si="63"/>
        <v>Winter</v>
      </c>
      <c r="AA216" s="337">
        <f t="shared" si="64"/>
        <v>2.18E-2</v>
      </c>
      <c r="AB216" s="336">
        <f t="shared" si="68"/>
        <v>0</v>
      </c>
    </row>
    <row r="217" spans="2:28">
      <c r="B217" s="232">
        <f t="shared" si="65"/>
        <v>52232</v>
      </c>
      <c r="C217" s="338">
        <v>4417706.2321051238</v>
      </c>
      <c r="D217" s="233">
        <f>IF(ISNUMBER($F217),VLOOKUP($J217,'Table 1'!$B$13:$G$40,2,FALSE)/12*1000*Study_MW,"")</f>
        <v>0</v>
      </c>
      <c r="E217" s="233">
        <f t="shared" si="66"/>
        <v>4417706.2321051238</v>
      </c>
      <c r="F217" s="338">
        <v>74400</v>
      </c>
      <c r="G217" s="235">
        <f t="shared" si="67"/>
        <v>59.377771936896828</v>
      </c>
      <c r="I217" s="236">
        <f t="shared" si="60"/>
        <v>235</v>
      </c>
      <c r="J217" s="237">
        <f t="shared" si="61"/>
        <v>2043</v>
      </c>
      <c r="K217" s="232">
        <f t="shared" si="62"/>
        <v>52232</v>
      </c>
      <c r="M217" s="36"/>
      <c r="V217" s="97" t="str">
        <f t="shared" si="63"/>
        <v>Winter</v>
      </c>
      <c r="AA217" s="337">
        <f t="shared" si="64"/>
        <v>2.18E-2</v>
      </c>
      <c r="AB217" s="336">
        <f t="shared" si="68"/>
        <v>0</v>
      </c>
    </row>
    <row r="218" spans="2:28">
      <c r="B218" s="238">
        <f t="shared" si="65"/>
        <v>52263</v>
      </c>
      <c r="C218" s="342">
        <v>3536185.7167961025</v>
      </c>
      <c r="D218" s="234">
        <f>IF(ISNUMBER($F218),VLOOKUP($J218,'Table 1'!$B$13:$G$40,2,FALSE)/12*1000*Study_MW,"")</f>
        <v>0</v>
      </c>
      <c r="E218" s="234">
        <f t="shared" si="66"/>
        <v>3536185.7167961025</v>
      </c>
      <c r="F218" s="342">
        <v>67199.999999999985</v>
      </c>
      <c r="G218" s="239">
        <f t="shared" si="67"/>
        <v>52.621811261846773</v>
      </c>
      <c r="I218" s="240">
        <f t="shared" si="60"/>
        <v>236</v>
      </c>
      <c r="J218" s="237">
        <f t="shared" si="61"/>
        <v>2043</v>
      </c>
      <c r="K218" s="238">
        <f t="shared" si="62"/>
        <v>52263</v>
      </c>
      <c r="M218" s="36"/>
      <c r="V218" s="97" t="str">
        <f t="shared" si="63"/>
        <v>Winter</v>
      </c>
      <c r="AA218" s="337">
        <f t="shared" si="64"/>
        <v>2.18E-2</v>
      </c>
      <c r="AB218" s="336">
        <f t="shared" si="68"/>
        <v>0</v>
      </c>
    </row>
    <row r="219" spans="2:28">
      <c r="B219" s="238">
        <f t="shared" si="65"/>
        <v>52291</v>
      </c>
      <c r="C219" s="342">
        <v>3467189.9716626522</v>
      </c>
      <c r="D219" s="234">
        <f>IF(ISNUMBER($F219),VLOOKUP($J219,'Table 1'!$B$13:$G$40,2,FALSE)/12*1000*Study_MW,"")</f>
        <v>0</v>
      </c>
      <c r="E219" s="234">
        <f t="shared" si="66"/>
        <v>3467189.9716626522</v>
      </c>
      <c r="F219" s="342">
        <v>74400</v>
      </c>
      <c r="G219" s="239">
        <f t="shared" si="67"/>
        <v>46.602015748153924</v>
      </c>
      <c r="I219" s="240">
        <f t="shared" si="60"/>
        <v>237</v>
      </c>
      <c r="J219" s="237">
        <f t="shared" si="61"/>
        <v>2043</v>
      </c>
      <c r="K219" s="238">
        <f t="shared" si="62"/>
        <v>52291</v>
      </c>
      <c r="M219" s="36"/>
      <c r="V219" s="97" t="str">
        <f t="shared" si="63"/>
        <v>Winter</v>
      </c>
      <c r="AA219" s="337">
        <f t="shared" si="64"/>
        <v>2.18E-2</v>
      </c>
      <c r="AB219" s="336">
        <f t="shared" si="68"/>
        <v>0</v>
      </c>
    </row>
    <row r="220" spans="2:28">
      <c r="B220" s="238">
        <f t="shared" si="65"/>
        <v>52322</v>
      </c>
      <c r="C220" s="342">
        <v>1820792.4556473407</v>
      </c>
      <c r="D220" s="234">
        <f>IF(ISNUMBER($F220),VLOOKUP($J220,'Table 1'!$B$13:$G$40,2,FALSE)/12*1000*Study_MW,"")</f>
        <v>0</v>
      </c>
      <c r="E220" s="234">
        <f t="shared" si="66"/>
        <v>1820792.4556473407</v>
      </c>
      <c r="F220" s="342">
        <v>72000</v>
      </c>
      <c r="G220" s="239">
        <f t="shared" si="67"/>
        <v>25.288784106213065</v>
      </c>
      <c r="I220" s="240">
        <f t="shared" si="60"/>
        <v>238</v>
      </c>
      <c r="J220" s="237">
        <f t="shared" si="61"/>
        <v>2043</v>
      </c>
      <c r="K220" s="238">
        <f t="shared" si="62"/>
        <v>52322</v>
      </c>
      <c r="M220" s="36"/>
      <c r="V220" s="97" t="str">
        <f t="shared" si="63"/>
        <v>Winter</v>
      </c>
      <c r="AA220" s="337">
        <f t="shared" si="64"/>
        <v>2.18E-2</v>
      </c>
      <c r="AB220" s="336">
        <f t="shared" si="68"/>
        <v>0</v>
      </c>
    </row>
    <row r="221" spans="2:28">
      <c r="B221" s="238">
        <f t="shared" si="65"/>
        <v>52352</v>
      </c>
      <c r="C221" s="342">
        <v>2044170.2913717162</v>
      </c>
      <c r="D221" s="234">
        <f>IF(ISNUMBER($F221),VLOOKUP($J221,'Table 1'!$B$13:$G$40,2,FALSE)/12*1000*Study_MW,"")</f>
        <v>0</v>
      </c>
      <c r="E221" s="234">
        <f t="shared" si="66"/>
        <v>2044170.2913717162</v>
      </c>
      <c r="F221" s="342">
        <v>74400</v>
      </c>
      <c r="G221" s="239">
        <f t="shared" si="67"/>
        <v>27.475407142092958</v>
      </c>
      <c r="I221" s="240">
        <f t="shared" si="60"/>
        <v>239</v>
      </c>
      <c r="J221" s="237">
        <f t="shared" si="61"/>
        <v>2043</v>
      </c>
      <c r="K221" s="238">
        <f t="shared" si="62"/>
        <v>52352</v>
      </c>
      <c r="M221" s="36"/>
      <c r="V221" s="97" t="str">
        <f t="shared" si="63"/>
        <v>Summer</v>
      </c>
      <c r="AA221" s="337">
        <f t="shared" si="64"/>
        <v>2.18E-2</v>
      </c>
      <c r="AB221" s="336">
        <f t="shared" si="68"/>
        <v>0</v>
      </c>
    </row>
    <row r="222" spans="2:28">
      <c r="B222" s="238">
        <f t="shared" si="65"/>
        <v>52383</v>
      </c>
      <c r="C222" s="342">
        <v>3081560.1190111265</v>
      </c>
      <c r="D222" s="234">
        <f>IF(ISNUMBER($F222),VLOOKUP($J222,'Table 1'!$B$13:$G$40,2,FALSE)/12*1000*Study_MW,"")</f>
        <v>0</v>
      </c>
      <c r="E222" s="234">
        <f t="shared" si="66"/>
        <v>3081560.1190111265</v>
      </c>
      <c r="F222" s="342">
        <v>72000</v>
      </c>
      <c r="G222" s="239">
        <f t="shared" si="67"/>
        <v>42.799446097376759</v>
      </c>
      <c r="I222" s="240">
        <f t="shared" si="60"/>
        <v>240</v>
      </c>
      <c r="J222" s="237">
        <f t="shared" si="61"/>
        <v>2043</v>
      </c>
      <c r="K222" s="238">
        <f t="shared" si="62"/>
        <v>52383</v>
      </c>
      <c r="M222" s="36"/>
      <c r="V222" s="97" t="str">
        <f t="shared" si="63"/>
        <v>Summer</v>
      </c>
      <c r="AA222" s="337">
        <f t="shared" si="64"/>
        <v>2.18E-2</v>
      </c>
      <c r="AB222" s="336">
        <f t="shared" si="68"/>
        <v>0</v>
      </c>
    </row>
    <row r="223" spans="2:28">
      <c r="B223" s="238">
        <f t="shared" si="65"/>
        <v>52413</v>
      </c>
      <c r="C223" s="342">
        <v>4053361.4611683735</v>
      </c>
      <c r="D223" s="234">
        <f>IF(ISNUMBER($F223),VLOOKUP($J223,'Table 1'!$B$13:$G$40,2,FALSE)/12*1000*Study_MW,"")</f>
        <v>0</v>
      </c>
      <c r="E223" s="234">
        <f t="shared" si="66"/>
        <v>4053361.4611683735</v>
      </c>
      <c r="F223" s="342">
        <v>74400</v>
      </c>
      <c r="G223" s="239">
        <f t="shared" si="67"/>
        <v>54.480664800650182</v>
      </c>
      <c r="I223" s="240">
        <f t="shared" si="60"/>
        <v>241</v>
      </c>
      <c r="J223" s="237">
        <f t="shared" si="61"/>
        <v>2043</v>
      </c>
      <c r="K223" s="238">
        <f t="shared" si="62"/>
        <v>52413</v>
      </c>
      <c r="M223" s="36"/>
      <c r="V223" s="97" t="str">
        <f t="shared" si="63"/>
        <v>Summer</v>
      </c>
      <c r="AA223" s="337">
        <f t="shared" si="64"/>
        <v>2.18E-2</v>
      </c>
      <c r="AB223" s="336">
        <f t="shared" si="68"/>
        <v>0</v>
      </c>
    </row>
    <row r="224" spans="2:28">
      <c r="B224" s="238">
        <f t="shared" si="65"/>
        <v>52444</v>
      </c>
      <c r="C224" s="342">
        <v>4962478.0197479995</v>
      </c>
      <c r="D224" s="234">
        <f>IF(ISNUMBER($F224),VLOOKUP($J224,'Table 1'!$B$13:$G$40,2,FALSE)/12*1000*Study_MW,"")</f>
        <v>0</v>
      </c>
      <c r="E224" s="234">
        <f t="shared" si="66"/>
        <v>4962478.0197479995</v>
      </c>
      <c r="F224" s="342">
        <v>74400</v>
      </c>
      <c r="G224" s="239">
        <f t="shared" si="67"/>
        <v>66.699973383709676</v>
      </c>
      <c r="I224" s="240">
        <f t="shared" si="60"/>
        <v>242</v>
      </c>
      <c r="J224" s="237">
        <f t="shared" si="61"/>
        <v>2043</v>
      </c>
      <c r="K224" s="238">
        <f t="shared" si="62"/>
        <v>52444</v>
      </c>
      <c r="M224" s="36"/>
      <c r="V224" s="97" t="str">
        <f t="shared" si="63"/>
        <v>Summer</v>
      </c>
      <c r="AA224" s="337">
        <f t="shared" si="64"/>
        <v>2.18E-2</v>
      </c>
      <c r="AB224" s="336">
        <f t="shared" si="68"/>
        <v>0</v>
      </c>
    </row>
    <row r="225" spans="2:28">
      <c r="B225" s="238">
        <f t="shared" si="65"/>
        <v>52475</v>
      </c>
      <c r="C225" s="342">
        <v>4173351.2028415571</v>
      </c>
      <c r="D225" s="234">
        <f>IF(ISNUMBER($F225),VLOOKUP($J225,'Table 1'!$B$13:$G$40,2,FALSE)/12*1000*Study_MW,"")</f>
        <v>0</v>
      </c>
      <c r="E225" s="234">
        <f t="shared" si="66"/>
        <v>4173351.2028415571</v>
      </c>
      <c r="F225" s="342">
        <v>72000</v>
      </c>
      <c r="G225" s="239">
        <f t="shared" si="67"/>
        <v>57.96321115057718</v>
      </c>
      <c r="I225" s="240">
        <f t="shared" si="60"/>
        <v>243</v>
      </c>
      <c r="J225" s="237">
        <f t="shared" si="61"/>
        <v>2043</v>
      </c>
      <c r="K225" s="238">
        <f t="shared" si="62"/>
        <v>52475</v>
      </c>
      <c r="M225" s="36"/>
      <c r="V225" s="97" t="str">
        <f t="shared" si="63"/>
        <v>Winter</v>
      </c>
      <c r="AA225" s="337">
        <f t="shared" si="64"/>
        <v>2.18E-2</v>
      </c>
      <c r="AB225" s="336">
        <f t="shared" si="68"/>
        <v>0</v>
      </c>
    </row>
    <row r="226" spans="2:28">
      <c r="B226" s="238">
        <f t="shared" si="65"/>
        <v>52505</v>
      </c>
      <c r="C226" s="342">
        <v>2100473.921982375</v>
      </c>
      <c r="D226" s="234">
        <f>IF(ISNUMBER($F226),VLOOKUP($J226,'Table 1'!$B$13:$G$40,2,FALSE)/12*1000*Study_MW,"")</f>
        <v>0</v>
      </c>
      <c r="E226" s="234">
        <f t="shared" si="66"/>
        <v>2100473.921982375</v>
      </c>
      <c r="F226" s="342">
        <v>74400</v>
      </c>
      <c r="G226" s="239">
        <f t="shared" si="67"/>
        <v>28.232176370730848</v>
      </c>
      <c r="I226" s="240">
        <f t="shared" si="60"/>
        <v>244</v>
      </c>
      <c r="J226" s="237">
        <f t="shared" si="61"/>
        <v>2043</v>
      </c>
      <c r="K226" s="238">
        <f t="shared" si="62"/>
        <v>52505</v>
      </c>
      <c r="M226" s="36"/>
      <c r="V226" s="97" t="str">
        <f t="shared" si="63"/>
        <v>Winter</v>
      </c>
      <c r="AA226" s="337">
        <f t="shared" si="64"/>
        <v>2.18E-2</v>
      </c>
      <c r="AB226" s="336">
        <f t="shared" si="68"/>
        <v>0</v>
      </c>
    </row>
    <row r="227" spans="2:28">
      <c r="B227" s="238">
        <f t="shared" si="65"/>
        <v>52536</v>
      </c>
      <c r="C227" s="342">
        <v>4635103.4641932203</v>
      </c>
      <c r="D227" s="234">
        <f>IF(ISNUMBER($F227),VLOOKUP($J227,'Table 1'!$B$13:$G$40,2,FALSE)/12*1000*Study_MW,"")</f>
        <v>0</v>
      </c>
      <c r="E227" s="234">
        <f t="shared" si="66"/>
        <v>4635103.4641932203</v>
      </c>
      <c r="F227" s="342">
        <v>72000</v>
      </c>
      <c r="G227" s="239">
        <f t="shared" si="67"/>
        <v>64.376437002683616</v>
      </c>
      <c r="I227" s="240">
        <f t="shared" si="60"/>
        <v>245</v>
      </c>
      <c r="J227" s="237">
        <f t="shared" si="61"/>
        <v>2043</v>
      </c>
      <c r="K227" s="238">
        <f t="shared" si="62"/>
        <v>52536</v>
      </c>
      <c r="M227" s="36"/>
      <c r="V227" s="97" t="str">
        <f t="shared" si="63"/>
        <v>Winter</v>
      </c>
      <c r="AA227" s="337">
        <f t="shared" si="64"/>
        <v>2.18E-2</v>
      </c>
      <c r="AB227" s="336">
        <f t="shared" si="68"/>
        <v>0</v>
      </c>
    </row>
    <row r="228" spans="2:28">
      <c r="B228" s="244">
        <f t="shared" si="65"/>
        <v>52566</v>
      </c>
      <c r="C228" s="343">
        <v>5028345.0440730155</v>
      </c>
      <c r="D228" s="245">
        <f>IF(ISNUMBER($F228),VLOOKUP($J228,'Table 1'!$B$13:$G$40,2,FALSE)/12*1000*Study_MW,"")</f>
        <v>0</v>
      </c>
      <c r="E228" s="245">
        <f t="shared" si="66"/>
        <v>5028345.0440730155</v>
      </c>
      <c r="F228" s="343">
        <v>74400.000000000015</v>
      </c>
      <c r="G228" s="246">
        <f t="shared" si="67"/>
        <v>67.585282850443747</v>
      </c>
      <c r="I228" s="247">
        <f t="shared" si="60"/>
        <v>246</v>
      </c>
      <c r="J228" s="237">
        <f t="shared" si="61"/>
        <v>2043</v>
      </c>
      <c r="K228" s="244">
        <f t="shared" si="62"/>
        <v>52566</v>
      </c>
      <c r="M228" s="36"/>
      <c r="V228" s="97" t="str">
        <f t="shared" si="63"/>
        <v>Winter</v>
      </c>
      <c r="AA228" s="337">
        <f t="shared" si="64"/>
        <v>2.18E-2</v>
      </c>
      <c r="AB228" s="336">
        <f t="shared" si="68"/>
        <v>0</v>
      </c>
    </row>
    <row r="229" spans="2:28">
      <c r="B229" s="232">
        <f t="shared" si="65"/>
        <v>52597</v>
      </c>
      <c r="C229" s="338">
        <v>4251439.5409407811</v>
      </c>
      <c r="D229" s="233">
        <f>IF(ISNUMBER($F229),VLOOKUP($J229,'Table 1'!$B$13:$G$40,2,FALSE)/12*1000*Study_MW,"")</f>
        <v>0</v>
      </c>
      <c r="E229" s="233">
        <f t="shared" si="66"/>
        <v>4251439.5409407811</v>
      </c>
      <c r="F229" s="338">
        <v>74400</v>
      </c>
      <c r="G229" s="235">
        <f t="shared" si="67"/>
        <v>57.14300458253738</v>
      </c>
      <c r="I229" s="236">
        <f t="shared" si="60"/>
        <v>248</v>
      </c>
      <c r="J229" s="237">
        <f t="shared" si="61"/>
        <v>2044</v>
      </c>
      <c r="K229" s="232">
        <f t="shared" si="62"/>
        <v>52597</v>
      </c>
      <c r="M229" s="36"/>
      <c r="V229" s="97" t="str">
        <f t="shared" si="63"/>
        <v>Winter</v>
      </c>
      <c r="AA229" s="337">
        <f t="shared" si="64"/>
        <v>2.18E-2</v>
      </c>
      <c r="AB229" s="336">
        <f t="shared" si="68"/>
        <v>0</v>
      </c>
    </row>
    <row r="230" spans="2:28">
      <c r="B230" s="238">
        <f t="shared" si="65"/>
        <v>52628</v>
      </c>
      <c r="C230" s="342">
        <v>4278250.2957125325</v>
      </c>
      <c r="D230" s="234">
        <f>IF(ISNUMBER($F230),VLOOKUP($J230,'Table 1'!$B$13:$G$40,2,FALSE)/12*1000*Study_MW,"")</f>
        <v>0</v>
      </c>
      <c r="E230" s="234">
        <f t="shared" si="66"/>
        <v>4278250.2957125325</v>
      </c>
      <c r="F230" s="342">
        <v>69600</v>
      </c>
      <c r="G230" s="239">
        <f t="shared" si="67"/>
        <v>61.469113444145584</v>
      </c>
      <c r="I230" s="240">
        <f t="shared" si="60"/>
        <v>249</v>
      </c>
      <c r="J230" s="237">
        <f t="shared" si="61"/>
        <v>2044</v>
      </c>
      <c r="K230" s="238">
        <f t="shared" si="62"/>
        <v>52628</v>
      </c>
      <c r="M230" s="36"/>
      <c r="V230" s="97" t="str">
        <f t="shared" si="63"/>
        <v>Winter</v>
      </c>
      <c r="AA230" s="337">
        <f t="shared" si="64"/>
        <v>2.18E-2</v>
      </c>
      <c r="AB230" s="336">
        <f t="shared" si="68"/>
        <v>0</v>
      </c>
    </row>
    <row r="231" spans="2:28">
      <c r="B231" s="238">
        <f t="shared" si="65"/>
        <v>52657</v>
      </c>
      <c r="C231" s="342">
        <v>3223909.5630330555</v>
      </c>
      <c r="D231" s="234">
        <f>IF(ISNUMBER($F231),VLOOKUP($J231,'Table 1'!$B$13:$G$40,2,FALSE)/12*1000*Study_MW,"")</f>
        <v>0</v>
      </c>
      <c r="E231" s="234">
        <f t="shared" si="66"/>
        <v>3223909.5630330555</v>
      </c>
      <c r="F231" s="342">
        <v>74400</v>
      </c>
      <c r="G231" s="239">
        <f t="shared" si="67"/>
        <v>43.332117782702362</v>
      </c>
      <c r="I231" s="240">
        <f t="shared" si="60"/>
        <v>250</v>
      </c>
      <c r="J231" s="237">
        <f t="shared" si="61"/>
        <v>2044</v>
      </c>
      <c r="K231" s="238">
        <f t="shared" si="62"/>
        <v>52657</v>
      </c>
      <c r="M231" s="36"/>
      <c r="V231" s="97" t="str">
        <f t="shared" si="63"/>
        <v>Winter</v>
      </c>
      <c r="AA231" s="337">
        <f t="shared" si="64"/>
        <v>2.18E-2</v>
      </c>
      <c r="AB231" s="336">
        <f t="shared" si="68"/>
        <v>0</v>
      </c>
    </row>
    <row r="232" spans="2:28">
      <c r="B232" s="238">
        <f t="shared" si="65"/>
        <v>52688</v>
      </c>
      <c r="C232" s="342">
        <v>1707279.0323601002</v>
      </c>
      <c r="D232" s="234">
        <f>IF(ISNUMBER($F232),VLOOKUP($J232,'Table 1'!$B$13:$G$40,2,FALSE)/12*1000*Study_MW,"")</f>
        <v>0</v>
      </c>
      <c r="E232" s="234">
        <f t="shared" si="66"/>
        <v>1707279.0323601002</v>
      </c>
      <c r="F232" s="342">
        <v>72000</v>
      </c>
      <c r="G232" s="239">
        <f t="shared" si="67"/>
        <v>23.712208782779168</v>
      </c>
      <c r="I232" s="240">
        <f t="shared" si="60"/>
        <v>251</v>
      </c>
      <c r="J232" s="237">
        <f t="shared" si="61"/>
        <v>2044</v>
      </c>
      <c r="K232" s="238">
        <f t="shared" si="62"/>
        <v>52688</v>
      </c>
      <c r="M232" s="36"/>
      <c r="V232" s="97" t="str">
        <f t="shared" si="63"/>
        <v>Winter</v>
      </c>
      <c r="AA232" s="337">
        <f t="shared" si="64"/>
        <v>2.18E-2</v>
      </c>
      <c r="AB232" s="336">
        <f t="shared" si="68"/>
        <v>0</v>
      </c>
    </row>
    <row r="233" spans="2:28">
      <c r="B233" s="238">
        <f t="shared" si="65"/>
        <v>52718</v>
      </c>
      <c r="C233" s="342">
        <v>2196079.5164630907</v>
      </c>
      <c r="D233" s="234">
        <f>IF(ISNUMBER($F233),VLOOKUP($J233,'Table 1'!$B$13:$G$40,2,FALSE)/12*1000*Study_MW,"")</f>
        <v>0</v>
      </c>
      <c r="E233" s="234">
        <f t="shared" si="66"/>
        <v>2196079.5164630907</v>
      </c>
      <c r="F233" s="342">
        <v>74400</v>
      </c>
      <c r="G233" s="239">
        <f t="shared" si="67"/>
        <v>29.517197801923263</v>
      </c>
      <c r="I233" s="240">
        <f t="shared" si="60"/>
        <v>252</v>
      </c>
      <c r="J233" s="237">
        <f t="shared" si="61"/>
        <v>2044</v>
      </c>
      <c r="K233" s="238">
        <f t="shared" si="62"/>
        <v>52718</v>
      </c>
      <c r="M233" s="36"/>
      <c r="V233" s="97" t="str">
        <f t="shared" si="63"/>
        <v>Summer</v>
      </c>
      <c r="AA233" s="337">
        <f t="shared" si="64"/>
        <v>2.18E-2</v>
      </c>
      <c r="AB233" s="336">
        <f t="shared" si="68"/>
        <v>0</v>
      </c>
    </row>
    <row r="234" spans="2:28">
      <c r="B234" s="238">
        <f t="shared" si="65"/>
        <v>52749</v>
      </c>
      <c r="C234" s="342">
        <v>2622634.0979134776</v>
      </c>
      <c r="D234" s="234">
        <f>IF(ISNUMBER($F234),VLOOKUP($J234,'Table 1'!$B$13:$G$40,2,FALSE)/12*1000*Study_MW,"")</f>
        <v>0</v>
      </c>
      <c r="E234" s="234">
        <f t="shared" si="66"/>
        <v>2622634.0979134776</v>
      </c>
      <c r="F234" s="342">
        <v>72000</v>
      </c>
      <c r="G234" s="239">
        <f t="shared" si="67"/>
        <v>36.42547358213163</v>
      </c>
      <c r="I234" s="240">
        <f t="shared" si="60"/>
        <v>253</v>
      </c>
      <c r="J234" s="237">
        <f t="shared" si="61"/>
        <v>2044</v>
      </c>
      <c r="K234" s="238">
        <f t="shared" si="62"/>
        <v>52749</v>
      </c>
      <c r="M234" s="36"/>
      <c r="V234" s="97" t="str">
        <f t="shared" si="63"/>
        <v>Summer</v>
      </c>
      <c r="AA234" s="337">
        <f t="shared" si="64"/>
        <v>2.18E-2</v>
      </c>
      <c r="AB234" s="336">
        <f t="shared" si="68"/>
        <v>0</v>
      </c>
    </row>
    <row r="235" spans="2:28">
      <c r="B235" s="238">
        <f t="shared" si="65"/>
        <v>52779</v>
      </c>
      <c r="C235" s="342">
        <v>4574364.4289502408</v>
      </c>
      <c r="D235" s="234">
        <f>IF(ISNUMBER($F235),VLOOKUP($J235,'Table 1'!$B$13:$G$40,2,FALSE)/12*1000*Study_MW,"")</f>
        <v>0</v>
      </c>
      <c r="E235" s="234">
        <f t="shared" si="66"/>
        <v>4574364.4289502408</v>
      </c>
      <c r="F235" s="342">
        <v>74400</v>
      </c>
      <c r="G235" s="239">
        <f t="shared" si="67"/>
        <v>61.483392862234417</v>
      </c>
      <c r="I235" s="240">
        <f t="shared" si="60"/>
        <v>254</v>
      </c>
      <c r="J235" s="237">
        <f t="shared" si="61"/>
        <v>2044</v>
      </c>
      <c r="K235" s="238">
        <f t="shared" si="62"/>
        <v>52779</v>
      </c>
      <c r="M235" s="36"/>
      <c r="V235" s="97" t="str">
        <f t="shared" si="63"/>
        <v>Summer</v>
      </c>
      <c r="AA235" s="337">
        <f t="shared" si="64"/>
        <v>2.18E-2</v>
      </c>
      <c r="AB235" s="336">
        <f t="shared" si="68"/>
        <v>0</v>
      </c>
    </row>
    <row r="236" spans="2:28">
      <c r="B236" s="238">
        <f t="shared" si="65"/>
        <v>52810</v>
      </c>
      <c r="C236" s="342">
        <v>4948472.3592136139</v>
      </c>
      <c r="D236" s="234">
        <f>IF(ISNUMBER($F236),VLOOKUP($J236,'Table 1'!$B$13:$G$40,2,FALSE)/12*1000*Study_MW,"")</f>
        <v>0</v>
      </c>
      <c r="E236" s="234">
        <f t="shared" si="66"/>
        <v>4948472.3592136139</v>
      </c>
      <c r="F236" s="342">
        <v>74400</v>
      </c>
      <c r="G236" s="239">
        <f t="shared" si="67"/>
        <v>66.511725258247495</v>
      </c>
      <c r="I236" s="240">
        <f t="shared" si="60"/>
        <v>255</v>
      </c>
      <c r="J236" s="237">
        <f t="shared" si="61"/>
        <v>2044</v>
      </c>
      <c r="K236" s="238">
        <f t="shared" si="62"/>
        <v>52810</v>
      </c>
      <c r="M236" s="36"/>
      <c r="V236" s="97" t="str">
        <f t="shared" si="63"/>
        <v>Summer</v>
      </c>
      <c r="AA236" s="337">
        <f t="shared" si="64"/>
        <v>2.18E-2</v>
      </c>
      <c r="AB236" s="336">
        <f t="shared" si="68"/>
        <v>0</v>
      </c>
    </row>
    <row r="237" spans="2:28">
      <c r="B237" s="238">
        <f t="shared" si="65"/>
        <v>52841</v>
      </c>
      <c r="C237" s="342">
        <v>4226941.8894431293</v>
      </c>
      <c r="D237" s="234">
        <f>IF(ISNUMBER($F237),VLOOKUP($J237,'Table 1'!$B$13:$G$40,2,FALSE)/12*1000*Study_MW,"")</f>
        <v>0</v>
      </c>
      <c r="E237" s="234">
        <f t="shared" si="66"/>
        <v>4226941.8894431293</v>
      </c>
      <c r="F237" s="342">
        <v>72000</v>
      </c>
      <c r="G237" s="239">
        <f t="shared" si="67"/>
        <v>58.707526242265686</v>
      </c>
      <c r="I237" s="240">
        <f t="shared" si="60"/>
        <v>256</v>
      </c>
      <c r="J237" s="237">
        <f t="shared" si="61"/>
        <v>2044</v>
      </c>
      <c r="K237" s="238">
        <f t="shared" si="62"/>
        <v>52841</v>
      </c>
      <c r="M237" s="36"/>
      <c r="V237" s="97" t="str">
        <f t="shared" si="63"/>
        <v>Winter</v>
      </c>
      <c r="AA237" s="337">
        <f t="shared" si="64"/>
        <v>2.18E-2</v>
      </c>
      <c r="AB237" s="336">
        <f t="shared" si="68"/>
        <v>0</v>
      </c>
    </row>
    <row r="238" spans="2:28">
      <c r="B238" s="238">
        <f t="shared" si="65"/>
        <v>52871</v>
      </c>
      <c r="C238" s="342">
        <v>1541737.9136951349</v>
      </c>
      <c r="D238" s="234">
        <f>IF(ISNUMBER($F238),VLOOKUP($J238,'Table 1'!$B$13:$G$40,2,FALSE)/12*1000*Study_MW,"")</f>
        <v>0</v>
      </c>
      <c r="E238" s="234">
        <f t="shared" si="66"/>
        <v>1541737.9136951349</v>
      </c>
      <c r="F238" s="342">
        <v>74400</v>
      </c>
      <c r="G238" s="239">
        <f t="shared" si="67"/>
        <v>20.722283786224931</v>
      </c>
      <c r="I238" s="240">
        <f t="shared" si="60"/>
        <v>257</v>
      </c>
      <c r="J238" s="237">
        <f t="shared" si="61"/>
        <v>2044</v>
      </c>
      <c r="K238" s="238">
        <f t="shared" si="62"/>
        <v>52871</v>
      </c>
      <c r="M238" s="36"/>
      <c r="V238" s="97" t="str">
        <f t="shared" si="63"/>
        <v>Winter</v>
      </c>
      <c r="AA238" s="337">
        <f t="shared" si="64"/>
        <v>2.18E-2</v>
      </c>
      <c r="AB238" s="336">
        <f t="shared" si="68"/>
        <v>0</v>
      </c>
    </row>
    <row r="239" spans="2:28">
      <c r="B239" s="238">
        <f t="shared" si="65"/>
        <v>52902</v>
      </c>
      <c r="C239" s="342">
        <v>5157865.4452810735</v>
      </c>
      <c r="D239" s="234">
        <f>IF(ISNUMBER($F239),VLOOKUP($J239,'Table 1'!$B$13:$G$40,2,FALSE)/12*1000*Study_MW,"")</f>
        <v>0</v>
      </c>
      <c r="E239" s="234">
        <f t="shared" si="66"/>
        <v>5157865.4452810735</v>
      </c>
      <c r="F239" s="342">
        <v>72000</v>
      </c>
      <c r="G239" s="239">
        <f t="shared" si="67"/>
        <v>71.637020073348239</v>
      </c>
      <c r="I239" s="240">
        <f t="shared" si="60"/>
        <v>258</v>
      </c>
      <c r="J239" s="237">
        <f t="shared" si="61"/>
        <v>2044</v>
      </c>
      <c r="K239" s="238">
        <f t="shared" si="62"/>
        <v>52902</v>
      </c>
      <c r="M239" s="36"/>
      <c r="V239" s="97" t="str">
        <f t="shared" si="63"/>
        <v>Winter</v>
      </c>
      <c r="AA239" s="337">
        <f t="shared" si="64"/>
        <v>2.18E-2</v>
      </c>
      <c r="AB239" s="336">
        <f t="shared" si="68"/>
        <v>0</v>
      </c>
    </row>
    <row r="240" spans="2:28">
      <c r="B240" s="244">
        <f t="shared" si="65"/>
        <v>52932</v>
      </c>
      <c r="C240" s="343">
        <v>5822687.5566901844</v>
      </c>
      <c r="D240" s="245">
        <f>IF(ISNUMBER($F240),VLOOKUP($J240,'Table 1'!$B$13:$G$40,2,FALSE)/12*1000*Study_MW,"")</f>
        <v>0</v>
      </c>
      <c r="E240" s="245">
        <f t="shared" si="66"/>
        <v>5822687.5566901844</v>
      </c>
      <c r="F240" s="343">
        <v>74400</v>
      </c>
      <c r="G240" s="246">
        <f t="shared" si="67"/>
        <v>78.261929525405705</v>
      </c>
      <c r="I240" s="247">
        <f t="shared" si="60"/>
        <v>259</v>
      </c>
      <c r="J240" s="237">
        <f t="shared" si="61"/>
        <v>2044</v>
      </c>
      <c r="K240" s="244">
        <f t="shared" si="62"/>
        <v>52932</v>
      </c>
      <c r="M240" s="36"/>
      <c r="V240" s="97" t="str">
        <f t="shared" si="63"/>
        <v>Winter</v>
      </c>
      <c r="AA240" s="337">
        <f t="shared" si="64"/>
        <v>2.18E-2</v>
      </c>
      <c r="AB240" s="336">
        <f t="shared" si="68"/>
        <v>0</v>
      </c>
    </row>
    <row r="241" spans="2:28">
      <c r="B241" s="232">
        <f t="shared" si="65"/>
        <v>52963</v>
      </c>
      <c r="C241" s="338">
        <v>4344120.9229332907</v>
      </c>
      <c r="D241" s="233">
        <f>IF(ISNUMBER($F241),VLOOKUP($J241,'Table 1'!$B$13:$G$40,2,FALSE)/12*1000*Study_MW,"")</f>
        <v>0</v>
      </c>
      <c r="E241" s="233">
        <f t="shared" si="66"/>
        <v>4344120.9229332907</v>
      </c>
      <c r="F241" s="338">
        <v>74028</v>
      </c>
      <c r="G241" s="235">
        <f t="shared" si="67"/>
        <v>58.682132746167539</v>
      </c>
      <c r="I241" s="236">
        <f t="shared" si="60"/>
        <v>261</v>
      </c>
      <c r="J241" s="237">
        <f t="shared" ref="J241:J252" si="69">YEAR(B241)</f>
        <v>2045</v>
      </c>
      <c r="K241" s="232">
        <f t="shared" ref="K241:K252" si="70">IF(ISNUMBER(F241),IF(F241&lt;&gt;0,B241,""),"")</f>
        <v>52963</v>
      </c>
      <c r="M241" s="36"/>
      <c r="V241" s="97" t="str">
        <f t="shared" si="63"/>
        <v>Winter</v>
      </c>
      <c r="AA241" s="337">
        <f t="shared" si="64"/>
        <v>2.18E-2</v>
      </c>
      <c r="AB241" s="336">
        <f t="shared" si="68"/>
        <v>-5.0000000000000001E-3</v>
      </c>
    </row>
    <row r="242" spans="2:28">
      <c r="B242" s="238">
        <f t="shared" si="65"/>
        <v>52994</v>
      </c>
      <c r="C242" s="342">
        <v>4371516.1521590659</v>
      </c>
      <c r="D242" s="234">
        <f>IF(ISNUMBER($F242),VLOOKUP($J242,'Table 1'!$B$13:$G$40,2,FALSE)/12*1000*Study_MW,"")</f>
        <v>0</v>
      </c>
      <c r="E242" s="234">
        <f t="shared" si="66"/>
        <v>4371516.1521590659</v>
      </c>
      <c r="F242" s="342">
        <v>66864</v>
      </c>
      <c r="G242" s="239">
        <f t="shared" si="67"/>
        <v>65.379219791802257</v>
      </c>
      <c r="I242" s="240">
        <f t="shared" si="60"/>
        <v>262</v>
      </c>
      <c r="J242" s="237">
        <f t="shared" si="69"/>
        <v>2045</v>
      </c>
      <c r="K242" s="238">
        <f t="shared" si="70"/>
        <v>52994</v>
      </c>
      <c r="M242" s="36"/>
      <c r="V242" s="97" t="str">
        <f t="shared" si="63"/>
        <v>Winter</v>
      </c>
      <c r="AA242" s="337">
        <f t="shared" si="64"/>
        <v>2.18E-2</v>
      </c>
      <c r="AB242" s="336">
        <f t="shared" si="68"/>
        <v>-5.0000000000000001E-3</v>
      </c>
    </row>
    <row r="243" spans="2:28">
      <c r="B243" s="238">
        <f t="shared" si="65"/>
        <v>53022</v>
      </c>
      <c r="C243" s="342">
        <v>3294190.7915071761</v>
      </c>
      <c r="D243" s="234">
        <f>IF(ISNUMBER($F243),VLOOKUP($J243,'Table 1'!$B$13:$G$40,2,FALSE)/12*1000*Study_MW,"")</f>
        <v>0</v>
      </c>
      <c r="E243" s="234">
        <f t="shared" si="66"/>
        <v>3294190.7915071761</v>
      </c>
      <c r="F243" s="342">
        <v>74028</v>
      </c>
      <c r="G243" s="239">
        <f t="shared" si="67"/>
        <v>44.499254221472633</v>
      </c>
      <c r="I243" s="240">
        <f t="shared" si="60"/>
        <v>263</v>
      </c>
      <c r="J243" s="237">
        <f t="shared" si="69"/>
        <v>2045</v>
      </c>
      <c r="K243" s="238">
        <f t="shared" si="70"/>
        <v>53022</v>
      </c>
      <c r="M243" s="36"/>
      <c r="V243" s="97" t="str">
        <f t="shared" si="63"/>
        <v>Winter</v>
      </c>
      <c r="AA243" s="337">
        <f t="shared" si="64"/>
        <v>2.18E-2</v>
      </c>
      <c r="AB243" s="336">
        <f t="shared" si="68"/>
        <v>-5.0000000000000001E-3</v>
      </c>
    </row>
    <row r="244" spans="2:28">
      <c r="B244" s="238">
        <f t="shared" si="65"/>
        <v>53053</v>
      </c>
      <c r="C244" s="342">
        <v>1744497.7152655504</v>
      </c>
      <c r="D244" s="234">
        <f>IF(ISNUMBER($F244),VLOOKUP($J244,'Table 1'!$B$13:$G$40,2,FALSE)/12*1000*Study_MW,"")</f>
        <v>0</v>
      </c>
      <c r="E244" s="234">
        <f t="shared" si="66"/>
        <v>1744497.7152655504</v>
      </c>
      <c r="F244" s="342">
        <v>71640</v>
      </c>
      <c r="G244" s="239">
        <f t="shared" si="67"/>
        <v>24.350889381149504</v>
      </c>
      <c r="I244" s="240">
        <f t="shared" si="60"/>
        <v>264</v>
      </c>
      <c r="J244" s="237">
        <f t="shared" si="69"/>
        <v>2045</v>
      </c>
      <c r="K244" s="238">
        <f t="shared" si="70"/>
        <v>53053</v>
      </c>
      <c r="M244" s="36"/>
      <c r="V244" s="97" t="str">
        <f t="shared" si="63"/>
        <v>Winter</v>
      </c>
      <c r="AA244" s="337">
        <f t="shared" si="64"/>
        <v>2.18E-2</v>
      </c>
      <c r="AB244" s="336">
        <f t="shared" si="68"/>
        <v>-5.0000000000000001E-3</v>
      </c>
    </row>
    <row r="245" spans="2:28">
      <c r="B245" s="238">
        <f t="shared" si="65"/>
        <v>53083</v>
      </c>
      <c r="C245" s="342">
        <v>2243954.0499219862</v>
      </c>
      <c r="D245" s="234">
        <f>IF(ISNUMBER($F245),VLOOKUP($J245,'Table 1'!$B$13:$G$40,2,FALSE)/12*1000*Study_MW,"")</f>
        <v>0</v>
      </c>
      <c r="E245" s="234">
        <f t="shared" si="66"/>
        <v>2243954.0499219862</v>
      </c>
      <c r="F245" s="342">
        <v>74028</v>
      </c>
      <c r="G245" s="239">
        <f t="shared" si="67"/>
        <v>30.312233883422302</v>
      </c>
      <c r="I245" s="240">
        <f t="shared" si="60"/>
        <v>265</v>
      </c>
      <c r="J245" s="237">
        <f t="shared" si="69"/>
        <v>2045</v>
      </c>
      <c r="K245" s="238">
        <f t="shared" si="70"/>
        <v>53083</v>
      </c>
      <c r="M245" s="36"/>
      <c r="V245" s="97" t="str">
        <f t="shared" si="63"/>
        <v>Summer</v>
      </c>
      <c r="AA245" s="337">
        <f t="shared" si="64"/>
        <v>2.18E-2</v>
      </c>
      <c r="AB245" s="336">
        <f t="shared" si="68"/>
        <v>-5.0000000000000001E-3</v>
      </c>
    </row>
    <row r="246" spans="2:28">
      <c r="B246" s="238">
        <f t="shared" si="65"/>
        <v>53114</v>
      </c>
      <c r="C246" s="342">
        <v>2679807.5212479914</v>
      </c>
      <c r="D246" s="234">
        <f>IF(ISNUMBER($F246),VLOOKUP($J246,'Table 1'!$B$13:$G$40,2,FALSE)/12*1000*Study_MW,"")</f>
        <v>0</v>
      </c>
      <c r="E246" s="234">
        <f t="shared" si="66"/>
        <v>2679807.5212479914</v>
      </c>
      <c r="F246" s="342">
        <v>71640</v>
      </c>
      <c r="G246" s="239">
        <f t="shared" si="67"/>
        <v>37.406581815298594</v>
      </c>
      <c r="I246" s="240">
        <f t="shared" si="60"/>
        <v>266</v>
      </c>
      <c r="J246" s="237">
        <f t="shared" si="69"/>
        <v>2045</v>
      </c>
      <c r="K246" s="238">
        <f t="shared" si="70"/>
        <v>53114</v>
      </c>
      <c r="M246" s="36"/>
      <c r="V246" s="97" t="str">
        <f t="shared" si="63"/>
        <v>Summer</v>
      </c>
      <c r="AA246" s="337">
        <f t="shared" si="64"/>
        <v>2.18E-2</v>
      </c>
      <c r="AB246" s="336">
        <f t="shared" si="68"/>
        <v>-5.0000000000000001E-3</v>
      </c>
    </row>
    <row r="247" spans="2:28">
      <c r="B247" s="238">
        <f t="shared" si="65"/>
        <v>53144</v>
      </c>
      <c r="C247" s="342">
        <v>4674085.5735013559</v>
      </c>
      <c r="D247" s="234">
        <f>IF(ISNUMBER($F247),VLOOKUP($J247,'Table 1'!$B$13:$G$40,2,FALSE)/12*1000*Study_MW,"")</f>
        <v>0</v>
      </c>
      <c r="E247" s="234">
        <f t="shared" si="66"/>
        <v>4674085.5735013559</v>
      </c>
      <c r="F247" s="342">
        <v>74028</v>
      </c>
      <c r="G247" s="239">
        <f t="shared" si="67"/>
        <v>63.139427966463444</v>
      </c>
      <c r="I247" s="240">
        <f t="shared" si="60"/>
        <v>267</v>
      </c>
      <c r="J247" s="237">
        <f t="shared" si="69"/>
        <v>2045</v>
      </c>
      <c r="K247" s="238">
        <f t="shared" si="70"/>
        <v>53144</v>
      </c>
      <c r="M247" s="36"/>
      <c r="V247" s="97" t="str">
        <f t="shared" si="63"/>
        <v>Summer</v>
      </c>
      <c r="AA247" s="337">
        <f t="shared" si="64"/>
        <v>2.18E-2</v>
      </c>
      <c r="AB247" s="336">
        <f t="shared" si="68"/>
        <v>-5.0000000000000001E-3</v>
      </c>
    </row>
    <row r="248" spans="2:28">
      <c r="B248" s="238">
        <f t="shared" si="65"/>
        <v>53175</v>
      </c>
      <c r="C248" s="342">
        <v>5056349.0566444704</v>
      </c>
      <c r="D248" s="234">
        <f>IF(ISNUMBER($F248),VLOOKUP($J248,'Table 1'!$B$13:$G$40,2,FALSE)/12*1000*Study_MW,"")</f>
        <v>0</v>
      </c>
      <c r="E248" s="234">
        <f t="shared" si="66"/>
        <v>5056349.0566444704</v>
      </c>
      <c r="F248" s="342">
        <v>74028</v>
      </c>
      <c r="G248" s="239">
        <f t="shared" si="67"/>
        <v>68.303196853143007</v>
      </c>
      <c r="I248" s="240">
        <f t="shared" si="60"/>
        <v>268</v>
      </c>
      <c r="J248" s="237">
        <f t="shared" si="69"/>
        <v>2045</v>
      </c>
      <c r="K248" s="238">
        <f t="shared" si="70"/>
        <v>53175</v>
      </c>
      <c r="M248" s="36"/>
      <c r="V248" s="97" t="str">
        <f t="shared" si="63"/>
        <v>Summer</v>
      </c>
      <c r="AA248" s="337">
        <f t="shared" si="64"/>
        <v>2.18E-2</v>
      </c>
      <c r="AB248" s="336">
        <f t="shared" si="68"/>
        <v>-5.0000000000000001E-3</v>
      </c>
    </row>
    <row r="249" spans="2:28">
      <c r="B249" s="238">
        <f t="shared" si="65"/>
        <v>53206</v>
      </c>
      <c r="C249" s="342">
        <v>4319089.2226329893</v>
      </c>
      <c r="D249" s="234">
        <f>IF(ISNUMBER($F249),VLOOKUP($J249,'Table 1'!$B$13:$G$40,2,FALSE)/12*1000*Study_MW,"")</f>
        <v>0</v>
      </c>
      <c r="E249" s="234">
        <f t="shared" si="66"/>
        <v>4319089.2226329893</v>
      </c>
      <c r="F249" s="342">
        <v>71640</v>
      </c>
      <c r="G249" s="239">
        <f t="shared" si="67"/>
        <v>60.28879428577595</v>
      </c>
      <c r="I249" s="240">
        <f t="shared" si="60"/>
        <v>269</v>
      </c>
      <c r="J249" s="237">
        <f t="shared" si="69"/>
        <v>2045</v>
      </c>
      <c r="K249" s="238">
        <f t="shared" si="70"/>
        <v>53206</v>
      </c>
      <c r="M249" s="36"/>
      <c r="V249" s="97" t="str">
        <f t="shared" si="63"/>
        <v>Winter</v>
      </c>
      <c r="AA249" s="337">
        <f t="shared" si="64"/>
        <v>2.18E-2</v>
      </c>
      <c r="AB249" s="336">
        <f t="shared" si="68"/>
        <v>-5.0000000000000001E-3</v>
      </c>
    </row>
    <row r="250" spans="2:28">
      <c r="B250" s="238">
        <f t="shared" si="65"/>
        <v>53236</v>
      </c>
      <c r="C250" s="342">
        <v>1575347.800213689</v>
      </c>
      <c r="D250" s="234">
        <f>IF(ISNUMBER($F250),VLOOKUP($J250,'Table 1'!$B$13:$G$40,2,FALSE)/12*1000*Study_MW,"")</f>
        <v>0</v>
      </c>
      <c r="E250" s="234">
        <f t="shared" si="66"/>
        <v>1575347.800213689</v>
      </c>
      <c r="F250" s="342">
        <v>74028</v>
      </c>
      <c r="G250" s="239">
        <f t="shared" si="67"/>
        <v>21.280431731421746</v>
      </c>
      <c r="I250" s="240">
        <f t="shared" si="60"/>
        <v>270</v>
      </c>
      <c r="J250" s="237">
        <f t="shared" si="69"/>
        <v>2045</v>
      </c>
      <c r="K250" s="238">
        <f t="shared" si="70"/>
        <v>53236</v>
      </c>
      <c r="M250" s="36"/>
      <c r="V250" s="97" t="str">
        <f t="shared" si="63"/>
        <v>Winter</v>
      </c>
      <c r="AA250" s="337">
        <f t="shared" si="64"/>
        <v>2.18E-2</v>
      </c>
      <c r="AB250" s="336">
        <f t="shared" si="68"/>
        <v>-5.0000000000000001E-3</v>
      </c>
    </row>
    <row r="251" spans="2:28">
      <c r="B251" s="238">
        <f t="shared" si="65"/>
        <v>53267</v>
      </c>
      <c r="C251" s="342">
        <v>5270306.9119882006</v>
      </c>
      <c r="D251" s="234">
        <f>IF(ISNUMBER($F251),VLOOKUP($J251,'Table 1'!$B$13:$G$40,2,FALSE)/12*1000*Study_MW,"")</f>
        <v>0</v>
      </c>
      <c r="E251" s="234">
        <f t="shared" si="66"/>
        <v>5270306.9119882006</v>
      </c>
      <c r="F251" s="342">
        <v>71640</v>
      </c>
      <c r="G251" s="239">
        <f t="shared" si="67"/>
        <v>73.566539809997224</v>
      </c>
      <c r="I251" s="240">
        <f t="shared" si="60"/>
        <v>271</v>
      </c>
      <c r="J251" s="237">
        <f t="shared" si="69"/>
        <v>2045</v>
      </c>
      <c r="K251" s="238">
        <f t="shared" si="70"/>
        <v>53267</v>
      </c>
      <c r="M251" s="36"/>
      <c r="V251" s="97" t="str">
        <f t="shared" si="63"/>
        <v>Winter</v>
      </c>
      <c r="AA251" s="337">
        <f t="shared" si="64"/>
        <v>2.18E-2</v>
      </c>
      <c r="AB251" s="336">
        <f t="shared" si="68"/>
        <v>-5.0000000000000001E-3</v>
      </c>
    </row>
    <row r="252" spans="2:28" collapsed="1">
      <c r="B252" s="244">
        <f t="shared" si="65"/>
        <v>53297</v>
      </c>
      <c r="C252" s="343">
        <v>5949622.1454260303</v>
      </c>
      <c r="D252" s="245">
        <f>IF(ISNUMBER($F252),VLOOKUP($J252,'Table 1'!$B$13:$G$40,2,FALSE)/12*1000*Study_MW,"")</f>
        <v>0</v>
      </c>
      <c r="E252" s="245">
        <f t="shared" si="66"/>
        <v>5949622.1454260303</v>
      </c>
      <c r="F252" s="343">
        <v>74028</v>
      </c>
      <c r="G252" s="246">
        <f t="shared" si="67"/>
        <v>80.369889034230695</v>
      </c>
      <c r="I252" s="247">
        <f t="shared" si="60"/>
        <v>272</v>
      </c>
      <c r="J252" s="237">
        <f t="shared" si="69"/>
        <v>2045</v>
      </c>
      <c r="K252" s="244">
        <f t="shared" si="70"/>
        <v>53297</v>
      </c>
      <c r="M252" s="36"/>
      <c r="V252" s="97" t="str">
        <f t="shared" si="63"/>
        <v>Winter</v>
      </c>
      <c r="AA252" s="337">
        <f t="shared" si="64"/>
        <v>2.18E-2</v>
      </c>
      <c r="AB252" s="336">
        <f t="shared" si="68"/>
        <v>-5.0000000000000001E-3</v>
      </c>
    </row>
    <row r="253" spans="2:28" hidden="1">
      <c r="B253" s="232"/>
      <c r="C253" s="338"/>
      <c r="D253" s="233"/>
      <c r="E253" s="233"/>
      <c r="F253" s="338"/>
      <c r="G253" s="235"/>
      <c r="I253" s="236"/>
      <c r="J253" s="237"/>
      <c r="K253" s="232"/>
      <c r="M253" s="36"/>
      <c r="V253" s="97" t="str">
        <f t="shared" si="63"/>
        <v>Winter</v>
      </c>
      <c r="AA253" s="337">
        <f t="shared" si="64"/>
        <v>2.18E-2</v>
      </c>
      <c r="AB253" s="336">
        <f t="shared" si="68"/>
        <v>0</v>
      </c>
    </row>
    <row r="254" spans="2:28" hidden="1">
      <c r="B254" s="238"/>
      <c r="C254" s="342"/>
      <c r="D254" s="234"/>
      <c r="E254" s="234"/>
      <c r="F254" s="342"/>
      <c r="G254" s="239"/>
      <c r="I254" s="240"/>
      <c r="J254" s="237"/>
      <c r="K254" s="238"/>
      <c r="M254" s="36"/>
      <c r="V254" s="97" t="str">
        <f t="shared" si="63"/>
        <v>Winter</v>
      </c>
      <c r="AA254" s="337">
        <f t="shared" si="64"/>
        <v>2.18E-2</v>
      </c>
      <c r="AB254" s="336">
        <f t="shared" si="68"/>
        <v>0</v>
      </c>
    </row>
    <row r="255" spans="2:28" hidden="1">
      <c r="B255" s="238"/>
      <c r="C255" s="342"/>
      <c r="D255" s="234"/>
      <c r="E255" s="234"/>
      <c r="F255" s="342"/>
      <c r="G255" s="239"/>
      <c r="I255" s="240"/>
      <c r="J255" s="237"/>
      <c r="K255" s="238"/>
      <c r="M255" s="36"/>
      <c r="V255" s="97" t="str">
        <f t="shared" si="63"/>
        <v>Winter</v>
      </c>
      <c r="AA255" s="337">
        <f t="shared" si="64"/>
        <v>2.18E-2</v>
      </c>
      <c r="AB255" s="336">
        <f t="shared" si="68"/>
        <v>0</v>
      </c>
    </row>
    <row r="256" spans="2:28" hidden="1">
      <c r="B256" s="238"/>
      <c r="C256" s="342"/>
      <c r="D256" s="234"/>
      <c r="E256" s="234"/>
      <c r="F256" s="342"/>
      <c r="G256" s="239"/>
      <c r="I256" s="240"/>
      <c r="J256" s="237"/>
      <c r="K256" s="238"/>
      <c r="M256" s="36"/>
      <c r="V256" s="97" t="str">
        <f t="shared" si="63"/>
        <v>Winter</v>
      </c>
      <c r="AA256" s="337">
        <f t="shared" si="64"/>
        <v>2.18E-2</v>
      </c>
      <c r="AB256" s="336">
        <f t="shared" si="68"/>
        <v>0</v>
      </c>
    </row>
    <row r="257" spans="2:28" hidden="1">
      <c r="B257" s="238"/>
      <c r="C257" s="342"/>
      <c r="D257" s="234"/>
      <c r="E257" s="234"/>
      <c r="F257" s="342"/>
      <c r="G257" s="239"/>
      <c r="I257" s="240"/>
      <c r="J257" s="237"/>
      <c r="K257" s="238"/>
      <c r="M257" s="36"/>
      <c r="V257" s="97" t="str">
        <f t="shared" si="63"/>
        <v>Winter</v>
      </c>
      <c r="AA257" s="337">
        <f t="shared" si="64"/>
        <v>2.18E-2</v>
      </c>
      <c r="AB257" s="336">
        <f t="shared" si="68"/>
        <v>0</v>
      </c>
    </row>
    <row r="258" spans="2:28" hidden="1">
      <c r="B258" s="238"/>
      <c r="C258" s="342"/>
      <c r="D258" s="234"/>
      <c r="E258" s="234"/>
      <c r="F258" s="342"/>
      <c r="G258" s="239"/>
      <c r="I258" s="240"/>
      <c r="J258" s="237"/>
      <c r="K258" s="238"/>
      <c r="M258" s="36"/>
      <c r="V258" s="97" t="str">
        <f t="shared" si="63"/>
        <v>Winter</v>
      </c>
      <c r="AA258" s="337">
        <f t="shared" si="64"/>
        <v>2.18E-2</v>
      </c>
      <c r="AB258" s="336">
        <f t="shared" si="68"/>
        <v>0</v>
      </c>
    </row>
    <row r="259" spans="2:28" hidden="1">
      <c r="B259" s="238"/>
      <c r="C259" s="342"/>
      <c r="D259" s="234"/>
      <c r="E259" s="234"/>
      <c r="F259" s="342"/>
      <c r="G259" s="239"/>
      <c r="I259" s="240"/>
      <c r="J259" s="237"/>
      <c r="K259" s="238"/>
      <c r="M259" s="36"/>
      <c r="V259" s="97" t="str">
        <f t="shared" si="63"/>
        <v>Winter</v>
      </c>
      <c r="AA259" s="337">
        <f t="shared" si="64"/>
        <v>2.18E-2</v>
      </c>
      <c r="AB259" s="336">
        <f t="shared" si="68"/>
        <v>0</v>
      </c>
    </row>
    <row r="260" spans="2:28" hidden="1">
      <c r="B260" s="238"/>
      <c r="C260" s="342"/>
      <c r="D260" s="234"/>
      <c r="E260" s="234"/>
      <c r="F260" s="342"/>
      <c r="G260" s="239"/>
      <c r="I260" s="240"/>
      <c r="J260" s="237"/>
      <c r="K260" s="238"/>
      <c r="M260" s="36"/>
      <c r="V260" s="97" t="str">
        <f t="shared" si="63"/>
        <v>Winter</v>
      </c>
      <c r="AA260" s="337">
        <f t="shared" si="64"/>
        <v>2.18E-2</v>
      </c>
      <c r="AB260" s="336">
        <f t="shared" si="68"/>
        <v>0</v>
      </c>
    </row>
    <row r="261" spans="2:28" hidden="1">
      <c r="B261" s="238"/>
      <c r="C261" s="342"/>
      <c r="D261" s="234"/>
      <c r="E261" s="234"/>
      <c r="F261" s="342"/>
      <c r="G261" s="239"/>
      <c r="I261" s="240"/>
      <c r="J261" s="237"/>
      <c r="K261" s="238"/>
      <c r="M261" s="36"/>
      <c r="V261" s="97" t="str">
        <f t="shared" si="63"/>
        <v>Winter</v>
      </c>
      <c r="AA261" s="337">
        <f t="shared" si="64"/>
        <v>2.18E-2</v>
      </c>
      <c r="AB261" s="336">
        <f t="shared" si="68"/>
        <v>0</v>
      </c>
    </row>
    <row r="262" spans="2:28" hidden="1">
      <c r="B262" s="238"/>
      <c r="C262" s="342"/>
      <c r="D262" s="234"/>
      <c r="E262" s="234"/>
      <c r="F262" s="342"/>
      <c r="G262" s="239"/>
      <c r="I262" s="240"/>
      <c r="J262" s="237"/>
      <c r="K262" s="238"/>
      <c r="M262" s="36"/>
      <c r="V262" s="97" t="str">
        <f t="shared" si="63"/>
        <v>Winter</v>
      </c>
      <c r="AA262" s="337">
        <f t="shared" si="64"/>
        <v>2.18E-2</v>
      </c>
      <c r="AB262" s="336">
        <f t="shared" si="68"/>
        <v>0</v>
      </c>
    </row>
    <row r="263" spans="2:28" hidden="1">
      <c r="B263" s="238"/>
      <c r="C263" s="342"/>
      <c r="D263" s="234"/>
      <c r="E263" s="234"/>
      <c r="F263" s="342"/>
      <c r="G263" s="239"/>
      <c r="I263" s="240"/>
      <c r="J263" s="237"/>
      <c r="K263" s="238"/>
      <c r="M263" s="36"/>
      <c r="V263" s="97" t="str">
        <f t="shared" si="63"/>
        <v>Winter</v>
      </c>
      <c r="AA263" s="337">
        <f t="shared" si="64"/>
        <v>2.18E-2</v>
      </c>
      <c r="AB263" s="336">
        <f t="shared" si="68"/>
        <v>0</v>
      </c>
    </row>
    <row r="264" spans="2:28" hidden="1">
      <c r="B264" s="244"/>
      <c r="C264" s="343"/>
      <c r="D264" s="245"/>
      <c r="E264" s="245"/>
      <c r="F264" s="343"/>
      <c r="G264" s="246"/>
      <c r="I264" s="247"/>
      <c r="J264" s="237"/>
      <c r="K264" s="244"/>
      <c r="M264" s="36"/>
      <c r="V264" s="97" t="str">
        <f t="shared" si="63"/>
        <v>Winter</v>
      </c>
      <c r="AA264" s="337">
        <f t="shared" si="64"/>
        <v>2.18E-2</v>
      </c>
      <c r="AB264" s="336">
        <f t="shared" si="68"/>
        <v>0</v>
      </c>
    </row>
    <row r="265" spans="2:28" hidden="1">
      <c r="B265" s="232"/>
      <c r="C265" s="338"/>
      <c r="D265" s="233"/>
      <c r="E265" s="233"/>
      <c r="F265" s="338"/>
      <c r="G265" s="235"/>
      <c r="I265" s="236"/>
      <c r="J265" s="237"/>
      <c r="K265" s="232"/>
      <c r="M265" s="36"/>
      <c r="V265" s="97" t="str">
        <f t="shared" si="63"/>
        <v>Winter</v>
      </c>
      <c r="AA265" s="337">
        <f t="shared" si="64"/>
        <v>2.18E-2</v>
      </c>
      <c r="AB265" s="336">
        <f t="shared" si="68"/>
        <v>0</v>
      </c>
    </row>
    <row r="266" spans="2:28" hidden="1">
      <c r="B266" s="238"/>
      <c r="C266" s="342"/>
      <c r="D266" s="234"/>
      <c r="E266" s="234"/>
      <c r="F266" s="342"/>
      <c r="G266" s="239"/>
      <c r="I266" s="240"/>
      <c r="J266" s="237"/>
      <c r="K266" s="238"/>
      <c r="M266" s="36"/>
      <c r="V266" s="97" t="str">
        <f t="shared" si="63"/>
        <v>Winter</v>
      </c>
      <c r="AA266" s="337">
        <f t="shared" si="64"/>
        <v>2.18E-2</v>
      </c>
      <c r="AB266" s="336">
        <f t="shared" si="68"/>
        <v>0</v>
      </c>
    </row>
    <row r="267" spans="2:28" hidden="1">
      <c r="B267" s="238"/>
      <c r="C267" s="342"/>
      <c r="D267" s="234"/>
      <c r="E267" s="234"/>
      <c r="F267" s="342"/>
      <c r="G267" s="239"/>
      <c r="I267" s="240"/>
      <c r="J267" s="237"/>
      <c r="K267" s="238"/>
      <c r="M267" s="36"/>
      <c r="V267" s="97" t="str">
        <f t="shared" si="63"/>
        <v>Winter</v>
      </c>
      <c r="AA267" s="337">
        <f t="shared" si="64"/>
        <v>2.18E-2</v>
      </c>
      <c r="AB267" s="336">
        <f t="shared" si="68"/>
        <v>0</v>
      </c>
    </row>
    <row r="268" spans="2:28" hidden="1">
      <c r="B268" s="238"/>
      <c r="C268" s="342"/>
      <c r="D268" s="234"/>
      <c r="E268" s="234"/>
      <c r="F268" s="342"/>
      <c r="G268" s="239"/>
      <c r="I268" s="240"/>
      <c r="J268" s="237"/>
      <c r="K268" s="238"/>
      <c r="M268" s="36"/>
      <c r="V268" s="97" t="str">
        <f t="shared" ref="V268:V275" si="71">IFERROR(IF(AND(MONTH(K269)&gt;=6,MONTH(K269)&lt;=9),"Summer","Winter"),"-")</f>
        <v>Winter</v>
      </c>
      <c r="AA268" s="337">
        <f t="shared" si="64"/>
        <v>2.18E-2</v>
      </c>
      <c r="AB268" s="336">
        <f t="shared" si="68"/>
        <v>0</v>
      </c>
    </row>
    <row r="269" spans="2:28" hidden="1">
      <c r="B269" s="238"/>
      <c r="C269" s="342"/>
      <c r="D269" s="234"/>
      <c r="E269" s="234"/>
      <c r="F269" s="342"/>
      <c r="G269" s="239"/>
      <c r="I269" s="240"/>
      <c r="J269" s="237"/>
      <c r="K269" s="238"/>
      <c r="M269" s="36"/>
      <c r="V269" s="97" t="str">
        <f t="shared" si="71"/>
        <v>Winter</v>
      </c>
      <c r="AA269" s="337">
        <f t="shared" ref="AA269:AA332" si="72">Inflation</f>
        <v>2.18E-2</v>
      </c>
      <c r="AB269" s="336">
        <f t="shared" si="68"/>
        <v>0</v>
      </c>
    </row>
    <row r="270" spans="2:28" hidden="1">
      <c r="B270" s="238"/>
      <c r="C270" s="342"/>
      <c r="D270" s="234"/>
      <c r="E270" s="234"/>
      <c r="F270" s="342"/>
      <c r="G270" s="239"/>
      <c r="I270" s="240"/>
      <c r="J270" s="237"/>
      <c r="K270" s="238"/>
      <c r="M270" s="36"/>
      <c r="V270" s="97" t="str">
        <f t="shared" si="71"/>
        <v>Winter</v>
      </c>
      <c r="AA270" s="337">
        <f t="shared" si="72"/>
        <v>2.18E-2</v>
      </c>
      <c r="AB270" s="336">
        <f t="shared" ref="AB270:AB276" si="73">IF($AB$8="Solar",IFERROR(IF(J270&gt;$AC$1,-0.005,0),AB258),0)</f>
        <v>0</v>
      </c>
    </row>
    <row r="271" spans="2:28" hidden="1">
      <c r="B271" s="238"/>
      <c r="C271" s="342"/>
      <c r="D271" s="234"/>
      <c r="E271" s="234"/>
      <c r="F271" s="342"/>
      <c r="G271" s="239"/>
      <c r="I271" s="240"/>
      <c r="J271" s="237"/>
      <c r="K271" s="238"/>
      <c r="M271" s="36"/>
      <c r="V271" s="97" t="str">
        <f t="shared" si="71"/>
        <v>Winter</v>
      </c>
      <c r="AA271" s="337">
        <f t="shared" si="72"/>
        <v>2.18E-2</v>
      </c>
      <c r="AB271" s="336">
        <f t="shared" si="73"/>
        <v>0</v>
      </c>
    </row>
    <row r="272" spans="2:28" hidden="1">
      <c r="B272" s="238"/>
      <c r="C272" s="342"/>
      <c r="D272" s="234"/>
      <c r="E272" s="234"/>
      <c r="F272" s="342"/>
      <c r="G272" s="239"/>
      <c r="I272" s="240"/>
      <c r="J272" s="237"/>
      <c r="K272" s="238"/>
      <c r="M272" s="36"/>
      <c r="V272" s="97" t="str">
        <f t="shared" si="71"/>
        <v>Winter</v>
      </c>
      <c r="AA272" s="337">
        <f t="shared" si="72"/>
        <v>2.18E-2</v>
      </c>
      <c r="AB272" s="336">
        <f t="shared" si="73"/>
        <v>0</v>
      </c>
    </row>
    <row r="273" spans="2:28" hidden="1">
      <c r="B273" s="238"/>
      <c r="C273" s="342"/>
      <c r="D273" s="234"/>
      <c r="E273" s="234"/>
      <c r="F273" s="342"/>
      <c r="G273" s="239"/>
      <c r="I273" s="240"/>
      <c r="J273" s="237"/>
      <c r="K273" s="238"/>
      <c r="M273" s="36"/>
      <c r="V273" s="97" t="str">
        <f t="shared" si="71"/>
        <v>Winter</v>
      </c>
      <c r="AA273" s="337">
        <f t="shared" si="72"/>
        <v>2.18E-2</v>
      </c>
      <c r="AB273" s="336">
        <f t="shared" si="73"/>
        <v>0</v>
      </c>
    </row>
    <row r="274" spans="2:28" hidden="1">
      <c r="B274" s="238"/>
      <c r="C274" s="342"/>
      <c r="D274" s="234"/>
      <c r="E274" s="234"/>
      <c r="F274" s="342"/>
      <c r="G274" s="239"/>
      <c r="I274" s="240"/>
      <c r="J274" s="237"/>
      <c r="K274" s="238"/>
      <c r="M274" s="36"/>
      <c r="V274" s="97" t="str">
        <f t="shared" si="71"/>
        <v>Winter</v>
      </c>
      <c r="AA274" s="337">
        <f t="shared" si="72"/>
        <v>2.18E-2</v>
      </c>
      <c r="AB274" s="336">
        <f t="shared" si="73"/>
        <v>0</v>
      </c>
    </row>
    <row r="275" spans="2:28" hidden="1">
      <c r="B275" s="238"/>
      <c r="C275" s="342"/>
      <c r="D275" s="234"/>
      <c r="E275" s="234"/>
      <c r="F275" s="342"/>
      <c r="G275" s="239"/>
      <c r="I275" s="240"/>
      <c r="J275" s="237"/>
      <c r="K275" s="238"/>
      <c r="M275" s="36"/>
      <c r="V275" s="97" t="str">
        <f t="shared" si="71"/>
        <v>Winter</v>
      </c>
      <c r="AA275" s="337">
        <f t="shared" si="72"/>
        <v>2.18E-2</v>
      </c>
      <c r="AB275" s="336">
        <f t="shared" si="73"/>
        <v>0</v>
      </c>
    </row>
    <row r="276" spans="2:28" hidden="1">
      <c r="B276" s="244"/>
      <c r="C276" s="343"/>
      <c r="D276" s="245"/>
      <c r="E276" s="245"/>
      <c r="F276" s="343"/>
      <c r="G276" s="246"/>
      <c r="I276" s="247"/>
      <c r="J276" s="237"/>
      <c r="K276" s="244"/>
      <c r="M276" s="36"/>
      <c r="AA276" s="337">
        <f t="shared" si="72"/>
        <v>2.18E-2</v>
      </c>
      <c r="AB276" s="336">
        <f t="shared" si="73"/>
        <v>0</v>
      </c>
    </row>
    <row r="277" spans="2:28">
      <c r="AA277" s="337">
        <f t="shared" si="72"/>
        <v>2.18E-2</v>
      </c>
    </row>
    <row r="278" spans="2:28">
      <c r="AA278" s="337">
        <f t="shared" si="72"/>
        <v>2.18E-2</v>
      </c>
    </row>
    <row r="279" spans="2:28">
      <c r="AA279" s="337">
        <f t="shared" si="72"/>
        <v>2.18E-2</v>
      </c>
    </row>
    <row r="280" spans="2:28">
      <c r="AA280" s="337">
        <f t="shared" si="72"/>
        <v>2.18E-2</v>
      </c>
    </row>
    <row r="281" spans="2:28">
      <c r="AA281" s="337">
        <f t="shared" si="72"/>
        <v>2.18E-2</v>
      </c>
    </row>
    <row r="282" spans="2:28">
      <c r="AA282" s="337">
        <f t="shared" si="72"/>
        <v>2.18E-2</v>
      </c>
    </row>
    <row r="283" spans="2:28">
      <c r="AA283" s="337">
        <f t="shared" si="72"/>
        <v>2.18E-2</v>
      </c>
    </row>
    <row r="284" spans="2:28">
      <c r="AA284" s="337">
        <f t="shared" si="72"/>
        <v>2.18E-2</v>
      </c>
    </row>
    <row r="285" spans="2:28">
      <c r="AA285" s="337">
        <f t="shared" si="72"/>
        <v>2.18E-2</v>
      </c>
    </row>
    <row r="286" spans="2:28">
      <c r="AA286" s="337">
        <f t="shared" si="72"/>
        <v>2.18E-2</v>
      </c>
    </row>
    <row r="287" spans="2:28">
      <c r="AA287" s="337">
        <f t="shared" si="72"/>
        <v>2.18E-2</v>
      </c>
    </row>
    <row r="288" spans="2:28">
      <c r="AA288" s="337">
        <f t="shared" si="72"/>
        <v>2.18E-2</v>
      </c>
    </row>
    <row r="289" spans="27:27">
      <c r="AA289" s="337">
        <f t="shared" si="72"/>
        <v>2.18E-2</v>
      </c>
    </row>
    <row r="290" spans="27:27">
      <c r="AA290" s="337">
        <f t="shared" si="72"/>
        <v>2.18E-2</v>
      </c>
    </row>
    <row r="291" spans="27:27">
      <c r="AA291" s="337">
        <f t="shared" si="72"/>
        <v>2.18E-2</v>
      </c>
    </row>
    <row r="292" spans="27:27">
      <c r="AA292" s="337">
        <f t="shared" si="72"/>
        <v>2.18E-2</v>
      </c>
    </row>
    <row r="293" spans="27:27">
      <c r="AA293" s="337">
        <f t="shared" si="72"/>
        <v>2.18E-2</v>
      </c>
    </row>
    <row r="294" spans="27:27">
      <c r="AA294" s="337">
        <f t="shared" si="72"/>
        <v>2.18E-2</v>
      </c>
    </row>
    <row r="295" spans="27:27">
      <c r="AA295" s="337">
        <f t="shared" si="72"/>
        <v>2.18E-2</v>
      </c>
    </row>
    <row r="296" spans="27:27">
      <c r="AA296" s="337">
        <f t="shared" si="72"/>
        <v>2.18E-2</v>
      </c>
    </row>
    <row r="297" spans="27:27">
      <c r="AA297" s="337">
        <f t="shared" si="72"/>
        <v>2.18E-2</v>
      </c>
    </row>
    <row r="298" spans="27:27">
      <c r="AA298" s="337">
        <f t="shared" si="72"/>
        <v>2.18E-2</v>
      </c>
    </row>
    <row r="299" spans="27:27">
      <c r="AA299" s="337">
        <f t="shared" si="72"/>
        <v>2.18E-2</v>
      </c>
    </row>
    <row r="300" spans="27:27">
      <c r="AA300" s="337">
        <f t="shared" si="72"/>
        <v>2.18E-2</v>
      </c>
    </row>
    <row r="301" spans="27:27">
      <c r="AA301" s="337">
        <f t="shared" si="72"/>
        <v>2.18E-2</v>
      </c>
    </row>
    <row r="302" spans="27:27">
      <c r="AA302" s="337">
        <f t="shared" si="72"/>
        <v>2.18E-2</v>
      </c>
    </row>
    <row r="303" spans="27:27">
      <c r="AA303" s="337">
        <f t="shared" si="72"/>
        <v>2.18E-2</v>
      </c>
    </row>
    <row r="304" spans="27:27">
      <c r="AA304" s="337">
        <f t="shared" si="72"/>
        <v>2.18E-2</v>
      </c>
    </row>
    <row r="305" spans="27:27">
      <c r="AA305" s="337">
        <f t="shared" si="72"/>
        <v>2.18E-2</v>
      </c>
    </row>
    <row r="306" spans="27:27">
      <c r="AA306" s="337">
        <f t="shared" si="72"/>
        <v>2.18E-2</v>
      </c>
    </row>
    <row r="307" spans="27:27">
      <c r="AA307" s="337">
        <f t="shared" si="72"/>
        <v>2.18E-2</v>
      </c>
    </row>
    <row r="308" spans="27:27">
      <c r="AA308" s="337">
        <f t="shared" si="72"/>
        <v>2.18E-2</v>
      </c>
    </row>
    <row r="309" spans="27:27">
      <c r="AA309" s="337">
        <f t="shared" si="72"/>
        <v>2.18E-2</v>
      </c>
    </row>
    <row r="310" spans="27:27">
      <c r="AA310" s="337">
        <f t="shared" si="72"/>
        <v>2.18E-2</v>
      </c>
    </row>
    <row r="311" spans="27:27">
      <c r="AA311" s="337">
        <f t="shared" si="72"/>
        <v>2.18E-2</v>
      </c>
    </row>
    <row r="312" spans="27:27">
      <c r="AA312" s="337">
        <f t="shared" si="72"/>
        <v>2.18E-2</v>
      </c>
    </row>
    <row r="313" spans="27:27">
      <c r="AA313" s="337">
        <f t="shared" si="72"/>
        <v>2.18E-2</v>
      </c>
    </row>
    <row r="314" spans="27:27">
      <c r="AA314" s="337">
        <f t="shared" si="72"/>
        <v>2.18E-2</v>
      </c>
    </row>
    <row r="315" spans="27:27">
      <c r="AA315" s="337">
        <f t="shared" si="72"/>
        <v>2.18E-2</v>
      </c>
    </row>
    <row r="316" spans="27:27">
      <c r="AA316" s="337">
        <f t="shared" si="72"/>
        <v>2.18E-2</v>
      </c>
    </row>
    <row r="317" spans="27:27">
      <c r="AA317" s="337">
        <f t="shared" si="72"/>
        <v>2.18E-2</v>
      </c>
    </row>
    <row r="318" spans="27:27">
      <c r="AA318" s="337">
        <f t="shared" si="72"/>
        <v>2.18E-2</v>
      </c>
    </row>
    <row r="319" spans="27:27">
      <c r="AA319" s="337">
        <f t="shared" si="72"/>
        <v>2.18E-2</v>
      </c>
    </row>
    <row r="320" spans="27:27">
      <c r="AA320" s="337">
        <f t="shared" si="72"/>
        <v>2.18E-2</v>
      </c>
    </row>
    <row r="321" spans="27:27">
      <c r="AA321" s="337">
        <f t="shared" si="72"/>
        <v>2.18E-2</v>
      </c>
    </row>
    <row r="322" spans="27:27">
      <c r="AA322" s="337">
        <f t="shared" si="72"/>
        <v>2.18E-2</v>
      </c>
    </row>
    <row r="323" spans="27:27">
      <c r="AA323" s="337">
        <f t="shared" si="72"/>
        <v>2.18E-2</v>
      </c>
    </row>
    <row r="324" spans="27:27">
      <c r="AA324" s="337">
        <f t="shared" si="72"/>
        <v>2.18E-2</v>
      </c>
    </row>
    <row r="325" spans="27:27">
      <c r="AA325" s="337">
        <f t="shared" si="72"/>
        <v>2.18E-2</v>
      </c>
    </row>
    <row r="326" spans="27:27">
      <c r="AA326" s="337">
        <f t="shared" si="72"/>
        <v>2.18E-2</v>
      </c>
    </row>
    <row r="327" spans="27:27">
      <c r="AA327" s="337">
        <f t="shared" si="72"/>
        <v>2.18E-2</v>
      </c>
    </row>
    <row r="328" spans="27:27">
      <c r="AA328" s="337">
        <f t="shared" si="72"/>
        <v>2.18E-2</v>
      </c>
    </row>
    <row r="329" spans="27:27">
      <c r="AA329" s="337">
        <f t="shared" si="72"/>
        <v>2.18E-2</v>
      </c>
    </row>
    <row r="330" spans="27:27">
      <c r="AA330" s="337">
        <f t="shared" si="72"/>
        <v>2.18E-2</v>
      </c>
    </row>
    <row r="331" spans="27:27">
      <c r="AA331" s="337">
        <f t="shared" si="72"/>
        <v>2.18E-2</v>
      </c>
    </row>
    <row r="332" spans="27:27">
      <c r="AA332" s="337">
        <f t="shared" si="72"/>
        <v>2.18E-2</v>
      </c>
    </row>
    <row r="333" spans="27:27">
      <c r="AA333" s="337">
        <f t="shared" ref="AA333:AA367" si="74">Inflation</f>
        <v>2.18E-2</v>
      </c>
    </row>
    <row r="334" spans="27:27">
      <c r="AA334" s="337">
        <f t="shared" si="74"/>
        <v>2.18E-2</v>
      </c>
    </row>
    <row r="335" spans="27:27">
      <c r="AA335" s="337">
        <f t="shared" si="74"/>
        <v>2.18E-2</v>
      </c>
    </row>
    <row r="336" spans="27:27">
      <c r="AA336" s="337">
        <f t="shared" si="74"/>
        <v>2.18E-2</v>
      </c>
    </row>
    <row r="337" spans="27:27">
      <c r="AA337" s="337">
        <f t="shared" si="74"/>
        <v>2.18E-2</v>
      </c>
    </row>
    <row r="338" spans="27:27">
      <c r="AA338" s="337">
        <f t="shared" si="74"/>
        <v>2.18E-2</v>
      </c>
    </row>
    <row r="339" spans="27:27">
      <c r="AA339" s="337">
        <f t="shared" si="74"/>
        <v>2.18E-2</v>
      </c>
    </row>
    <row r="340" spans="27:27">
      <c r="AA340" s="337">
        <f t="shared" si="74"/>
        <v>2.18E-2</v>
      </c>
    </row>
    <row r="341" spans="27:27">
      <c r="AA341" s="337">
        <f t="shared" si="74"/>
        <v>2.18E-2</v>
      </c>
    </row>
    <row r="342" spans="27:27">
      <c r="AA342" s="337">
        <f t="shared" si="74"/>
        <v>2.18E-2</v>
      </c>
    </row>
    <row r="343" spans="27:27">
      <c r="AA343" s="337">
        <f t="shared" si="74"/>
        <v>2.18E-2</v>
      </c>
    </row>
    <row r="344" spans="27:27">
      <c r="AA344" s="337">
        <f t="shared" si="74"/>
        <v>2.18E-2</v>
      </c>
    </row>
    <row r="345" spans="27:27">
      <c r="AA345" s="337">
        <f t="shared" si="74"/>
        <v>2.18E-2</v>
      </c>
    </row>
    <row r="346" spans="27:27">
      <c r="AA346" s="337">
        <f t="shared" si="74"/>
        <v>2.18E-2</v>
      </c>
    </row>
    <row r="347" spans="27:27">
      <c r="AA347" s="337">
        <f t="shared" si="74"/>
        <v>2.18E-2</v>
      </c>
    </row>
    <row r="348" spans="27:27">
      <c r="AA348" s="337">
        <f t="shared" si="74"/>
        <v>2.18E-2</v>
      </c>
    </row>
    <row r="349" spans="27:27">
      <c r="AA349" s="337">
        <f t="shared" si="74"/>
        <v>2.18E-2</v>
      </c>
    </row>
    <row r="350" spans="27:27">
      <c r="AA350" s="337">
        <f t="shared" si="74"/>
        <v>2.18E-2</v>
      </c>
    </row>
    <row r="351" spans="27:27">
      <c r="AA351" s="337">
        <f t="shared" si="74"/>
        <v>2.18E-2</v>
      </c>
    </row>
    <row r="352" spans="27:27">
      <c r="AA352" s="337">
        <f t="shared" si="74"/>
        <v>2.18E-2</v>
      </c>
    </row>
    <row r="353" spans="27:27">
      <c r="AA353" s="337">
        <f t="shared" si="74"/>
        <v>2.18E-2</v>
      </c>
    </row>
    <row r="354" spans="27:27">
      <c r="AA354" s="337">
        <f t="shared" si="74"/>
        <v>2.18E-2</v>
      </c>
    </row>
    <row r="355" spans="27:27">
      <c r="AA355" s="337">
        <f t="shared" si="74"/>
        <v>2.18E-2</v>
      </c>
    </row>
    <row r="356" spans="27:27">
      <c r="AA356" s="337">
        <f t="shared" si="74"/>
        <v>2.18E-2</v>
      </c>
    </row>
    <row r="357" spans="27:27">
      <c r="AA357" s="337">
        <f t="shared" si="74"/>
        <v>2.18E-2</v>
      </c>
    </row>
    <row r="358" spans="27:27">
      <c r="AA358" s="337">
        <f t="shared" si="74"/>
        <v>2.18E-2</v>
      </c>
    </row>
    <row r="359" spans="27:27">
      <c r="AA359" s="337">
        <f t="shared" si="74"/>
        <v>2.18E-2</v>
      </c>
    </row>
    <row r="360" spans="27:27">
      <c r="AA360" s="337">
        <f t="shared" si="74"/>
        <v>2.18E-2</v>
      </c>
    </row>
    <row r="361" spans="27:27">
      <c r="AA361" s="337">
        <f t="shared" si="74"/>
        <v>2.18E-2</v>
      </c>
    </row>
    <row r="362" spans="27:27">
      <c r="AA362" s="337">
        <f t="shared" si="74"/>
        <v>2.18E-2</v>
      </c>
    </row>
    <row r="363" spans="27:27">
      <c r="AA363" s="337">
        <f t="shared" si="74"/>
        <v>2.18E-2</v>
      </c>
    </row>
    <row r="364" spans="27:27">
      <c r="AA364" s="337">
        <f t="shared" si="74"/>
        <v>2.18E-2</v>
      </c>
    </row>
    <row r="365" spans="27:27">
      <c r="AA365" s="337">
        <f t="shared" si="74"/>
        <v>2.18E-2</v>
      </c>
    </row>
    <row r="366" spans="27:27">
      <c r="AA366" s="337">
        <f t="shared" si="74"/>
        <v>2.18E-2</v>
      </c>
    </row>
    <row r="367" spans="27:27">
      <c r="AA367" s="337">
        <f t="shared" si="74"/>
        <v>2.18E-2</v>
      </c>
    </row>
  </sheetData>
  <printOptions horizontalCentered="1"/>
  <pageMargins left="0.25" right="0.25" top="0.75" bottom="0.75" header="0.3" footer="0.3"/>
  <pageSetup scale="61" fitToHeight="3" orientation="portrait" r:id="rId1"/>
  <headerFooter alignWithMargins="0">
    <oddFooter xml:space="preserve">&amp;L&amp;8NPC Group - &amp;F   ( &amp;A )&amp;C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H62"/>
  <sheetViews>
    <sheetView zoomScale="70" zoomScaleNormal="70" workbookViewId="0">
      <selection activeCell="B14" sqref="B14"/>
    </sheetView>
  </sheetViews>
  <sheetFormatPr defaultRowHeight="12.75"/>
  <cols>
    <col min="1" max="1" width="42.5" customWidth="1"/>
    <col min="2" max="2" width="19" customWidth="1"/>
    <col min="3" max="3" width="16.6640625" customWidth="1"/>
    <col min="4" max="4" width="17.5" customWidth="1"/>
    <col min="5" max="5" width="16" customWidth="1"/>
    <col min="6" max="6" width="17.33203125" customWidth="1"/>
    <col min="7" max="7" width="16.5" customWidth="1"/>
    <col min="8" max="8" width="16" customWidth="1"/>
    <col min="9" max="9" width="14.5" customWidth="1"/>
    <col min="10" max="10" width="15.83203125" customWidth="1"/>
    <col min="11" max="12" width="15.5" customWidth="1"/>
    <col min="13" max="13" width="14.5" customWidth="1"/>
    <col min="14" max="14" width="16.1640625" customWidth="1"/>
    <col min="15" max="16" width="16" customWidth="1"/>
    <col min="17" max="17" width="17.5" customWidth="1"/>
    <col min="18" max="18" width="17.1640625" customWidth="1"/>
    <col min="19" max="19" width="16.6640625" customWidth="1"/>
    <col min="20" max="20" width="14.5" customWidth="1"/>
    <col min="21" max="21" width="15.33203125" customWidth="1"/>
    <col min="22" max="22" width="14.5" customWidth="1"/>
  </cols>
  <sheetData>
    <row r="1" spans="1:8">
      <c r="A1" s="161" t="s">
        <v>92</v>
      </c>
    </row>
    <row r="2" spans="1:8" ht="51">
      <c r="A2" s="161" t="s">
        <v>9</v>
      </c>
      <c r="B2" s="103" t="str">
        <f>'WD_.PX.DJW._.PTC.2028'!B2</f>
        <v>WD_.PX.DJW._.PTC.Utility_Scale</v>
      </c>
      <c r="C2" s="103" t="str">
        <f>'WD_.PX.DJW._.PTC.2028'!$B$2</f>
        <v>WD_.PX.DJW._.PTC.Utility_Scale</v>
      </c>
      <c r="D2" s="103" t="str">
        <f>'WD_.PX.WMV._.PTC.2032'!$T$52</f>
        <v>WD_.PX.WMV._.PTC.Utility_Scale</v>
      </c>
      <c r="E2" s="103" t="str">
        <f>'PV_.PX.YAK._.PTC.2032'!$B$2</f>
        <v>PV_.PX.YAK._.PTC.Utility_Scale</v>
      </c>
      <c r="F2" s="103" t="str">
        <f>'Table 3 PV_.PX.WMV._.PTC.2032'!$B$2</f>
        <v>PV_.PX.WMV._.PTC.Utility_Scale</v>
      </c>
      <c r="G2" s="103" t="str">
        <f>'PV_.PX.WMV._.PTC.2036'!$B$2</f>
        <v>PV_.PX.WMV._.PTC.Utility_Scale</v>
      </c>
      <c r="H2" s="103"/>
    </row>
    <row r="3" spans="1:8" s="161" customFormat="1">
      <c r="A3" s="161" t="s">
        <v>87</v>
      </c>
      <c r="B3" s="192">
        <f>'WD_.PX.DJW._.PTC.2028'!R52</f>
        <v>2028</v>
      </c>
      <c r="C3" s="193">
        <f>'WD_.PX.DJW._.PTC.2029'!R52</f>
        <v>2029</v>
      </c>
      <c r="D3" s="193">
        <f>'WD_.PX.WMV._.PTC.2032'!R52</f>
        <v>2032</v>
      </c>
      <c r="E3" s="186">
        <f>'PV_.PX.YAK._.PTC.2032'!$R$52</f>
        <v>2032</v>
      </c>
      <c r="F3" s="186">
        <f>'Table 3 PV_.PX.WMV._.PTC.2032'!R52</f>
        <v>2032</v>
      </c>
      <c r="G3" s="186">
        <f>'PV_.PX.WMV._.PTC.2036'!R52</f>
        <v>2036</v>
      </c>
      <c r="H3" s="186"/>
    </row>
    <row r="4" spans="1:8">
      <c r="B4" s="194" t="s">
        <v>119</v>
      </c>
      <c r="C4" s="195" t="s">
        <v>119</v>
      </c>
      <c r="D4" s="195" t="s">
        <v>119</v>
      </c>
      <c r="E4" s="163" t="s">
        <v>116</v>
      </c>
      <c r="F4" s="163" t="s">
        <v>116</v>
      </c>
      <c r="G4" s="163" t="s">
        <v>116</v>
      </c>
      <c r="H4" s="163"/>
    </row>
    <row r="5" spans="1:8" ht="53.25" customHeight="1">
      <c r="B5" s="181" t="str">
        <f>CONCATENATE('WD_.PX.DJW._.PTC.2028'!B2,'WD_.PX.DJW._.PTC.2028'!R52)</f>
        <v>WD_.PX.DJW._.PTC.Utility_Scale2028</v>
      </c>
      <c r="C5" s="103" t="str">
        <f>CONCATENATE('WD_.PX.DJW._.PTC.2028'!B2,'WD_.PX.DJW._.PTC.2029'!R52)</f>
        <v>WD_.PX.DJW._.PTC.Utility_Scale2029</v>
      </c>
      <c r="D5" s="103" t="str">
        <f>CONCATENATE('WD_.PX.WMV._.PTC.2032'!T52,'WD_.PX.WMV._.PTC.2032'!R52)</f>
        <v>WD_.PX.WMV._.PTC.Utility_Scale2032</v>
      </c>
      <c r="E5" s="103" t="str">
        <f>CONCATENATE('PV_.PX.YAK._.PTC.2032'!B2,'PV_.PX.YAK._.PTC.2032'!R52)</f>
        <v>PV_.PX.YAK._.PTC.Utility_Scale2032</v>
      </c>
      <c r="F5" s="103" t="str">
        <f>CONCATENATE('Table 3 PV_.PX.WMV._.PTC.2032'!B2,'Table 3 PV_.PX.WMV._.PTC.2032'!R52)</f>
        <v>PV_.PX.WMV._.PTC.Utility_Scale2032</v>
      </c>
      <c r="G5" s="103" t="str">
        <f>CONCATENATE('PV_.PX.WMV._.PTC.2036'!B2,'PV_.PX.WMV._.PTC.2036'!R52)</f>
        <v>PV_.PX.WMV._.PTC.Utility_Scale2036</v>
      </c>
      <c r="H5" s="103"/>
    </row>
    <row r="6" spans="1:8">
      <c r="A6" s="69">
        <v>2024</v>
      </c>
      <c r="B6" s="71">
        <f>IFERROR(INDEX('WD_.PX.DJW._.PTC.2028'!$L$10:$L$37,MATCH($A6,'WD_.PX.DJW._.PTC.2028'!$B$10:$B$37,0),1),0)</f>
        <v>0</v>
      </c>
      <c r="C6" s="71">
        <f>IFERROR(INDEX('WD_.PX.DJW._.PTC.2029'!$L$10:$L$37,MATCH($A6,'WD_.PX.DJW._.PTC.2029'!$B$10:$B$37,0),1),0)</f>
        <v>0</v>
      </c>
      <c r="D6" s="71">
        <f>IFERROR(INDEX('WD_.PX.WMV._.PTC.2032'!$L$10:$L$36,MATCH($A6,'WD_.PX.WMV._.PTC.2032'!$B$10:$B$37,0),1),0)</f>
        <v>0</v>
      </c>
      <c r="E6" s="71">
        <f>IFERROR(INDEX('PV_.PX.YAK._.PTC.2032'!$L$10:$L$37,MATCH($A6,'PV_.PX.YAK._.PTC.2032'!$B$10:$B$37,0),1),0)</f>
        <v>0</v>
      </c>
      <c r="F6" s="71">
        <f>IFERROR(INDEX('Table 3 PV_.PX.WMV._.PTC.2032'!$L$10:$L$37,MATCH($A6,'Table 3 PV_.PX.WMV._.PTC.2032'!$B$10:$B$37,0),1),0)</f>
        <v>0</v>
      </c>
      <c r="G6" s="71">
        <f>IFERROR(INDEX('PV_.PX.WMV._.PTC.2036'!$L$10:$L$37,MATCH($A6,'PV_.PX.WMV._.PTC.2036'!$B$10:$B$37,0),1),0)</f>
        <v>0</v>
      </c>
      <c r="H6" s="71"/>
    </row>
    <row r="7" spans="1:8">
      <c r="A7" s="69">
        <f t="shared" ref="A7:A27" si="0">A6+1</f>
        <v>2025</v>
      </c>
      <c r="B7" s="71">
        <f>IFERROR(INDEX('WD_.PX.DJW._.PTC.2028'!$L$10:$L$37,MATCH($A7,'WD_.PX.DJW._.PTC.2028'!$B$10:$B$37,0),1),0)</f>
        <v>0</v>
      </c>
      <c r="C7" s="71">
        <f>IFERROR(INDEX('WD_.PX.DJW._.PTC.2029'!$L$10:$L$37,MATCH($A7,'WD_.PX.DJW._.PTC.2029'!$B$10:$B$37,0),1),0)</f>
        <v>0</v>
      </c>
      <c r="D7" s="71">
        <f>IFERROR(INDEX('WD_.PX.WMV._.PTC.2032'!$L$10:$L$36,MATCH($A7,'WD_.PX.WMV._.PTC.2032'!$B$10:$B$37,0),1),0)</f>
        <v>0</v>
      </c>
      <c r="E7" s="71">
        <f>IFERROR(INDEX('PV_.PX.YAK._.PTC.2032'!$L$10:$L$37,MATCH($A7,'PV_.PX.YAK._.PTC.2032'!$B$10:$B$37,0),1),0)</f>
        <v>0</v>
      </c>
      <c r="F7" s="71">
        <f>IFERROR(INDEX('Table 3 PV_.PX.WMV._.PTC.2032'!$L$10:$L$37,MATCH($A7,'Table 3 PV_.PX.WMV._.PTC.2032'!$B$10:$B$37,0),1),0)</f>
        <v>0</v>
      </c>
      <c r="G7" s="71">
        <f>IFERROR(INDEX('PV_.PX.WMV._.PTC.2036'!$L$10:$L$37,MATCH($A7,'PV_.PX.WMV._.PTC.2036'!$B$10:$B$37,0),1),0)</f>
        <v>0</v>
      </c>
      <c r="H7" s="71"/>
    </row>
    <row r="8" spans="1:8">
      <c r="A8" s="69">
        <f t="shared" si="0"/>
        <v>2026</v>
      </c>
      <c r="B8" s="71">
        <f>IFERROR(INDEX('WD_.PX.DJW._.PTC.2028'!$L$10:$L$37,MATCH($A8,'WD_.PX.DJW._.PTC.2028'!$B$10:$B$37,0),1),0)</f>
        <v>0</v>
      </c>
      <c r="C8" s="71">
        <f>IFERROR(INDEX('WD_.PX.DJW._.PTC.2029'!$L$10:$L$37,MATCH($A8,'WD_.PX.DJW._.PTC.2029'!$B$10:$B$37,0),1),0)</f>
        <v>0</v>
      </c>
      <c r="D8" s="71">
        <f>IFERROR(INDEX('WD_.PX.WMV._.PTC.2032'!$L$10:$L$36,MATCH($A8,'WD_.PX.WMV._.PTC.2032'!$B$10:$B$37,0),1),0)</f>
        <v>0</v>
      </c>
      <c r="E8" s="71">
        <f>IFERROR(INDEX('PV_.PX.YAK._.PTC.2032'!$L$10:$L$37,MATCH($A8,'PV_.PX.YAK._.PTC.2032'!$B$10:$B$37,0),1),0)</f>
        <v>0</v>
      </c>
      <c r="F8" s="71">
        <f>IFERROR(INDEX('Table 3 PV_.PX.WMV._.PTC.2032'!$L$10:$L$37,MATCH($A8,'Table 3 PV_.PX.WMV._.PTC.2032'!$B$10:$B$37,0),1),0)</f>
        <v>0</v>
      </c>
      <c r="G8" s="71">
        <f>IFERROR(INDEX('PV_.PX.WMV._.PTC.2036'!$L$10:$L$37,MATCH($A8,'PV_.PX.WMV._.PTC.2036'!$B$10:$B$37,0),1),0)</f>
        <v>0</v>
      </c>
      <c r="H8" s="71"/>
    </row>
    <row r="9" spans="1:8">
      <c r="A9" s="69">
        <f t="shared" si="0"/>
        <v>2027</v>
      </c>
      <c r="B9" s="71">
        <f>IFERROR(INDEX('WD_.PX.DJW._.PTC.2028'!$L$10:$L$37,MATCH($A9,'WD_.PX.DJW._.PTC.2028'!$B$10:$B$37,0),1),0)</f>
        <v>0</v>
      </c>
      <c r="C9" s="71">
        <f>IFERROR(INDEX('WD_.PX.DJW._.PTC.2029'!$L$10:$L$37,MATCH($A9,'WD_.PX.DJW._.PTC.2029'!$B$10:$B$37,0),1),0)</f>
        <v>0</v>
      </c>
      <c r="D9" s="71">
        <f>IFERROR(INDEX('WD_.PX.WMV._.PTC.2032'!$L$10:$L$36,MATCH($A9,'WD_.PX.WMV._.PTC.2032'!$B$10:$B$37,0),1),0)</f>
        <v>0</v>
      </c>
      <c r="E9" s="71">
        <f>IFERROR(INDEX('PV_.PX.YAK._.PTC.2032'!$L$10:$L$37,MATCH($A9,'PV_.PX.YAK._.PTC.2032'!$B$10:$B$37,0),1),0)</f>
        <v>0</v>
      </c>
      <c r="F9" s="71">
        <f>IFERROR(INDEX('Table 3 PV_.PX.WMV._.PTC.2032'!$L$10:$L$37,MATCH($A9,'Table 3 PV_.PX.WMV._.PTC.2032'!$B$10:$B$37,0),1),0)</f>
        <v>0</v>
      </c>
      <c r="G9" s="71">
        <f>IFERROR(INDEX('PV_.PX.WMV._.PTC.2036'!$L$10:$L$37,MATCH($A9,'PV_.PX.WMV._.PTC.2036'!$B$10:$B$37,0),1),0)</f>
        <v>0</v>
      </c>
      <c r="H9" s="71"/>
    </row>
    <row r="10" spans="1:8">
      <c r="A10" s="69">
        <f t="shared" si="0"/>
        <v>2028</v>
      </c>
      <c r="B10" s="71">
        <f>IFERROR(INDEX('WD_.PX.DJW._.PTC.2028'!$L$10:$L$37,MATCH($A10,'WD_.PX.DJW._.PTC.2028'!$B$10:$B$37,0),1),0)</f>
        <v>122.60687306314156</v>
      </c>
      <c r="C10" s="71">
        <f>IFERROR(INDEX('WD_.PX.DJW._.PTC.2029'!$L$10:$L$37,MATCH($A10,'WD_.PX.DJW._.PTC.2029'!$B$10:$B$37,0),1),0)</f>
        <v>0</v>
      </c>
      <c r="D10" s="71">
        <f>IFERROR(INDEX('WD_.PX.WMV._.PTC.2032'!$L$10:$L$36,MATCH($A10,'WD_.PX.WMV._.PTC.2032'!$B$10:$B$37,0),1),0)</f>
        <v>0</v>
      </c>
      <c r="E10" s="71">
        <f>IFERROR(INDEX('PV_.PX.YAK._.PTC.2032'!$L$10:$L$37,MATCH($A10,'PV_.PX.YAK._.PTC.2032'!$B$10:$B$37,0),1),0)</f>
        <v>0</v>
      </c>
      <c r="F10" s="71">
        <f>IFERROR(INDEX('Table 3 PV_.PX.WMV._.PTC.2032'!$L$10:$L$37,MATCH($A10,'Table 3 PV_.PX.WMV._.PTC.2032'!$B$10:$B$37,0),1),0)</f>
        <v>0</v>
      </c>
      <c r="G10" s="71">
        <f>IFERROR(INDEX('PV_.PX.WMV._.PTC.2036'!$L$10:$L$37,MATCH($A10,'PV_.PX.WMV._.PTC.2036'!$B$10:$B$37,0),1),0)</f>
        <v>0</v>
      </c>
      <c r="H10" s="71"/>
    </row>
    <row r="11" spans="1:8">
      <c r="A11" s="69">
        <f t="shared" si="0"/>
        <v>2029</v>
      </c>
      <c r="B11" s="71">
        <f>IFERROR(INDEX('WD_.PX.DJW._.PTC.2028'!$L$10:$L$37,MATCH($A11,'WD_.PX.DJW._.PTC.2028'!$B$10:$B$37,0),1),0)</f>
        <v>125.27970292599355</v>
      </c>
      <c r="C11" s="71">
        <f>IFERROR(INDEX('WD_.PX.DJW._.PTC.2029'!$L$10:$L$37,MATCH($A11,'WD_.PX.DJW._.PTC.2029'!$B$10:$B$37,0),1),0)</f>
        <v>123.30914837857404</v>
      </c>
      <c r="D11" s="71">
        <f>IFERROR(INDEX('WD_.PX.WMV._.PTC.2032'!$L$10:$L$36,MATCH($A11,'WD_.PX.WMV._.PTC.2032'!$B$10:$B$37,0),1),0)</f>
        <v>0</v>
      </c>
      <c r="E11" s="71">
        <f>IFERROR(INDEX('PV_.PX.YAK._.PTC.2032'!$L$10:$L$37,MATCH($A11,'PV_.PX.YAK._.PTC.2032'!$B$10:$B$37,0),1),0)</f>
        <v>0</v>
      </c>
      <c r="F11" s="71">
        <f>IFERROR(INDEX('Table 3 PV_.PX.WMV._.PTC.2032'!$L$10:$L$37,MATCH($A11,'Table 3 PV_.PX.WMV._.PTC.2032'!$B$10:$B$37,0),1),0)</f>
        <v>0</v>
      </c>
      <c r="G11" s="71">
        <f>IFERROR(INDEX('PV_.PX.WMV._.PTC.2036'!$L$10:$L$37,MATCH($A11,'PV_.PX.WMV._.PTC.2036'!$B$10:$B$37,0),1),0)</f>
        <v>0</v>
      </c>
      <c r="H11" s="71"/>
    </row>
    <row r="12" spans="1:8">
      <c r="A12" s="69">
        <f t="shared" si="0"/>
        <v>2030</v>
      </c>
      <c r="B12" s="71">
        <f>IFERROR(INDEX('WD_.PX.DJW._.PTC.2028'!$L$10:$L$37,MATCH($A12,'WD_.PX.DJW._.PTC.2028'!$B$10:$B$37,0),1),0)</f>
        <v>128.01080038380309</v>
      </c>
      <c r="C12" s="71">
        <f>IFERROR(INDEX('WD_.PX.DJW._.PTC.2029'!$L$10:$L$37,MATCH($A12,'WD_.PX.DJW._.PTC.2029'!$B$10:$B$37,0),1),0)</f>
        <v>125.99728774828759</v>
      </c>
      <c r="D12" s="71">
        <f>IFERROR(INDEX('WD_.PX.WMV._.PTC.2032'!$L$10:$L$36,MATCH($A12,'WD_.PX.WMV._.PTC.2032'!$B$10:$B$37,0),1),0)</f>
        <v>0</v>
      </c>
      <c r="E12" s="71">
        <f>IFERROR(INDEX('PV_.PX.YAK._.PTC.2032'!$L$10:$L$37,MATCH($A12,'PV_.PX.YAK._.PTC.2032'!$B$10:$B$37,0),1),0)</f>
        <v>0</v>
      </c>
      <c r="F12" s="71">
        <f>IFERROR(INDEX('Table 3 PV_.PX.WMV._.PTC.2032'!$L$10:$L$37,MATCH($A12,'Table 3 PV_.PX.WMV._.PTC.2032'!$B$10:$B$37,0),1),0)</f>
        <v>0</v>
      </c>
      <c r="G12" s="71">
        <f>IFERROR(INDEX('PV_.PX.WMV._.PTC.2036'!$L$10:$L$37,MATCH($A12,'PV_.PX.WMV._.PTC.2036'!$B$10:$B$37,0),1),0)</f>
        <v>0</v>
      </c>
      <c r="H12" s="71"/>
    </row>
    <row r="13" spans="1:8">
      <c r="A13" s="69">
        <f t="shared" si="0"/>
        <v>2031</v>
      </c>
      <c r="B13" s="71">
        <f>IFERROR(INDEX('WD_.PX.DJW._.PTC.2028'!$L$10:$L$37,MATCH($A13,'WD_.PX.DJW._.PTC.2028'!$B$10:$B$37,0),1),0)</f>
        <v>130.80143582771603</v>
      </c>
      <c r="C13" s="71">
        <f>IFERROR(INDEX('WD_.PX.DJW._.PTC.2029'!$L$10:$L$37,MATCH($A13,'WD_.PX.DJW._.PTC.2029'!$B$10:$B$37,0),1),0)</f>
        <v>128.74402861681637</v>
      </c>
      <c r="D13" s="71">
        <f>IFERROR(INDEX('WD_.PX.WMV._.PTC.2032'!$L$10:$L$36,MATCH($A13,'WD_.PX.WMV._.PTC.2032'!$B$10:$B$37,0),1),0)</f>
        <v>0</v>
      </c>
      <c r="E13" s="71">
        <f>IFERROR(INDEX('PV_.PX.YAK._.PTC.2032'!$L$10:$L$37,MATCH($A13,'PV_.PX.YAK._.PTC.2032'!$B$10:$B$37,0),1),0)</f>
        <v>0</v>
      </c>
      <c r="F13" s="71">
        <f>IFERROR(INDEX('Table 3 PV_.PX.WMV._.PTC.2032'!$L$10:$L$37,MATCH($A13,'Table 3 PV_.PX.WMV._.PTC.2032'!$B$10:$B$37,0),1),0)</f>
        <v>0</v>
      </c>
      <c r="G13" s="71">
        <f>IFERROR(INDEX('PV_.PX.WMV._.PTC.2036'!$L$10:$L$37,MATCH($A13,'PV_.PX.WMV._.PTC.2036'!$B$10:$B$37,0),1),0)</f>
        <v>0</v>
      </c>
      <c r="H13" s="71"/>
    </row>
    <row r="14" spans="1:8">
      <c r="A14" s="69">
        <f t="shared" si="0"/>
        <v>2032</v>
      </c>
      <c r="B14" s="71">
        <f>IFERROR(INDEX('WD_.PX.DJW._.PTC.2028'!$L$10:$L$37,MATCH($A14,'WD_.PX.DJW._.PTC.2028'!$B$10:$B$37,0),1),0)</f>
        <v>133.6529070924762</v>
      </c>
      <c r="C14" s="71">
        <f>IFERROR(INDEX('WD_.PX.DJW._.PTC.2029'!$L$10:$L$37,MATCH($A14,'WD_.PX.DJW._.PTC.2029'!$B$10:$B$37,0),1),0)</f>
        <v>131.55064840494967</v>
      </c>
      <c r="D14" s="71">
        <f>IFERROR(INDEX('WD_.PX.WMV._.PTC.2032'!$L$10:$L$36,MATCH($A14,'WD_.PX.WMV._.PTC.2032'!$B$10:$B$37,0),1),0)</f>
        <v>158.5684942399154</v>
      </c>
      <c r="E14" s="71">
        <f>IFERROR(INDEX('PV_.PX.YAK._.PTC.2032'!$L$10:$L$37,MATCH($A14,'PV_.PX.YAK._.PTC.2032'!$B$10:$B$37,0),1),0)</f>
        <v>100.32780800417204</v>
      </c>
      <c r="F14" s="71">
        <f>IFERROR(INDEX('Table 3 PV_.PX.WMV._.PTC.2032'!$L$10:$L$37,MATCH($A14,'Table 3 PV_.PX.WMV._.PTC.2032'!$B$10:$B$37,0),1),0)</f>
        <v>122.40853925633913</v>
      </c>
      <c r="G14" s="71">
        <f>IFERROR(INDEX('PV_.PX.WMV._.PTC.2036'!$L$10:$L$37,MATCH($A14,'PV_.PX.WMV._.PTC.2036'!$B$10:$B$37,0),1),0)</f>
        <v>0</v>
      </c>
      <c r="H14" s="71"/>
    </row>
    <row r="15" spans="1:8">
      <c r="A15" s="69">
        <f t="shared" si="0"/>
        <v>2033</v>
      </c>
      <c r="B15" s="71">
        <f>IFERROR(INDEX('WD_.PX.DJW._.PTC.2028'!$L$10:$L$37,MATCH($A15,'WD_.PX.DJW._.PTC.2028'!$B$10:$B$37,0),1),0)</f>
        <v>136.56654046868928</v>
      </c>
      <c r="C15" s="71">
        <f>IFERROR(INDEX('WD_.PX.DJW._.PTC.2029'!$L$10:$L$37,MATCH($A15,'WD_.PX.DJW._.PTC.2029'!$B$10:$B$37,0),1),0)</f>
        <v>134.41845254174956</v>
      </c>
      <c r="D15" s="71">
        <f>IFERROR(INDEX('WD_.PX.WMV._.PTC.2032'!$L$10:$L$36,MATCH($A15,'WD_.PX.WMV._.PTC.2032'!$B$10:$B$37,0),1),0)</f>
        <v>162.02528741624042</v>
      </c>
      <c r="E15" s="71">
        <f>IFERROR(INDEX('PV_.PX.YAK._.PTC.2032'!$L$10:$L$37,MATCH($A15,'PV_.PX.YAK._.PTC.2032'!$B$10:$B$37,0),1),0)</f>
        <v>102.51495421986186</v>
      </c>
      <c r="F15" s="71">
        <f>IFERROR(INDEX('Table 3 PV_.PX.WMV._.PTC.2032'!$L$10:$L$37,MATCH($A15,'Table 3 PV_.PX.WMV._.PTC.2032'!$B$10:$B$37,0),1),0)</f>
        <v>125.07704541359004</v>
      </c>
      <c r="G15" s="71">
        <f>IFERROR(INDEX('PV_.PX.WMV._.PTC.2036'!$L$10:$L$37,MATCH($A15,'PV_.PX.WMV._.PTC.2036'!$B$10:$B$37,0),1),0)</f>
        <v>0</v>
      </c>
      <c r="H15" s="71"/>
    </row>
    <row r="16" spans="1:8">
      <c r="A16" s="69">
        <f t="shared" si="0"/>
        <v>2034</v>
      </c>
      <c r="B16" s="71">
        <f>IFERROR(INDEX('WD_.PX.DJW._.PTC.2028'!$L$10:$L$37,MATCH($A16,'WD_.PX.DJW._.PTC.2028'!$B$10:$B$37,0),1),0)</f>
        <v>139.54369115271797</v>
      </c>
      <c r="C16" s="71">
        <f>IFERROR(INDEX('WD_.PX.DJW._.PTC.2029'!$L$10:$L$37,MATCH($A16,'WD_.PX.DJW._.PTC.2029'!$B$10:$B$37,0),1),0)</f>
        <v>137.34877490736955</v>
      </c>
      <c r="D16" s="71">
        <f>IFERROR(INDEX('WD_.PX.WMV._.PTC.2032'!$L$10:$L$36,MATCH($A16,'WD_.PX.WMV._.PTC.2032'!$B$10:$B$37,0),1),0)</f>
        <v>165.55743880270538</v>
      </c>
      <c r="E16" s="71">
        <f>IFERROR(INDEX('PV_.PX.YAK._.PTC.2032'!$L$10:$L$37,MATCH($A16,'PV_.PX.YAK._.PTC.2032'!$B$10:$B$37,0),1),0)</f>
        <v>104.74978029828043</v>
      </c>
      <c r="F16" s="71">
        <f>IFERROR(INDEX('Table 3 PV_.PX.WMV._.PTC.2032'!$L$10:$L$37,MATCH($A16,'Table 3 PV_.PX.WMV._.PTC.2032'!$B$10:$B$37,0),1),0)</f>
        <v>127.80372509685208</v>
      </c>
      <c r="G16" s="71">
        <f>IFERROR(INDEX('PV_.PX.WMV._.PTC.2036'!$L$10:$L$37,MATCH($A16,'PV_.PX.WMV._.PTC.2036'!$B$10:$B$37,0),1),0)</f>
        <v>0</v>
      </c>
      <c r="H16" s="71"/>
    </row>
    <row r="17" spans="1:8">
      <c r="A17" s="69">
        <f t="shared" si="0"/>
        <v>2035</v>
      </c>
      <c r="B17" s="71">
        <f>IFERROR(INDEX('WD_.PX.DJW._.PTC.2028'!$L$10:$L$37,MATCH($A17,'WD_.PX.DJW._.PTC.2028'!$B$10:$B$37,0),1),0)</f>
        <v>142.58574358410306</v>
      </c>
      <c r="C17" s="71">
        <f>IFERROR(INDEX('WD_.PX.DJW._.PTC.2029'!$L$10:$L$37,MATCH($A17,'WD_.PX.DJW._.PTC.2029'!$B$10:$B$37,0),1),0)</f>
        <v>140.34297816516823</v>
      </c>
      <c r="D17" s="71">
        <f>IFERROR(INDEX('WD_.PX.WMV._.PTC.2032'!$L$10:$L$36,MATCH($A17,'WD_.PX.WMV._.PTC.2032'!$B$10:$B$37,0),1),0)</f>
        <v>169.16659092619676</v>
      </c>
      <c r="E17" s="71">
        <f>IFERROR(INDEX('PV_.PX.YAK._.PTC.2032'!$L$10:$L$37,MATCH($A17,'PV_.PX.YAK._.PTC.2032'!$B$10:$B$37,0),1),0)</f>
        <v>107.03332548195127</v>
      </c>
      <c r="F17" s="71">
        <f>IFERROR(INDEX('Table 3 PV_.PX.WMV._.PTC.2032'!$L$10:$L$37,MATCH($A17,'Table 3 PV_.PX.WMV._.PTC.2032'!$B$10:$B$37,0),1),0)</f>
        <v>130.58984627122646</v>
      </c>
      <c r="G17" s="71">
        <f>IFERROR(INDEX('PV_.PX.WMV._.PTC.2036'!$L$10:$L$37,MATCH($A17,'PV_.PX.WMV._.PTC.2036'!$B$10:$B$37,0),1),0)</f>
        <v>0</v>
      </c>
      <c r="H17" s="71"/>
    </row>
    <row r="18" spans="1:8">
      <c r="A18" s="69">
        <f t="shared" si="0"/>
        <v>2036</v>
      </c>
      <c r="B18" s="71">
        <f>IFERROR(INDEX('WD_.PX.DJW._.PTC.2028'!$L$10:$L$37,MATCH($A18,'WD_.PX.DJW._.PTC.2028'!$B$10:$B$37,0),1),0)</f>
        <v>145.69411279524877</v>
      </c>
      <c r="C18" s="71">
        <f>IFERROR(INDEX('WD_.PX.DJW._.PTC.2029'!$L$10:$L$37,MATCH($A18,'WD_.PX.DJW._.PTC.2029'!$B$10:$B$37,0),1),0)</f>
        <v>143.40245509016526</v>
      </c>
      <c r="D18" s="71">
        <f>IFERROR(INDEX('WD_.PX.WMV._.PTC.2032'!$L$10:$L$36,MATCH($A18,'WD_.PX.WMV._.PTC.2032'!$B$10:$B$37,0),1),0)</f>
        <v>172.8544226095888</v>
      </c>
      <c r="E18" s="71">
        <f>IFERROR(INDEX('PV_.PX.YAK._.PTC.2032'!$L$10:$L$37,MATCH($A18,'PV_.PX.YAK._.PTC.2032'!$B$10:$B$37,0),1),0)</f>
        <v>109.36665197821765</v>
      </c>
      <c r="F18" s="71">
        <f>IFERROR(INDEX('Table 3 PV_.PX.WMV._.PTC.2032'!$L$10:$L$37,MATCH($A18,'Table 3 PV_.PX.WMV._.PTC.2032'!$B$10:$B$37,0),1),0)</f>
        <v>133.4367049208663</v>
      </c>
      <c r="G18" s="71">
        <f>IFERROR(INDEX('PV_.PX.WMV._.PTC.2036'!$L$10:$L$37,MATCH($A18,'PV_.PX.WMV._.PTC.2036'!$B$10:$B$37,0),1),0)</f>
        <v>167.09145087116482</v>
      </c>
      <c r="H18" s="71"/>
    </row>
    <row r="19" spans="1:8">
      <c r="A19" s="69">
        <f t="shared" si="0"/>
        <v>2037</v>
      </c>
      <c r="B19" s="71">
        <f>IFERROR(INDEX('WD_.PX.DJW._.PTC.2028'!$L$10:$L$37,MATCH($A19,'WD_.PX.DJW._.PTC.2028'!$B$10:$B$37,0),1),0)</f>
        <v>148.87024441142265</v>
      </c>
      <c r="C19" s="71">
        <f>IFERROR(INDEX('WD_.PX.DJW._.PTC.2029'!$L$10:$L$37,MATCH($A19,'WD_.PX.DJW._.PTC.2029'!$B$10:$B$37,0),1),0)</f>
        <v>146.52862856904096</v>
      </c>
      <c r="D19" s="71">
        <f>IFERROR(INDEX('WD_.PX.WMV._.PTC.2032'!$L$10:$L$36,MATCH($A19,'WD_.PX.WMV._.PTC.2032'!$B$10:$B$37,0),1),0)</f>
        <v>176.6226489717435</v>
      </c>
      <c r="E19" s="71">
        <f>IFERROR(INDEX('PV_.PX.YAK._.PTC.2032'!$L$10:$L$37,MATCH($A19,'PV_.PX.YAK._.PTC.2032'!$B$10:$B$37,0),1),0)</f>
        <v>111.7508449592427</v>
      </c>
      <c r="F19" s="71">
        <f>IFERROR(INDEX('Table 3 PV_.PX.WMV._.PTC.2032'!$L$10:$L$37,MATCH($A19,'Table 3 PV_.PX.WMV._.PTC.2032'!$B$10:$B$37,0),1),0)</f>
        <v>136.34562504897633</v>
      </c>
      <c r="G19" s="71">
        <f>IFERROR(INDEX('PV_.PX.WMV._.PTC.2036'!$L$10:$L$37,MATCH($A19,'PV_.PX.WMV._.PTC.2036'!$B$10:$B$37,0),1),0)</f>
        <v>170.73404445111339</v>
      </c>
      <c r="H19" s="71"/>
    </row>
    <row r="20" spans="1:8">
      <c r="A20" s="69">
        <f t="shared" si="0"/>
        <v>2038</v>
      </c>
      <c r="B20" s="71">
        <f>IFERROR(INDEX('WD_.PX.DJW._.PTC.2028'!$L$10:$L$37,MATCH($A20,'WD_.PX.DJW._.PTC.2028'!$B$10:$B$37,0),1),0)</f>
        <v>152.11561577549332</v>
      </c>
      <c r="C20" s="71">
        <f>IFERROR(INDEX('WD_.PX.DJW._.PTC.2029'!$L$10:$L$37,MATCH($A20,'WD_.PX.DJW._.PTC.2029'!$B$10:$B$37,0),1),0)</f>
        <v>149.72295270718297</v>
      </c>
      <c r="D20" s="71">
        <f>IFERROR(INDEX('WD_.PX.WMV._.PTC.2032'!$L$10:$L$36,MATCH($A20,'WD_.PX.WMV._.PTC.2032'!$B$10:$B$37,0),1),0)</f>
        <v>180.47302276192192</v>
      </c>
      <c r="E20" s="71">
        <f>IFERROR(INDEX('PV_.PX.YAK._.PTC.2032'!$L$10:$L$37,MATCH($A20,'PV_.PX.YAK._.PTC.2032'!$B$10:$B$37,0),1),0)</f>
        <v>114.1870134063041</v>
      </c>
      <c r="F20" s="71">
        <f>IFERROR(INDEX('Table 3 PV_.PX.WMV._.PTC.2032'!$L$10:$L$37,MATCH($A20,'Table 3 PV_.PX.WMV._.PTC.2032'!$B$10:$B$37,0),1),0)</f>
        <v>139.31795970792521</v>
      </c>
      <c r="G20" s="71">
        <f>IFERROR(INDEX('PV_.PX.WMV._.PTC.2036'!$L$10:$L$37,MATCH($A20,'PV_.PX.WMV._.PTC.2036'!$B$10:$B$37,0),1),0)</f>
        <v>174.45604666132198</v>
      </c>
      <c r="H20" s="71"/>
    </row>
    <row r="21" spans="1:8">
      <c r="A21" s="69">
        <f t="shared" si="0"/>
        <v>2039</v>
      </c>
      <c r="B21" s="71">
        <f>IFERROR(INDEX('WD_.PX.DJW._.PTC.2028'!$L$10:$L$37,MATCH($A21,'WD_.PX.DJW._.PTC.2028'!$B$10:$B$37,0),1),0)</f>
        <v>155.43173617287775</v>
      </c>
      <c r="C21" s="71">
        <f>IFERROR(INDEX('WD_.PX.DJW._.PTC.2029'!$L$10:$L$37,MATCH($A21,'WD_.PX.DJW._.PTC.2029'!$B$10:$B$37,0),1),0)</f>
        <v>152.98691305009541</v>
      </c>
      <c r="D21" s="71">
        <f>IFERROR(INDEX('WD_.PX.WMV._.PTC.2032'!$L$10:$L$36,MATCH($A21,'WD_.PX.WMV._.PTC.2032'!$B$10:$B$37,0),1),0)</f>
        <v>184.40733462666643</v>
      </c>
      <c r="E21" s="71">
        <f>IFERROR(INDEX('PV_.PX.YAK._.PTC.2032'!$L$10:$L$37,MATCH($A21,'PV_.PX.YAK._.PTC.2032'!$B$10:$B$37,0),1),0)</f>
        <v>116.67629027865306</v>
      </c>
      <c r="F21" s="71">
        <f>IFERROR(INDEX('Table 3 PV_.PX.WMV._.PTC.2032'!$L$10:$L$37,MATCH($A21,'Table 3 PV_.PX.WMV._.PTC.2032'!$B$10:$B$37,0),1),0)</f>
        <v>142.35509120526794</v>
      </c>
      <c r="G21" s="71">
        <f>IFERROR(INDEX('PV_.PX.WMV._.PTC.2036'!$L$10:$L$37,MATCH($A21,'PV_.PX.WMV._.PTC.2036'!$B$10:$B$37,0),1),0)</f>
        <v>178.25918844812242</v>
      </c>
      <c r="H21" s="71"/>
    </row>
    <row r="22" spans="1:8">
      <c r="A22" s="69">
        <f t="shared" si="0"/>
        <v>2040</v>
      </c>
      <c r="B22" s="71">
        <f>IFERROR(INDEX('WD_.PX.DJW._.PTC.2028'!$L$10:$L$37,MATCH($A22,'WD_.PX.DJW._.PTC.2028'!$B$10:$B$37,0),1),0)</f>
        <v>158.82014806875296</v>
      </c>
      <c r="C22" s="71">
        <f>IFERROR(INDEX('WD_.PX.DJW._.PTC.2029'!$L$10:$L$37,MATCH($A22,'WD_.PX.DJW._.PTC.2029'!$B$10:$B$37,0),1),0)</f>
        <v>156.32202780114989</v>
      </c>
      <c r="D22" s="71">
        <f>IFERROR(INDEX('WD_.PX.WMV._.PTC.2032'!$L$10:$L$36,MATCH($A22,'WD_.PX.WMV._.PTC.2032'!$B$10:$B$37,0),1),0)</f>
        <v>188.42741457765308</v>
      </c>
      <c r="E22" s="71">
        <f>IFERROR(INDEX('PV_.PX.YAK._.PTC.2032'!$L$10:$L$37,MATCH($A22,'PV_.PX.YAK._.PTC.2032'!$B$10:$B$37,0),1),0)</f>
        <v>119.21983344223874</v>
      </c>
      <c r="F22" s="71">
        <f>IFERROR(INDEX('Table 3 PV_.PX.WMV._.PTC.2032'!$L$10:$L$37,MATCH($A22,'Table 3 PV_.PX.WMV._.PTC.2032'!$B$10:$B$37,0),1),0)</f>
        <v>145.4584322368693</v>
      </c>
      <c r="G22" s="71">
        <f>IFERROR(INDEX('PV_.PX.WMV._.PTC.2036'!$L$10:$L$37,MATCH($A22,'PV_.PX.WMV._.PTC.2036'!$B$10:$B$37,0),1),0)</f>
        <v>182.14523881054561</v>
      </c>
      <c r="H22" s="71"/>
    </row>
    <row r="23" spans="1:8">
      <c r="A23" s="69">
        <f t="shared" si="0"/>
        <v>2041</v>
      </c>
      <c r="B23" s="71">
        <f>IFERROR(INDEX('WD_.PX.DJW._.PTC.2028'!$L$10:$L$37,MATCH($A23,'WD_.PX.DJW._.PTC.2028'!$B$10:$B$37,0),1),0)</f>
        <v>162.28242722052951</v>
      </c>
      <c r="C23" s="71">
        <f>IFERROR(INDEX('WD_.PX.DJW._.PTC.2029'!$L$10:$L$37,MATCH($A23,'WD_.PX.DJW._.PTC.2029'!$B$10:$B$37,0),1),0)</f>
        <v>159.72984793229006</v>
      </c>
      <c r="D23" s="71">
        <f>IFERROR(INDEX('WD_.PX.WMV._.PTC.2032'!$L$10:$L$36,MATCH($A23,'WD_.PX.WMV._.PTC.2032'!$B$10:$B$37,0),1),0)</f>
        <v>192.53513212513292</v>
      </c>
      <c r="E23" s="71">
        <f>IFERROR(INDEX('PV_.PX.YAK._.PTC.2032'!$L$10:$L$37,MATCH($A23,'PV_.PX.YAK._.PTC.2032'!$B$10:$B$37,0),1),0)</f>
        <v>121.81882575413766</v>
      </c>
      <c r="F23" s="71">
        <f>IFERROR(INDEX('Table 3 PV_.PX.WMV._.PTC.2032'!$L$10:$L$37,MATCH($A23,'Table 3 PV_.PX.WMV._.PTC.2032'!$B$10:$B$37,0),1),0)</f>
        <v>148.62942598991503</v>
      </c>
      <c r="G23" s="71">
        <f>IFERROR(INDEX('PV_.PX.WMV._.PTC.2036'!$L$10:$L$37,MATCH($A23,'PV_.PX.WMV._.PTC.2036'!$B$10:$B$37,0),1),0)</f>
        <v>186.11600492931359</v>
      </c>
      <c r="H23" s="71"/>
    </row>
    <row r="24" spans="1:8">
      <c r="A24" s="69">
        <f t="shared" si="0"/>
        <v>2042</v>
      </c>
      <c r="B24" s="71">
        <f>IFERROR(INDEX('WD_.PX.DJW._.PTC.2028'!$L$10:$L$37,MATCH($A24,'WD_.PX.DJW._.PTC.2028'!$B$10:$B$37,0),1),0)</f>
        <v>165.82018414001064</v>
      </c>
      <c r="C24" s="71">
        <f>IFERROR(INDEX('WD_.PX.DJW._.PTC.2029'!$L$10:$L$37,MATCH($A24,'WD_.PX.DJW._.PTC.2029'!$B$10:$B$37,0),1),0)</f>
        <v>163.21195862319203</v>
      </c>
      <c r="D24" s="71">
        <f>IFERROR(INDEX('WD_.PX.WMV._.PTC.2032'!$L$10:$L$36,MATCH($A24,'WD_.PX.WMV._.PTC.2032'!$B$10:$B$37,0),1),0)</f>
        <v>196.73239801266666</v>
      </c>
      <c r="E24" s="71">
        <f>IFERROR(INDEX('PV_.PX.YAK._.PTC.2032'!$L$10:$L$37,MATCH($A24,'PV_.PX.YAK._.PTC.2032'!$B$10:$B$37,0),1),0)</f>
        <v>124.47447616013706</v>
      </c>
      <c r="F24" s="71">
        <f>IFERROR(INDEX('Table 3 PV_.PX.WMV._.PTC.2032'!$L$10:$L$37,MATCH($A24,'Table 3 PV_.PX.WMV._.PTC.2032'!$B$10:$B$37,0),1),0)</f>
        <v>151.86954748205781</v>
      </c>
      <c r="G24" s="71">
        <f>IFERROR(INDEX('PV_.PX.WMV._.PTC.2036'!$L$10:$L$37,MATCH($A24,'PV_.PX.WMV._.PTC.2036'!$B$10:$B$37,0),1),0)</f>
        <v>190.17333384373819</v>
      </c>
      <c r="H24" s="71"/>
    </row>
    <row r="25" spans="1:8">
      <c r="A25" s="69">
        <f t="shared" si="0"/>
        <v>2043</v>
      </c>
      <c r="B25" s="71">
        <f>IFERROR(INDEX('WD_.PX.DJW._.PTC.2028'!$L$10:$L$37,MATCH($A25,'WD_.PX.DJW._.PTC.2028'!$B$10:$B$37,0),1),0)</f>
        <v>169.43506420586584</v>
      </c>
      <c r="C25" s="71">
        <f>IFERROR(INDEX('WD_.PX.DJW._.PTC.2029'!$L$10:$L$37,MATCH($A25,'WD_.PX.DJW._.PTC.2029'!$B$10:$B$37,0),1),0)</f>
        <v>166.7699793719689</v>
      </c>
      <c r="D25" s="71">
        <f>IFERROR(INDEX('WD_.PX.WMV._.PTC.2032'!$L$10:$L$36,MATCH($A25,'WD_.PX.WMV._.PTC.2032'!$B$10:$B$37,0),1),0)</f>
        <v>201.02116435056558</v>
      </c>
      <c r="E25" s="71">
        <f>IFERROR(INDEX('PV_.PX.YAK._.PTC.2032'!$L$10:$L$37,MATCH($A25,'PV_.PX.YAK._.PTC.2032'!$B$10:$B$37,0),1),0)</f>
        <v>127.18801977916431</v>
      </c>
      <c r="F25" s="71">
        <f>IFERROR(INDEX('Table 3 PV_.PX.WMV._.PTC.2032'!$L$10:$L$37,MATCH($A25,'Table 3 PV_.PX.WMV._.PTC.2032'!$B$10:$B$37,0),1),0)</f>
        <v>155.18030366442821</v>
      </c>
      <c r="G25" s="71">
        <f>IFERROR(INDEX('PV_.PX.WMV._.PTC.2036'!$L$10:$L$37,MATCH($A25,'PV_.PX.WMV._.PTC.2036'!$B$10:$B$37,0),1),0)</f>
        <v>194.31911258071329</v>
      </c>
      <c r="H25" s="71"/>
    </row>
    <row r="26" spans="1:8">
      <c r="A26" s="69">
        <f t="shared" si="0"/>
        <v>2044</v>
      </c>
      <c r="B26" s="71">
        <f>IFERROR(INDEX('WD_.PX.DJW._.PTC.2028'!$L$10:$L$37,MATCH($A26,'WD_.PX.DJW._.PTC.2028'!$B$10:$B$37,0),1),0)</f>
        <v>173.12874856342106</v>
      </c>
      <c r="C26" s="71">
        <f>IFERROR(INDEX('WD_.PX.DJW._.PTC.2029'!$L$10:$L$37,MATCH($A26,'WD_.PX.DJW._.PTC.2029'!$B$10:$B$37,0),1),0)</f>
        <v>170.40556488080787</v>
      </c>
      <c r="D26" s="71">
        <f>IFERROR(INDEX('WD_.PX.WMV._.PTC.2032'!$L$10:$L$36,MATCH($A26,'WD_.PX.WMV._.PTC.2032'!$B$10:$B$37,0),1),0)</f>
        <v>205.40342568342086</v>
      </c>
      <c r="E26" s="71">
        <f>IFERROR(INDEX('PV_.PX.YAK._.PTC.2032'!$L$10:$L$37,MATCH($A26,'PV_.PX.YAK._.PTC.2032'!$B$10:$B$37,0),1),0)</f>
        <v>129.9607185787228</v>
      </c>
      <c r="F26" s="71">
        <f>IFERROR(INDEX('Table 3 PV_.PX.WMV._.PTC.2032'!$L$10:$L$37,MATCH($A26,'Table 3 PV_.PX.WMV._.PTC.2032'!$B$10:$B$37,0),1),0)</f>
        <v>158.56323424572474</v>
      </c>
      <c r="G26" s="71">
        <f>IFERROR(INDEX('PV_.PX.WMV._.PTC.2036'!$L$10:$L$37,MATCH($A26,'PV_.PX.WMV._.PTC.2036'!$B$10:$B$37,0),1),0)</f>
        <v>198.55526918665237</v>
      </c>
      <c r="H26" s="71"/>
    </row>
    <row r="27" spans="1:8">
      <c r="A27" s="69">
        <f t="shared" si="0"/>
        <v>2045</v>
      </c>
      <c r="B27" s="71">
        <f>IFERROR(INDEX('WD_.PX.DJW._.PTC.2028'!$L$10:$L$37,MATCH($A27,'WD_.PX.DJW._.PTC.2028'!$B$10:$B$37,0),1),0)</f>
        <v>176.90295536187003</v>
      </c>
      <c r="C27" s="71">
        <f>IFERROR(INDEX('WD_.PX.DJW._.PTC.2029'!$L$10:$L$37,MATCH($A27,'WD_.PX.DJW._.PTC.2029'!$B$10:$B$37,0),1),0)</f>
        <v>174.12040627372122</v>
      </c>
      <c r="D27" s="71">
        <f>IFERROR(INDEX('WD_.PX.WMV._.PTC.2032'!$L$10:$L$36,MATCH($A27,'WD_.PX.WMV._.PTC.2032'!$B$10:$B$37,0),1),0)</f>
        <v>209.88122045795592</v>
      </c>
      <c r="E27" s="71">
        <f>IFERROR(INDEX('PV_.PX.YAK._.PTC.2032'!$L$10:$L$37,MATCH($A27,'PV_.PX.YAK._.PTC.2032'!$B$10:$B$37,0),1),0)</f>
        <v>132.79386230361635</v>
      </c>
      <c r="F27" s="71">
        <f>IFERROR(INDEX('Table 3 PV_.PX.WMV._.PTC.2032'!$L$10:$L$37,MATCH($A27,'Table 3 PV_.PX.WMV._.PTC.2032'!$B$10:$B$37,0),1),0)</f>
        <v>162.01991282533709</v>
      </c>
      <c r="G27" s="71">
        <f>IFERROR(INDEX('PV_.PX.WMV._.PTC.2036'!$L$10:$L$37,MATCH($A27,'PV_.PX.WMV._.PTC.2036'!$B$10:$B$37,0),1),0)</f>
        <v>202.88377414640269</v>
      </c>
      <c r="H27" s="71"/>
    </row>
    <row r="28" spans="1:8">
      <c r="A28" s="69">
        <f t="shared" ref="A28:A32" si="1">A27+1</f>
        <v>2046</v>
      </c>
      <c r="B28" s="71">
        <f>IFERROR(INDEX('WD_.PX.DJW._.PTC.2028'!$L$10:$L$37,MATCH($A28,'WD_.PX.DJW._.PTC.2028'!$B$10:$B$37,0),1),0)</f>
        <v>180.7594397542743</v>
      </c>
      <c r="C28" s="71">
        <f>IFERROR(INDEX('WD_.PX.DJW._.PTC.2029'!$L$10:$L$37,MATCH($A28,'WD_.PX.DJW._.PTC.2029'!$B$10:$B$37,0),1),0)</f>
        <v>177.91623109654628</v>
      </c>
      <c r="D28" s="71">
        <f>IFERROR(INDEX('WD_.PX.WMV._.PTC.2032'!$L$10:$L$36,MATCH($A28,'WD_.PX.WMV._.PTC.2032'!$B$10:$B$37,0),1),0)</f>
        <v>214.45663102302626</v>
      </c>
      <c r="E28" s="71">
        <f>IFERROR(INDEX('PV_.PX.YAK._.PTC.2032'!$L$10:$L$37,MATCH($A28,'PV_.PX.YAK._.PTC.2032'!$B$10:$B$37,0),1),0)</f>
        <v>135.68876847594913</v>
      </c>
      <c r="F28" s="71">
        <f>IFERROR(INDEX('Table 3 PV_.PX.WMV._.PTC.2032'!$L$10:$L$37,MATCH($A28,'Table 3 PV_.PX.WMV._.PTC.2032'!$B$10:$B$37,0),1),0)</f>
        <v>165.55194689334618</v>
      </c>
      <c r="G28" s="71">
        <f>IFERROR(INDEX('PV_.PX.WMV._.PTC.2036'!$L$10:$L$37,MATCH($A28,'PV_.PX.WMV._.PTC.2036'!$B$10:$B$37,0),1),0)</f>
        <v>207.30664038324522</v>
      </c>
      <c r="H28" s="71"/>
    </row>
    <row r="29" spans="1:8">
      <c r="A29" s="69">
        <f t="shared" si="1"/>
        <v>2047</v>
      </c>
      <c r="B29" s="71">
        <f>IFERROR(INDEX('WD_.PX.DJW._.PTC.2028'!$L$10:$L$37,MATCH($A29,'WD_.PX.DJW._.PTC.2028'!$B$10:$B$37,0),1),0)</f>
        <v>184.69999547219604</v>
      </c>
      <c r="C29" s="71">
        <f>IFERROR(INDEX('WD_.PX.DJW._.PTC.2029'!$L$10:$L$37,MATCH($A29,'WD_.PX.DJW._.PTC.2029'!$B$10:$B$37,0),1),0)</f>
        <v>181.79480486681047</v>
      </c>
      <c r="D29" s="71">
        <f>IFERROR(INDEX('WD_.PX.WMV._.PTC.2032'!$L$10:$L$36,MATCH($A29,'WD_.PX.WMV._.PTC.2032'!$B$10:$B$37,0),1),0)</f>
        <v>219.13178549779573</v>
      </c>
      <c r="E29" s="71">
        <f>IFERROR(INDEX('PV_.PX.YAK._.PTC.2032'!$L$10:$L$37,MATCH($A29,'PV_.PX.YAK._.PTC.2032'!$B$10:$B$37,0),1),0)</f>
        <v>138.64678357713839</v>
      </c>
      <c r="F29" s="71">
        <f>IFERROR(INDEX('Table 3 PV_.PX.WMV._.PTC.2032'!$L$10:$L$37,MATCH($A29,'Table 3 PV_.PX.WMV._.PTC.2032'!$B$10:$B$37,0),1),0)</f>
        <v>169.16097927268129</v>
      </c>
      <c r="G29" s="71">
        <f>IFERROR(INDEX('PV_.PX.WMV._.PTC.2036'!$L$10:$L$37,MATCH($A29,'PV_.PX.WMV._.PTC.2036'!$B$10:$B$37,0),1),0)</f>
        <v>211.82592506478574</v>
      </c>
      <c r="H29" s="71"/>
    </row>
    <row r="30" spans="1:8">
      <c r="A30" s="69">
        <f t="shared" si="1"/>
        <v>2048</v>
      </c>
      <c r="B30" s="71">
        <f>IFERROR(INDEX('WD_.PX.DJW._.PTC.2028'!$L$10:$L$37,MATCH($A30,'WD_.PX.DJW._.PTC.2028'!$B$10:$B$37,0),1),0)</f>
        <v>188.72645530327031</v>
      </c>
      <c r="C30" s="71">
        <f>IFERROR(INDEX('WD_.PX.DJW._.PTC.2029'!$L$10:$L$37,MATCH($A30,'WD_.PX.DJW._.PTC.2029'!$B$10:$B$37,0),1),0)</f>
        <v>185.75793154379184</v>
      </c>
      <c r="D30" s="71">
        <f>IFERROR(INDEX('WD_.PX.WMV._.PTC.2032'!$L$10:$L$36,MATCH($A30,'WD_.PX.WMV._.PTC.2032'!$B$10:$B$37,0),1),0)</f>
        <v>223.90885833833772</v>
      </c>
      <c r="E30" s="71">
        <f>IFERROR(INDEX('PV_.PX.YAK._.PTC.2032'!$L$10:$L$37,MATCH($A30,'PV_.PX.YAK._.PTC.2032'!$B$10:$B$37,0),1),0)</f>
        <v>141.66928340640899</v>
      </c>
      <c r="F30" s="71">
        <f>IFERROR(INDEX('Table 3 PV_.PX.WMV._.PTC.2032'!$L$10:$L$37,MATCH($A30,'Table 3 PV_.PX.WMV._.PTC.2032'!$B$10:$B$37,0),1),0)</f>
        <v>172.84868855651376</v>
      </c>
      <c r="G30" s="71">
        <f>IFERROR(INDEX('PV_.PX.WMV._.PTC.2036'!$L$10:$L$37,MATCH($A30,'PV_.PX.WMV._.PTC.2036'!$B$10:$B$37,0),1),0)</f>
        <v>216.44373015066566</v>
      </c>
      <c r="H30" s="71"/>
    </row>
    <row r="31" spans="1:8">
      <c r="A31" s="69">
        <f t="shared" si="1"/>
        <v>2049</v>
      </c>
      <c r="B31" s="71">
        <f>IFERROR(INDEX('WD_.PX.DJW._.PTC.2028'!$L$10:$L$37,MATCH($A31,'WD_.PX.DJW._.PTC.2028'!$B$10:$B$37,0),1),0)</f>
        <v>192.84069195713124</v>
      </c>
      <c r="C31" s="71">
        <f>IFERROR(INDEX('WD_.PX.DJW._.PTC.2029'!$L$10:$L$37,MATCH($A31,'WD_.PX.DJW._.PTC.2029'!$B$10:$B$37,0),1),0)</f>
        <v>189.80745438082474</v>
      </c>
      <c r="D31" s="71">
        <f>IFERROR(INDEX('WD_.PX.WMV._.PTC.2032'!$L$10:$L$36,MATCH($A31,'WD_.PX.WMV._.PTC.2032'!$B$10:$B$37,0),1),0)</f>
        <v>228.79007136498743</v>
      </c>
      <c r="E31" s="71">
        <f>IFERROR(INDEX('PV_.PX.YAK._.PTC.2032'!$L$10:$L$37,MATCH($A31,'PV_.PX.YAK._.PTC.2032'!$B$10:$B$37,0),1),0)</f>
        <v>144.75767373080862</v>
      </c>
      <c r="F31" s="71">
        <f>IFERROR(INDEX('Table 3 PV_.PX.WMV._.PTC.2032'!$L$10:$L$37,MATCH($A31,'Table 3 PV_.PX.WMV._.PTC.2032'!$B$10:$B$37,0),1),0)</f>
        <v>176.61678990133183</v>
      </c>
      <c r="G31" s="71">
        <f>IFERROR(INDEX('PV_.PX.WMV._.PTC.2036'!$L$10:$L$37,MATCH($A31,'PV_.PX.WMV._.PTC.2036'!$B$10:$B$37,0),1),0)</f>
        <v>221.1622033856622</v>
      </c>
      <c r="H31" s="71"/>
    </row>
    <row r="32" spans="1:8">
      <c r="A32" s="69">
        <f t="shared" si="1"/>
        <v>2050</v>
      </c>
      <c r="B32" s="71">
        <f>IFERROR(INDEX('WD_.PX.DJW._.PTC.2028'!$L$10:$L$37,MATCH($A32,'WD_.PX.DJW._.PTC.2028'!$B$10:$B$37,0),1),0)</f>
        <v>197.04461896848215</v>
      </c>
      <c r="C32" s="71">
        <f>IFERROR(INDEX('WD_.PX.DJW._.PTC.2029'!$L$10:$L$37,MATCH($A32,'WD_.PX.DJW._.PTC.2029'!$B$10:$B$37,0),1),0)</f>
        <v>193.94525681416536</v>
      </c>
      <c r="D32" s="71">
        <f>IFERROR(INDEX('WD_.PX.WMV._.PTC.2032'!$L$10:$L$36,MATCH($A32,'WD_.PX.WMV._.PTC.2032'!$B$10:$B$37,0),1),0)</f>
        <v>233.77769483376233</v>
      </c>
      <c r="E32" s="71">
        <f>IFERROR(INDEX('PV_.PX.YAK._.PTC.2032'!$L$10:$L$37,MATCH($A32,'PV_.PX.YAK._.PTC.2032'!$B$10:$B$37,0),1),0)</f>
        <v>147.91339096310597</v>
      </c>
      <c r="F32" s="71">
        <f>IFERROR(INDEX('Table 3 PV_.PX.WMV._.PTC.2032'!$L$10:$L$37,MATCH($A32,'Table 3 PV_.PX.WMV._.PTC.2032'!$B$10:$B$37,0),1),0)</f>
        <v>180.46703585403435</v>
      </c>
      <c r="G32" s="71">
        <f>IFERROR(INDEX('PV_.PX.WMV._.PTC.2036'!$L$10:$L$37,MATCH($A32,'PV_.PX.WMV._.PTC.2036'!$B$10:$B$37,0),1),0)</f>
        <v>225.98353933538777</v>
      </c>
      <c r="H32" s="71"/>
    </row>
    <row r="33" spans="1:8">
      <c r="A33" s="69"/>
      <c r="B33" s="184"/>
      <c r="C33" s="185"/>
      <c r="D33" s="185"/>
    </row>
    <row r="34" spans="1:8">
      <c r="A34" t="s">
        <v>286</v>
      </c>
    </row>
    <row r="35" spans="1:8" s="190" customFormat="1">
      <c r="A35" s="189" t="s">
        <v>9</v>
      </c>
      <c r="B35" s="197">
        <f>-PMT(Discount_Rate,COUNT(B10:B32),NPV(Discount_Rate,B10:B32))</f>
        <v>148.2466005063531</v>
      </c>
      <c r="C35" s="197">
        <f>-PMT(Discount_Rate,COUNT(C11:C32),NPV(Discount_Rate,C11:C32))</f>
        <v>148.08032935936293</v>
      </c>
      <c r="D35" s="197">
        <f>-PMT(Discount_Rate,COUNT(D14:D32),NPV(Discount_Rate,D14:D32))</f>
        <v>186.37693324404097</v>
      </c>
      <c r="E35" s="197">
        <f>-PMT(Discount_Rate,COUNT(E12:E32),NPV(Discount_Rate,E12:E32))</f>
        <v>99.053555260989341</v>
      </c>
      <c r="F35" s="197">
        <f>-PMT(Discount_Rate,COUNT(F14:F32),NPV(Discount_Rate,F14:F32))</f>
        <v>143.87554260912216</v>
      </c>
      <c r="G35" s="197">
        <f>-PMT(Discount_Rate,COUNT(G18:G32),NPV(Discount_Rate,G18:G32))</f>
        <v>190.40489714179685</v>
      </c>
      <c r="H35" s="197"/>
    </row>
    <row r="36" spans="1:8">
      <c r="A36" t="s">
        <v>32</v>
      </c>
      <c r="B36" s="180">
        <f>'WD_.PX.DJW._.PTC.2028'!$R$54</f>
        <v>403.03573570578232</v>
      </c>
      <c r="C36" s="180">
        <f>'WD_.PX.DJW._.PTC.2029'!$R$54</f>
        <v>210.59213080000001</v>
      </c>
      <c r="D36" s="180">
        <f>'WD_.PX.WMV._.PTC.2032'!$R$54</f>
        <v>451</v>
      </c>
      <c r="E36" s="180">
        <f>'PV_.PX.YAK._.PTC.2032'!$R$54</f>
        <v>1</v>
      </c>
      <c r="F36" s="180">
        <f>'Table 3 PV_.PX.WMV._.PTC.2032'!$R$54</f>
        <v>225.47842103047057</v>
      </c>
      <c r="G36" s="180">
        <f>'PV_.PX.WMV._.PTC.2036'!$R$54</f>
        <v>332.98893712037511</v>
      </c>
      <c r="H36" s="180"/>
    </row>
    <row r="37" spans="1:8" s="328" customFormat="1">
      <c r="B37" s="329"/>
      <c r="C37" s="329"/>
      <c r="D37" s="329"/>
      <c r="E37" s="329"/>
      <c r="F37" s="329"/>
      <c r="G37" s="329"/>
      <c r="H37" s="329"/>
    </row>
    <row r="38" spans="1:8">
      <c r="C38" t="s">
        <v>92</v>
      </c>
    </row>
    <row r="39" spans="1:8">
      <c r="A39" s="188" t="s">
        <v>280</v>
      </c>
      <c r="B39" s="161" t="s">
        <v>87</v>
      </c>
      <c r="C39" s="161" t="s">
        <v>9</v>
      </c>
      <c r="D39" s="161" t="s">
        <v>32</v>
      </c>
      <c r="E39" s="161" t="s">
        <v>290</v>
      </c>
      <c r="F39" s="161"/>
      <c r="G39" s="161"/>
      <c r="H39" s="161" t="s">
        <v>276</v>
      </c>
    </row>
    <row r="40" spans="1:8">
      <c r="B40" s="158"/>
      <c r="E40" s="177"/>
    </row>
    <row r="41" spans="1:8">
      <c r="A41" t="s">
        <v>279</v>
      </c>
      <c r="B41" s="158">
        <f>INDEX($B$3:$G$3,1,MATCH($A41,$B$5:$G$5,0))</f>
        <v>2032</v>
      </c>
      <c r="C41">
        <f>INDEX($B$35:$G$35,1,MATCH($A41,$B$5:$G$5,0))</f>
        <v>186.37693324404097</v>
      </c>
      <c r="D41">
        <f>INDEX($B$36:$G$36,1,MATCH($A41,$B$5:$G$5,0))</f>
        <v>451</v>
      </c>
      <c r="E41" s="177">
        <f>INDEX($37:$37,1,MATCH(A41,$5:$5,0))</f>
        <v>0</v>
      </c>
      <c r="H41" t="s">
        <v>157</v>
      </c>
    </row>
    <row r="42" spans="1:8">
      <c r="A42" t="s">
        <v>278</v>
      </c>
      <c r="B42" s="158">
        <f>INDEX($B$3:$G$3,1,MATCH($A42,$B$5:$G$5,0))</f>
        <v>2029</v>
      </c>
      <c r="C42">
        <f>INDEX($B$35:$G$35,1,MATCH($A42,$B$5:$G$5,0))</f>
        <v>148.08032935936293</v>
      </c>
      <c r="D42">
        <f>INDEX($B$36:$G$36,1,MATCH($A42,$B$5:$G$5,0))</f>
        <v>210.59213080000001</v>
      </c>
      <c r="E42" s="177">
        <f>INDEX($37:$37,1,MATCH(A42,$5:$5,0))</f>
        <v>0</v>
      </c>
      <c r="H42" t="s">
        <v>156</v>
      </c>
    </row>
    <row r="43" spans="1:8">
      <c r="A43" t="s">
        <v>277</v>
      </c>
      <c r="B43" s="158">
        <f>INDEX($B$3:$G$3,1,MATCH($A43,$B$5:$G$5,0))</f>
        <v>2028</v>
      </c>
      <c r="C43">
        <f>INDEX($B$35:$G$35,1,MATCH($A43,$B$5:$G$5,0))</f>
        <v>148.2466005063531</v>
      </c>
      <c r="D43">
        <f>INDEX($B$36:$G$36,1,MATCH($A43,$B$5:$G$5,0))</f>
        <v>403.03573570578232</v>
      </c>
      <c r="E43" s="177">
        <f>INDEX($37:$37,1,MATCH(A43,$5:$5,0))</f>
        <v>0</v>
      </c>
      <c r="H43" t="s">
        <v>156</v>
      </c>
    </row>
    <row r="44" spans="1:8">
      <c r="A44" s="182"/>
      <c r="B44" s="158"/>
      <c r="E44" s="177"/>
    </row>
    <row r="45" spans="1:8" hidden="1">
      <c r="A45" s="182"/>
      <c r="B45" s="158"/>
      <c r="D45" s="183"/>
      <c r="E45" s="177"/>
    </row>
    <row r="46" spans="1:8" hidden="1">
      <c r="A46" s="182"/>
      <c r="B46" s="158"/>
      <c r="D46" s="183"/>
      <c r="E46" s="177"/>
    </row>
    <row r="47" spans="1:8" hidden="1">
      <c r="A47" s="182"/>
      <c r="B47" s="158"/>
      <c r="D47" s="183"/>
      <c r="E47" s="177"/>
    </row>
    <row r="48" spans="1:8" hidden="1">
      <c r="A48" s="182"/>
      <c r="B48" s="158"/>
      <c r="D48" s="183"/>
      <c r="E48" s="177"/>
    </row>
    <row r="49" spans="1:8" hidden="1">
      <c r="A49" s="182"/>
      <c r="B49" s="158"/>
      <c r="D49" s="183"/>
      <c r="E49" s="177"/>
    </row>
    <row r="50" spans="1:8" hidden="1">
      <c r="A50" s="182"/>
      <c r="B50" s="158"/>
      <c r="D50" s="183"/>
      <c r="E50" s="177"/>
    </row>
    <row r="51" spans="1:8" hidden="1">
      <c r="B51" s="158"/>
      <c r="D51" s="183"/>
      <c r="E51" s="177"/>
    </row>
    <row r="52" spans="1:8" hidden="1">
      <c r="B52" s="158"/>
    </row>
    <row r="53" spans="1:8">
      <c r="B53" s="158"/>
    </row>
    <row r="54" spans="1:8">
      <c r="A54" s="187" t="s">
        <v>281</v>
      </c>
      <c r="B54" s="56" t="s">
        <v>87</v>
      </c>
      <c r="C54" s="161" t="s">
        <v>9</v>
      </c>
      <c r="D54" s="161" t="s">
        <v>32</v>
      </c>
      <c r="E54" s="161" t="s">
        <v>290</v>
      </c>
      <c r="F54" s="161"/>
      <c r="G54" s="161"/>
      <c r="H54" s="161" t="s">
        <v>276</v>
      </c>
    </row>
    <row r="55" spans="1:8">
      <c r="B55" s="158"/>
      <c r="E55" s="177"/>
    </row>
    <row r="56" spans="1:8">
      <c r="A56" t="s">
        <v>275</v>
      </c>
      <c r="B56" s="158">
        <f>INDEX($B$3:$H$3,1,MATCH($A56,$B$5:$H$5,0))</f>
        <v>2036</v>
      </c>
      <c r="C56">
        <f>INDEX($B$35:$H$35,1,MATCH($A56,$B$5:$H$5,0))</f>
        <v>190.40489714179685</v>
      </c>
      <c r="D56">
        <f>INDEX($B$36:$H$36,1,MATCH($A56,$B$5:$H$5,0))</f>
        <v>332.98893712037511</v>
      </c>
      <c r="E56" s="177">
        <f>INDEX($37:$37,1,MATCH(A56,$5:$5,0))</f>
        <v>0</v>
      </c>
      <c r="H56" t="s">
        <v>151</v>
      </c>
    </row>
    <row r="57" spans="1:8">
      <c r="A57" t="s">
        <v>274</v>
      </c>
      <c r="B57" s="158">
        <f>INDEX($B$3:$H$3,1,MATCH($A57,$B$5:$H$5,0))</f>
        <v>2032</v>
      </c>
      <c r="C57">
        <f>INDEX($B$35:$H$35,1,MATCH($A57,$B$5:$H$5,0))</f>
        <v>143.87554260912216</v>
      </c>
      <c r="D57">
        <f>INDEX($B$36:$H$36,1,MATCH($A57,$B$5:$H$5,0))</f>
        <v>225.47842103047057</v>
      </c>
      <c r="E57" s="177">
        <f>INDEX($37:$37,1,MATCH(A57,$5:$5,0))</f>
        <v>0</v>
      </c>
      <c r="H57" t="s">
        <v>151</v>
      </c>
    </row>
    <row r="58" spans="1:8">
      <c r="A58" t="s">
        <v>294</v>
      </c>
      <c r="B58" s="158">
        <f>INDEX($B$3:$H$3,1,MATCH($A58,$B$5:$H$5,0))</f>
        <v>2032</v>
      </c>
      <c r="C58">
        <f>INDEX($B$35:$H$35,1,MATCH($A58,$B$5:$H$5,0))</f>
        <v>99.053555260989341</v>
      </c>
      <c r="D58">
        <f>INDEX($B$36:$H$36,1,MATCH($A58,$B$5:$H$5,0))</f>
        <v>1</v>
      </c>
      <c r="E58" s="177">
        <f>INDEX($37:$37,1,MATCH(A58,$5:$5,0))</f>
        <v>0</v>
      </c>
      <c r="H58" t="s">
        <v>152</v>
      </c>
    </row>
    <row r="59" spans="1:8">
      <c r="B59" s="158"/>
      <c r="E59" s="177"/>
    </row>
    <row r="60" spans="1:8">
      <c r="B60" s="158"/>
      <c r="E60" s="177"/>
    </row>
    <row r="61" spans="1:8">
      <c r="B61" s="158"/>
      <c r="E61" s="177"/>
    </row>
    <row r="62" spans="1:8">
      <c r="B62" s="158"/>
      <c r="E62" s="177"/>
    </row>
  </sheetData>
  <sortState xmlns:xlrd2="http://schemas.microsoft.com/office/spreadsheetml/2017/richdata2" ref="A55:V58">
    <sortCondition descending="1" ref="F55:F58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zoomScale="70" zoomScaleNormal="70" workbookViewId="0">
      <selection activeCell="J42" sqref="J42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4.164062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/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/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/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>
        <f>C50</f>
        <v>0</v>
      </c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Assumptions'!$E$275:$E$298,'WD_.PX.DJW._.PTC.2028'!$B11-2023,1)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Assumptions'!$E$275:$E$298,'WD_.PX.DJW._.PTC.2028'!$B12-2023,1)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Assumptions'!$E$275:$E$298,'WD_.PX.DJW._.PTC.2028'!$B13-2023,1)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248">
        <f>C14*$C$60</f>
        <v>88.105426226591561</v>
      </c>
      <c r="E14" s="71" cm="1">
        <f t="array" ref="E14">$E$10*INDEX('2025 IRP Assumptions'!$E$275:$E$298,'WD_.PX.DJW._.PTC.2028'!$B14-2023,1)</f>
        <v>34.501446836549995</v>
      </c>
      <c r="F14" s="282"/>
      <c r="G14" s="72">
        <f t="shared" ref="G14" si="1">(D14+E14+F14)/(8.76*$C$61)</f>
        <v>33.930554897158096</v>
      </c>
      <c r="H14" s="71"/>
      <c r="I14" s="71">
        <f>-INDEX('2025 IRP Assumptions'!$E$243:$E$272,MATCH(B14,'2025 IRP Assumptions'!$S$243:$S$272,0),1)*1.1</f>
        <v>-46.673000000000002</v>
      </c>
      <c r="J14" s="72">
        <f t="shared" ref="J14" si="2">(G14+H14+I14)</f>
        <v>-12.742445102841906</v>
      </c>
      <c r="K14" s="72">
        <f t="shared" ref="K14" si="3">ROUND(J14*$C$61*8.76,2)</f>
        <v>-46.04</v>
      </c>
      <c r="L14" s="71">
        <f t="shared" ref="L14" si="4">(D14+E14+F14)</f>
        <v>122.60687306314156</v>
      </c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/>
      <c r="D15" s="71" cm="1">
        <f t="array" ref="D15">D14*INDEX('2025 IRP Assumptions'!$E$275:$E$298,'WD_.PX.DJW._.PTC.2028'!$B15-2023,1)/INDEX('2025 IRP Assumptions'!$E$275:$E$298,'WD_.PX.DJW._.PTC.2028'!$B15-2023-1,1)</f>
        <v>90.026124539943538</v>
      </c>
      <c r="E15" s="71" cm="1">
        <f t="array" ref="E15">$E$10*INDEX('2025 IRP Assumptions'!$E$275:$E$298,'WD_.PX.DJW._.PTC.2028'!$B15-2023,1)</f>
        <v>35.253578386050002</v>
      </c>
      <c r="F15" s="71"/>
      <c r="G15" s="72">
        <f t="shared" ref="G15:G31" si="5">(D15+E15+F15)/(8.76*$C$61)</f>
        <v>34.670241002239322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1" si="6">(G15+H15+I15)</f>
        <v>-12.002758997760679</v>
      </c>
      <c r="K15" s="72">
        <f t="shared" ref="K15:K31" si="7">ROUND(J15*$C$61*8.76,2)</f>
        <v>-43.37</v>
      </c>
      <c r="L15" s="71">
        <f t="shared" ref="L15:L31" si="8">(D15+E15+F15)</f>
        <v>125.27970292599355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Assumptions'!$E$275:$E$298,'WD_.PX.DJW._.PTC.2028'!$B16-2023,1)/INDEX('2025 IRP Assumptions'!$E$275:$E$298,'WD_.PX.DJW._.PTC.2028'!$B16-2023-1,1)</f>
        <v>91.988694007503085</v>
      </c>
      <c r="E16" s="71" cm="1">
        <f t="array" ref="E16">$E$10*INDEX('2025 IRP Assumptions'!$E$275:$E$298,'WD_.PX.DJW._.PTC.2028'!$B16-2023,1)</f>
        <v>36.022106376299995</v>
      </c>
      <c r="F16" s="71"/>
      <c r="G16" s="72">
        <f t="shared" si="5"/>
        <v>35.426052237829452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6"/>
        <v>-12.70994776217055</v>
      </c>
      <c r="K16" s="72">
        <f t="shared" si="7"/>
        <v>-45.93</v>
      </c>
      <c r="L16" s="71">
        <f t="shared" si="8"/>
        <v>128.01080038380309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Assumptions'!$E$275:$E$298,'WD_.PX.DJW._.PTC.2028'!$B17-2023,1)/INDEX('2025 IRP Assumptions'!$E$275:$E$298,'WD_.PX.DJW._.PTC.2028'!$B17-2023-1,1)</f>
        <v>93.994047533666034</v>
      </c>
      <c r="E17" s="71" cm="1">
        <f t="array" ref="E17">$E$10*INDEX('2025 IRP Assumptions'!$E$275:$E$298,'WD_.PX.DJW._.PTC.2028'!$B17-2023,1)</f>
        <v>36.80738829405</v>
      </c>
      <c r="F17" s="71"/>
      <c r="G17" s="72">
        <f t="shared" si="5"/>
        <v>36.198340175381531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6"/>
        <v>-13.389659824618469</v>
      </c>
      <c r="K17" s="72">
        <f t="shared" si="7"/>
        <v>-48.38</v>
      </c>
      <c r="L17" s="71">
        <f t="shared" si="8"/>
        <v>130.80143582771603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Assumptions'!$E$275:$E$298,'WD_.PX.DJW._.PTC.2028'!$B18-2023,1)/INDEX('2025 IRP Assumptions'!$E$275:$E$298,'WD_.PX.DJW._.PTC.2028'!$B18-2023-1,1)</f>
        <v>96.043117743826201</v>
      </c>
      <c r="E18" s="71" cm="1">
        <f t="array" ref="E18">$E$10*INDEX('2025 IRP Assumptions'!$E$275:$E$298,'WD_.PX.DJW._.PTC.2028'!$B18-2023,1)</f>
        <v>37.609789348650004</v>
      </c>
      <c r="F18" s="71"/>
      <c r="G18" s="72">
        <f t="shared" si="5"/>
        <v>36.987463981163508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6"/>
        <v>-12.600536018836493</v>
      </c>
      <c r="K18" s="72">
        <f t="shared" si="7"/>
        <v>-45.53</v>
      </c>
      <c r="L18" s="71">
        <f t="shared" si="8"/>
        <v>133.6529070924762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Assumptions'!$E$275:$E$298,'WD_.PX.DJW._.PTC.2028'!$B19-2023,1)/INDEX('2025 IRP Assumptions'!$E$275:$E$298,'WD_.PX.DJW._.PTC.2028'!$B19-2023-1,1)</f>
        <v>98.13685771178929</v>
      </c>
      <c r="E19" s="71" cm="1">
        <f t="array" ref="E19">$E$10*INDEX('2025 IRP Assumptions'!$E$275:$E$298,'WD_.PX.DJW._.PTC.2028'!$B19-2023,1)</f>
        <v>38.429682756899993</v>
      </c>
      <c r="F19" s="71"/>
      <c r="G19" s="72">
        <f t="shared" si="5"/>
        <v>37.793790696394858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6"/>
        <v>-13.257209303605144</v>
      </c>
      <c r="K19" s="72">
        <f t="shared" si="7"/>
        <v>-47.9</v>
      </c>
      <c r="L19" s="71">
        <f t="shared" si="8"/>
        <v>136.56654046868928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Assumptions'!$E$275:$E$298,'WD_.PX.DJW._.PTC.2028'!$B20-2023,1)/INDEX('2025 IRP Assumptions'!$E$275:$E$298,'WD_.PX.DJW._.PTC.2028'!$B20-2023-1,1)</f>
        <v>100.27624128306798</v>
      </c>
      <c r="E20" s="71" cm="1">
        <f t="array" ref="E20">$E$10*INDEX('2025 IRP Assumptions'!$E$275:$E$298,'WD_.PX.DJW._.PTC.2028'!$B20-2023,1)</f>
        <v>39.267449869649994</v>
      </c>
      <c r="F20" s="71"/>
      <c r="G20" s="72">
        <f t="shared" si="5"/>
        <v>38.617695361751785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6"/>
        <v>-13.896304638248218</v>
      </c>
      <c r="K20" s="72">
        <f t="shared" si="7"/>
        <v>-50.21</v>
      </c>
      <c r="L20" s="71">
        <f t="shared" si="8"/>
        <v>139.54369115271797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Assumptions'!$E$275:$E$298,'WD_.PX.DJW._.PTC.2028'!$B21-2023,1)/INDEX('2025 IRP Assumptions'!$E$275:$E$298,'WD_.PX.DJW._.PTC.2028'!$B21-2023-1,1)</f>
        <v>102.46226331735306</v>
      </c>
      <c r="E21" s="71" cm="1">
        <f t="array" ref="E21">$E$10*INDEX('2025 IRP Assumptions'!$E$275:$E$298,'WD_.PX.DJW._.PTC.2028'!$B21-2023,1)</f>
        <v>40.123480266749993</v>
      </c>
      <c r="F21" s="71"/>
      <c r="G21" s="72">
        <f t="shared" si="5"/>
        <v>39.459561110746037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6"/>
        <v>-13.054438889253966</v>
      </c>
      <c r="K21" s="72">
        <f t="shared" si="7"/>
        <v>-47.17</v>
      </c>
      <c r="L21" s="71">
        <f t="shared" si="8"/>
        <v>142.58574358410306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Assumptions'!$E$275:$E$298,'WD_.PX.DJW._.PTC.2028'!$B22-2023,1)/INDEX('2025 IRP Assumptions'!$E$275:$E$298,'WD_.PX.DJW._.PTC.2028'!$B22-2023-1,1)</f>
        <v>104.69594065839877</v>
      </c>
      <c r="E22" s="71" cm="1">
        <f t="array" ref="E22">$E$10*INDEX('2025 IRP Assumptions'!$E$275:$E$298,'WD_.PX.DJW._.PTC.2028'!$B22-2023,1)</f>
        <v>40.998172136849995</v>
      </c>
      <c r="F22" s="71"/>
      <c r="G22" s="72">
        <f t="shared" si="5"/>
        <v>40.319779543240443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6"/>
        <v>-13.646220456759565</v>
      </c>
      <c r="K22" s="72">
        <f t="shared" si="7"/>
        <v>-49.31</v>
      </c>
      <c r="L22" s="71">
        <f t="shared" si="8"/>
        <v>145.69411279524877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Assumptions'!$E$275:$E$298,'WD_.PX.DJW._.PTC.2028'!$B23-2023,1)/INDEX('2025 IRP Assumptions'!$E$275:$E$298,'WD_.PX.DJW._.PTC.2028'!$B23-2023-1,1)</f>
        <v>106.97831213402266</v>
      </c>
      <c r="E23" s="71" cm="1">
        <f t="array" ref="E23">$E$10*INDEX('2025 IRP Assumptions'!$E$275:$E$298,'WD_.PX.DJW._.PTC.2028'!$B23-2023,1)</f>
        <v>41.891932277399995</v>
      </c>
      <c r="F23" s="71"/>
      <c r="G23" s="72">
        <f t="shared" si="5"/>
        <v>41.198750725448861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6"/>
        <v>-14.230249274551142</v>
      </c>
      <c r="K23" s="72">
        <f t="shared" si="7"/>
        <v>-51.42</v>
      </c>
      <c r="L23" s="71">
        <f t="shared" si="8"/>
        <v>148.87024441142265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Assumptions'!$E$275:$E$298,'WD_.PX.DJW._.PTC.2028'!$B24-2023,1)/INDEX('2025 IRP Assumptions'!$E$275:$E$298,'WD_.PX.DJW._.PTC.2028'!$B24-2023-1,1)</f>
        <v>109.31043936434331</v>
      </c>
      <c r="E24" s="71" cm="1">
        <f t="array" ref="E24">$E$10*INDEX('2025 IRP Assumptions'!$E$275:$E$298,'WD_.PX.DJW._.PTC.2028'!$B24-2023,1)</f>
        <v>42.805176411150001</v>
      </c>
      <c r="F24" s="71"/>
      <c r="G24" s="72">
        <f t="shared" si="5"/>
        <v>42.096883501199166</v>
      </c>
      <c r="H24" s="71"/>
      <c r="I24" s="71"/>
      <c r="J24" s="72">
        <f t="shared" si="6"/>
        <v>42.096883501199166</v>
      </c>
      <c r="K24" s="72">
        <f t="shared" si="7"/>
        <v>152.12</v>
      </c>
      <c r="L24" s="71">
        <f t="shared" si="8"/>
        <v>152.11561577549332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Assumptions'!$E$275:$E$298,'WD_.PX.DJW._.PTC.2028'!$B25-2023,1)/INDEX('2025 IRP Assumptions'!$E$275:$E$298,'WD_.PX.DJW._.PTC.2028'!$B25-2023-1,1)</f>
        <v>111.69340692342774</v>
      </c>
      <c r="E25" s="71" cm="1">
        <f t="array" ref="E25">$E$10*INDEX('2025 IRP Assumptions'!$E$275:$E$298,'WD_.PX.DJW._.PTC.2028'!$B25-2023,1)</f>
        <v>43.738329249449997</v>
      </c>
      <c r="F25" s="71"/>
      <c r="G25" s="72">
        <f t="shared" si="5"/>
        <v>43.014595554185725</v>
      </c>
      <c r="H25" s="71"/>
      <c r="I25" s="71"/>
      <c r="J25" s="72">
        <f t="shared" si="6"/>
        <v>43.014595554185725</v>
      </c>
      <c r="K25" s="72">
        <f t="shared" si="7"/>
        <v>155.43</v>
      </c>
      <c r="L25" s="71">
        <f t="shared" si="8"/>
        <v>155.43173617287775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Assumptions'!$E$275:$E$298,'WD_.PX.DJW._.PTC.2028'!$B26-2023,1)/INDEX('2025 IRP Assumptions'!$E$275:$E$298,'WD_.PX.DJW._.PTC.2028'!$B26-2023-1,1)</f>
        <v>114.12832322835295</v>
      </c>
      <c r="E26" s="71" cm="1">
        <f t="array" ref="E26">$E$10*INDEX('2025 IRP Assumptions'!$E$275:$E$298,'WD_.PX.DJW._.PTC.2028'!$B26-2023,1)</f>
        <v>44.691824840399995</v>
      </c>
      <c r="F26" s="71"/>
      <c r="G26" s="72">
        <f t="shared" si="5"/>
        <v>43.952313750358698</v>
      </c>
      <c r="H26" s="71"/>
      <c r="I26" s="71"/>
      <c r="J26" s="72">
        <f t="shared" si="6"/>
        <v>43.952313750358698</v>
      </c>
      <c r="K26" s="72">
        <f t="shared" si="7"/>
        <v>158.82</v>
      </c>
      <c r="L26" s="71">
        <f t="shared" si="8"/>
        <v>158.82014806875296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Assumptions'!$E$275:$E$298,'WD_.PX.DJW._.PTC.2028'!$B27-2023,1)/INDEX('2025 IRP Assumptions'!$E$275:$E$298,'WD_.PX.DJW._.PTC.2028'!$B27-2023-1,1)</f>
        <v>116.61632062002953</v>
      </c>
      <c r="E27" s="71" cm="1">
        <f t="array" ref="E27">$E$10*INDEX('2025 IRP Assumptions'!$E$275:$E$298,'WD_.PX.DJW._.PTC.2028'!$B27-2023,1)</f>
        <v>45.666106600499994</v>
      </c>
      <c r="F27" s="71"/>
      <c r="G27" s="72">
        <f t="shared" si="5"/>
        <v>44.910474169050239</v>
      </c>
      <c r="H27" s="71"/>
      <c r="I27" s="71"/>
      <c r="J27" s="72">
        <f t="shared" si="6"/>
        <v>44.910474169050239</v>
      </c>
      <c r="K27" s="72">
        <f t="shared" si="7"/>
        <v>162.28</v>
      </c>
      <c r="L27" s="71">
        <f t="shared" si="8"/>
        <v>162.28242722052951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Assumptions'!$E$275:$E$298,'WD_.PX.DJW._.PTC.2028'!$B28-2023,1)/INDEX('2025 IRP Assumptions'!$E$275:$E$298,'WD_.PX.DJW._.PTC.2028'!$B28-2023-1,1)</f>
        <v>119.15855641391065</v>
      </c>
      <c r="E28" s="71" cm="1">
        <f t="array" ref="E28">$E$10*INDEX('2025 IRP Assumptions'!$E$275:$E$298,'WD_.PX.DJW._.PTC.2028'!$B28-2023,1)</f>
        <v>46.661627726100001</v>
      </c>
      <c r="F28" s="71"/>
      <c r="G28" s="72">
        <f t="shared" si="5"/>
        <v>45.889522507616348</v>
      </c>
      <c r="H28" s="71"/>
      <c r="I28" s="71"/>
      <c r="J28" s="72">
        <f t="shared" si="6"/>
        <v>45.889522507616348</v>
      </c>
      <c r="K28" s="72">
        <f t="shared" si="7"/>
        <v>165.82</v>
      </c>
      <c r="L28" s="71">
        <f t="shared" si="8"/>
        <v>165.82018414001064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Assumptions'!$E$275:$E$298,'WD_.PX.DJW._.PTC.2028'!$B29-2023,1)/INDEX('2025 IRP Assumptions'!$E$275:$E$298,'WD_.PX.DJW._.PTC.2028'!$B29-2023-1,1)</f>
        <v>121.75621298081585</v>
      </c>
      <c r="E29" s="71" cm="1">
        <f t="array" ref="E29">$E$10*INDEX('2025 IRP Assumptions'!$E$275:$E$298,'WD_.PX.DJW._.PTC.2028'!$B29-2023,1)</f>
        <v>47.678851225049996</v>
      </c>
      <c r="F29" s="71"/>
      <c r="G29" s="72">
        <f t="shared" si="5"/>
        <v>46.889914112563133</v>
      </c>
      <c r="H29" s="71"/>
      <c r="I29" s="71"/>
      <c r="J29" s="72">
        <f t="shared" si="6"/>
        <v>46.889914112563133</v>
      </c>
      <c r="K29" s="72">
        <f t="shared" si="7"/>
        <v>169.44</v>
      </c>
      <c r="L29" s="71">
        <f t="shared" si="8"/>
        <v>169.43506420586584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Assumptions'!$E$275:$E$298,'WD_.PX.DJW._.PTC.2028'!$B30-2023,1)/INDEX('2025 IRP Assumptions'!$E$275:$E$298,'WD_.PX.DJW._.PTC.2028'!$B30-2023-1,1)</f>
        <v>124.41049839352105</v>
      </c>
      <c r="E30" s="71" cm="1">
        <f t="array" ref="E30">$E$10*INDEX('2025 IRP Assumptions'!$E$275:$E$298,'WD_.PX.DJW._.PTC.2028'!$B30-2023,1)</f>
        <v>48.718250169900003</v>
      </c>
      <c r="F30" s="71"/>
      <c r="G30" s="72">
        <f t="shared" si="5"/>
        <v>47.912114228557101</v>
      </c>
      <c r="H30" s="71"/>
      <c r="I30" s="71"/>
      <c r="J30" s="72">
        <f t="shared" si="6"/>
        <v>47.912114228557101</v>
      </c>
      <c r="K30" s="72">
        <f t="shared" si="7"/>
        <v>173.13</v>
      </c>
      <c r="L30" s="71">
        <f t="shared" si="8"/>
        <v>173.12874856342106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Assumptions'!$E$275:$E$298,'WD_.PX.DJW._.PTC.2028'!$B31-2023,1)/INDEX('2025 IRP Assumptions'!$E$275:$E$298,'WD_.PX.DJW._.PTC.2028'!$B31-2023-1,1)</f>
        <v>127.12264731582002</v>
      </c>
      <c r="E31" s="71" cm="1">
        <f t="array" ref="E31">$E$10*INDEX('2025 IRP Assumptions'!$E$275:$E$298,'WD_.PX.DJW._.PTC.2028'!$B31-2023,1)</f>
        <v>49.780308046050003</v>
      </c>
      <c r="F31" s="71"/>
      <c r="G31" s="72">
        <f t="shared" si="5"/>
        <v>48.956598340814416</v>
      </c>
      <c r="H31" s="71"/>
      <c r="I31" s="71"/>
      <c r="J31" s="72">
        <f t="shared" si="6"/>
        <v>48.956598340814416</v>
      </c>
      <c r="K31" s="72">
        <f t="shared" si="7"/>
        <v>176.9</v>
      </c>
      <c r="L31" s="71">
        <f t="shared" si="8"/>
        <v>176.90295536187003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Assumptions'!$E$275:$E$298,'WD_.PX.DJW._.PTC.2028'!$B32-2023,1)/INDEX('2025 IRP Assumptions'!$E$275:$E$298,'WD_.PX.DJW._.PTC.2028'!$B32-2023-1,1)</f>
        <v>129.89392100252431</v>
      </c>
      <c r="E32" s="71" cm="1">
        <f t="array" ref="E32">$E$10*INDEX('2025 IRP Assumptions'!$E$275:$E$298,'WD_.PX.DJW._.PTC.2028'!$B32-2023,1)</f>
        <v>50.865518751749995</v>
      </c>
      <c r="F32" s="71"/>
      <c r="G32" s="72">
        <f t="shared" ref="G32:G33" si="9">(D32+E32+F32)/(8.76*$C$61)</f>
        <v>50.023852175100835</v>
      </c>
      <c r="H32" s="71"/>
      <c r="I32" s="71"/>
      <c r="J32" s="72">
        <f t="shared" ref="J32:J33" si="10">(G32+H32+I32)</f>
        <v>50.023852175100835</v>
      </c>
      <c r="K32" s="72">
        <f t="shared" ref="K32:K33" si="11">ROUND(J32*$C$61*8.76,2)</f>
        <v>180.76</v>
      </c>
      <c r="L32" s="71">
        <f t="shared" ref="L32:L33" si="12">(D32+E32+F32)</f>
        <v>180.7594397542743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Assumptions'!$E$275:$E$298,'WD_.PX.DJW._.PTC.2028'!$B33-2023,1)/INDEX('2025 IRP Assumptions'!$E$275:$E$298,'WD_.PX.DJW._.PTC.2028'!$B33-2023-1,1)</f>
        <v>132.72560843099603</v>
      </c>
      <c r="E33" s="71" cm="1">
        <f t="array" ref="E33">$E$10*INDEX('2025 IRP Assumptions'!$E$275:$E$298,'WD_.PX.DJW._.PTC.2028'!$B33-2023,1)</f>
        <v>51.974387041199996</v>
      </c>
      <c r="F33" s="71"/>
      <c r="G33" s="72">
        <f t="shared" si="9"/>
        <v>51.114372133499877</v>
      </c>
      <c r="H33" s="71"/>
      <c r="I33" s="71"/>
      <c r="J33" s="72">
        <f t="shared" si="10"/>
        <v>51.114372133499877</v>
      </c>
      <c r="K33" s="72">
        <f t="shared" si="11"/>
        <v>184.7</v>
      </c>
      <c r="L33" s="71">
        <f t="shared" si="12"/>
        <v>184.69999547219604</v>
      </c>
      <c r="P33" s="88"/>
      <c r="Q33" s="72"/>
    </row>
    <row r="34" spans="2:17" ht="15">
      <c r="B34" s="69">
        <f t="shared" si="0"/>
        <v>2048</v>
      </c>
      <c r="C34" s="73"/>
      <c r="D34" s="275">
        <f t="shared" ref="D34:E36" si="13">D33*D33/D32</f>
        <v>135.61902664433188</v>
      </c>
      <c r="E34" s="275">
        <f t="shared" si="13"/>
        <v>53.107428658938439</v>
      </c>
      <c r="F34" s="71"/>
      <c r="G34" s="72">
        <f t="shared" ref="G34:G35" si="14">(D34+E34+F34)/(8.76*$C$61)</f>
        <v>52.228665426577415</v>
      </c>
      <c r="H34" s="71"/>
      <c r="I34" s="71"/>
      <c r="J34" s="72">
        <f t="shared" ref="J34:J35" si="15">(G34+H34+I34)</f>
        <v>52.228665426577415</v>
      </c>
      <c r="K34" s="72">
        <f t="shared" ref="K34:K35" si="16">ROUND(J34*$C$61*8.76,2)</f>
        <v>188.73</v>
      </c>
      <c r="L34" s="71">
        <f t="shared" ref="L34:L35" si="17">(D34+E34+F34)</f>
        <v>188.72645530327031</v>
      </c>
      <c r="P34" s="88"/>
      <c r="Q34" s="72"/>
    </row>
    <row r="35" spans="2:17" ht="15">
      <c r="B35" s="69">
        <f t="shared" si="0"/>
        <v>2049</v>
      </c>
      <c r="C35" s="73"/>
      <c r="D35" s="275">
        <f t="shared" si="13"/>
        <v>138.57552137361841</v>
      </c>
      <c r="E35" s="275">
        <f t="shared" si="13"/>
        <v>54.26517058351282</v>
      </c>
      <c r="F35" s="71"/>
      <c r="G35" s="72">
        <f t="shared" si="14"/>
        <v>53.367250313020413</v>
      </c>
      <c r="H35" s="71"/>
      <c r="I35" s="71"/>
      <c r="J35" s="72">
        <f t="shared" si="15"/>
        <v>53.367250313020413</v>
      </c>
      <c r="K35" s="72">
        <f t="shared" si="16"/>
        <v>192.84</v>
      </c>
      <c r="L35" s="71">
        <f t="shared" si="17"/>
        <v>192.84069195713124</v>
      </c>
      <c r="P35" s="88"/>
      <c r="Q35" s="72"/>
    </row>
    <row r="36" spans="2:17" ht="15">
      <c r="B36" s="69">
        <f t="shared" si="0"/>
        <v>2050</v>
      </c>
      <c r="C36" s="73"/>
      <c r="D36" s="275">
        <f t="shared" si="13"/>
        <v>141.59646768687938</v>
      </c>
      <c r="E36" s="275">
        <f t="shared" si="13"/>
        <v>55.448151281602769</v>
      </c>
      <c r="F36" s="71"/>
      <c r="G36" s="72">
        <f t="shared" ref="G36" si="18">(D36+E36+F36)/(8.76*$C$61)</f>
        <v>54.530656349554995</v>
      </c>
      <c r="H36" s="71"/>
      <c r="I36" s="71"/>
      <c r="J36" s="72">
        <f t="shared" ref="J36" si="19">(G36+H36+I36)</f>
        <v>54.530656349554995</v>
      </c>
      <c r="K36" s="72">
        <f t="shared" ref="K36" si="20">ROUND(J36*$C$61*8.76,2)</f>
        <v>197.04</v>
      </c>
      <c r="L36" s="71">
        <f t="shared" ref="L36" si="21">(D36+E36+F36)</f>
        <v>197.04461896848215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 t="s">
        <v>284</v>
      </c>
      <c r="C38" s="73"/>
      <c r="D38" s="71"/>
      <c r="E38" s="71"/>
      <c r="F38" s="71"/>
      <c r="G38" s="72"/>
      <c r="H38" s="71"/>
      <c r="I38" s="71"/>
      <c r="J38" s="71"/>
      <c r="K38" s="72">
        <f>-PMT(Discount_Rate,COUNT(K$14:K$28),NPV(Discount_Rate,K$14:K$28))</f>
        <v>1.5478963961878931</v>
      </c>
      <c r="L38" s="72">
        <f>-PMT(Discount_Rate,COUNT(L$14:L$28),NPV(Discount_Rate,L$14:L$28))</f>
        <v>139.71360554438289</v>
      </c>
      <c r="M38" s="75"/>
    </row>
    <row r="39" spans="2:17">
      <c r="B39" s="69" t="s">
        <v>285</v>
      </c>
      <c r="K39" s="72">
        <f>-PMT(Discount_Rate,COUNT(K$13:K$32),NPV(Discount_Rate,K$13:K$32))</f>
        <v>23.267459451028738</v>
      </c>
      <c r="L39" s="72">
        <f>-PMT(Discount_Rate,COUNT(L$13:L$32),NPV(Discount_Rate,L$13:L$32))</f>
        <v>144.10865850859398</v>
      </c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196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>
        <f>F7</f>
        <v>0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4"/>
      <c r="D50" s="77"/>
      <c r="E50" s="77"/>
      <c r="F50" s="77"/>
      <c r="G50" s="77"/>
      <c r="H50" s="77"/>
      <c r="I50" s="77"/>
    </row>
    <row r="51" spans="2:20">
      <c r="C51" s="313"/>
      <c r="D51" s="324"/>
      <c r="E51" s="324"/>
      <c r="F51" s="324"/>
      <c r="G51" s="324"/>
      <c r="H51" s="324"/>
      <c r="I51" s="61"/>
    </row>
    <row r="52" spans="2:20">
      <c r="Q52" s="62" t="s">
        <v>87</v>
      </c>
      <c r="R52" s="69">
        <v>2028</v>
      </c>
      <c r="T52" s="174" t="s">
        <v>156</v>
      </c>
    </row>
    <row r="53" spans="2:20">
      <c r="B53"/>
      <c r="C53" s="325"/>
      <c r="P53" s="156"/>
      <c r="T53" s="174"/>
    </row>
    <row r="54" spans="2:20">
      <c r="B54"/>
      <c r="C54" s="326"/>
      <c r="Q54" s="62" t="s">
        <v>214</v>
      </c>
      <c r="R54" s="88">
        <v>403.03573570578232</v>
      </c>
      <c r="T54" s="62" t="s">
        <v>296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F60" s="323" t="s">
        <v>283</v>
      </c>
      <c r="J60" s="274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  <rowBreaks count="1" manualBreakCount="1">
    <brk id="49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9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/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Assumptions'!$E$275:$E$298,'WD_.PX.DJW._.PTC.2029'!$B11-2023,1)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Assumptions'!$E$275:$E$298,'WD_.PX.DJW._.PTC.2029'!$B12-2023,1)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Assumptions'!$E$275:$E$298,'WD_.PX.DJW._.PTC.2029'!$B13-2023,1)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71"/>
      <c r="E14" s="71" cm="1">
        <f t="array" ref="E14">$E$10*INDEX('2025 IRP Assumptions'!$E$275:$E$298,'WD_.PX.DJW._.PTC.2029'!$B14-2023,1)</f>
        <v>34.501446836549995</v>
      </c>
      <c r="F14" s="282"/>
      <c r="G14" s="72"/>
      <c r="H14" s="71"/>
      <c r="I14" s="71"/>
      <c r="J14" s="72"/>
      <c r="K14" s="72"/>
      <c r="L14" s="71"/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1394.16671932432</v>
      </c>
      <c r="D15" s="248">
        <f>C15*$C$60</f>
        <v>88.055569992524042</v>
      </c>
      <c r="E15" s="71" cm="1">
        <f t="array" ref="E15">$E$10*INDEX('2025 IRP Assumptions'!$E$275:$E$298,'WD_.PX.DJW._.PTC.2029'!$B15-2023,1)</f>
        <v>35.253578386050002</v>
      </c>
      <c r="F15" s="71"/>
      <c r="G15" s="72">
        <f t="shared" ref="G15:G36" si="1">(D15+E15+F15)/(8.76*$C$61)</f>
        <v>34.124904451533645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6" si="2">(G15+H15+I15)</f>
        <v>-12.548095548466357</v>
      </c>
      <c r="K15" s="72">
        <f t="shared" ref="K15:K36" si="3">ROUND(J15*$C$61*8.76,2)</f>
        <v>-45.34</v>
      </c>
      <c r="L15" s="71">
        <f t="shared" ref="L15:L36" si="4">(D15+E15+F15)</f>
        <v>123.30914837857404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Assumptions'!$E$275:$E$298,'WD_.PX.DJW._.PTC.2029'!$B16-2023,1)/INDEX('2025 IRP Assumptions'!$E$275:$E$298,'WD_.PX.DJW._.PTC.2029'!$B16-2023-1,1)</f>
        <v>89.975181371987603</v>
      </c>
      <c r="E16" s="71" cm="1">
        <f t="array" ref="E16">$E$10*INDEX('2025 IRP Assumptions'!$E$275:$E$298,'WD_.PX.DJW._.PTC.2029'!$B16-2023,1)</f>
        <v>36.022106376299995</v>
      </c>
      <c r="F16" s="71"/>
      <c r="G16" s="72">
        <f t="shared" si="1"/>
        <v>34.868827350605585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2"/>
        <v>-13.267172649394418</v>
      </c>
      <c r="K16" s="72">
        <f t="shared" si="3"/>
        <v>-47.94</v>
      </c>
      <c r="L16" s="71">
        <f t="shared" si="4"/>
        <v>125.99728774828759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Assumptions'!$E$275:$E$298,'WD_.PX.DJW._.PTC.2029'!$B17-2023,1)/INDEX('2025 IRP Assumptions'!$E$275:$E$298,'WD_.PX.DJW._.PTC.2029'!$B17-2023-1,1)</f>
        <v>91.93664032276638</v>
      </c>
      <c r="E17" s="71" cm="1">
        <f t="array" ref="E17">$E$10*INDEX('2025 IRP Assumptions'!$E$275:$E$298,'WD_.PX.DJW._.PTC.2029'!$B17-2023,1)</f>
        <v>36.80738829405</v>
      </c>
      <c r="F17" s="71"/>
      <c r="G17" s="72">
        <f t="shared" si="1"/>
        <v>35.628967785635574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2"/>
        <v>-13.959032214364427</v>
      </c>
      <c r="K17" s="72">
        <f t="shared" si="3"/>
        <v>-50.44</v>
      </c>
      <c r="L17" s="71">
        <f t="shared" si="4"/>
        <v>128.74402861681637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Assumptions'!$E$275:$E$298,'WD_.PX.DJW._.PTC.2029'!$B18-2023,1)/INDEX('2025 IRP Assumptions'!$E$275:$E$298,'WD_.PX.DJW._.PTC.2029'!$B18-2023-1,1)</f>
        <v>93.940859056299658</v>
      </c>
      <c r="E18" s="71" cm="1">
        <f t="array" ref="E18">$E$10*INDEX('2025 IRP Assumptions'!$E$275:$E$298,'WD_.PX.DJW._.PTC.2029'!$B18-2023,1)</f>
        <v>37.609789348650004</v>
      </c>
      <c r="F18" s="71"/>
      <c r="G18" s="72">
        <f t="shared" si="1"/>
        <v>36.405679273479038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2"/>
        <v>-13.182320726520963</v>
      </c>
      <c r="K18" s="72">
        <f t="shared" si="3"/>
        <v>-47.63</v>
      </c>
      <c r="L18" s="71">
        <f t="shared" si="4"/>
        <v>131.55064840494967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Assumptions'!$E$275:$E$298,'WD_.PX.DJW._.PTC.2029'!$B19-2023,1)/INDEX('2025 IRP Assumptions'!$E$275:$E$298,'WD_.PX.DJW._.PTC.2029'!$B19-2023-1,1)</f>
        <v>95.988769784849552</v>
      </c>
      <c r="E19" s="71" cm="1">
        <f t="array" ref="E19">$E$10*INDEX('2025 IRP Assumptions'!$E$275:$E$298,'WD_.PX.DJW._.PTC.2029'!$B19-2023,1)</f>
        <v>38.429682756899993</v>
      </c>
      <c r="F19" s="71"/>
      <c r="G19" s="72">
        <f t="shared" si="1"/>
        <v>37.199323082075921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2"/>
        <v>-13.851676917924081</v>
      </c>
      <c r="K19" s="72">
        <f t="shared" si="3"/>
        <v>-50.05</v>
      </c>
      <c r="L19" s="71">
        <f t="shared" si="4"/>
        <v>134.41845254174956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Assumptions'!$E$275:$E$298,'WD_.PX.DJW._.PTC.2029'!$B20-2023,1)/INDEX('2025 IRP Assumptions'!$E$275:$E$298,'WD_.PX.DJW._.PTC.2029'!$B20-2023-1,1)</f>
        <v>98.081325037719537</v>
      </c>
      <c r="E20" s="71" cm="1">
        <f t="array" ref="E20">$E$10*INDEX('2025 IRP Assumptions'!$E$275:$E$298,'WD_.PX.DJW._.PTC.2029'!$B20-2023,1)</f>
        <v>39.267449869649994</v>
      </c>
      <c r="F20" s="71"/>
      <c r="G20" s="72">
        <f t="shared" si="1"/>
        <v>38.010268352997514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2"/>
        <v>-14.503731647002489</v>
      </c>
      <c r="K20" s="72">
        <f t="shared" si="3"/>
        <v>-52.41</v>
      </c>
      <c r="L20" s="71">
        <f t="shared" si="4"/>
        <v>137.34877490736955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Assumptions'!$E$275:$E$298,'WD_.PX.DJW._.PTC.2029'!$B21-2023,1)/INDEX('2025 IRP Assumptions'!$E$275:$E$298,'WD_.PX.DJW._.PTC.2029'!$B21-2023-1,1)</f>
        <v>100.21949789841825</v>
      </c>
      <c r="E21" s="71" cm="1">
        <f t="array" ref="E21">$E$10*INDEX('2025 IRP Assumptions'!$E$275:$E$298,'WD_.PX.DJW._.PTC.2029'!$B21-2023,1)</f>
        <v>40.123480266749993</v>
      </c>
      <c r="F21" s="71"/>
      <c r="G21" s="72">
        <f t="shared" si="1"/>
        <v>38.838892193356507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2"/>
        <v>-13.675107806643496</v>
      </c>
      <c r="K21" s="72">
        <f t="shared" si="3"/>
        <v>-49.41</v>
      </c>
      <c r="L21" s="71">
        <f t="shared" si="4"/>
        <v>140.34297816516823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Assumptions'!$E$275:$E$298,'WD_.PX.DJW._.PTC.2029'!$B22-2023,1)/INDEX('2025 IRP Assumptions'!$E$275:$E$298,'WD_.PX.DJW._.PTC.2029'!$B22-2023-1,1)</f>
        <v>102.40428295331526</v>
      </c>
      <c r="E22" s="71" cm="1">
        <f t="array" ref="E22">$E$10*INDEX('2025 IRP Assumptions'!$E$275:$E$298,'WD_.PX.DJW._.PTC.2029'!$B22-2023,1)</f>
        <v>40.998172136849995</v>
      </c>
      <c r="F22" s="71"/>
      <c r="G22" s="72">
        <f t="shared" si="1"/>
        <v>39.685580043447416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2"/>
        <v>-14.280419956552592</v>
      </c>
      <c r="K22" s="72">
        <f t="shared" si="3"/>
        <v>-51.6</v>
      </c>
      <c r="L22" s="71">
        <f t="shared" si="4"/>
        <v>143.40245509016526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Assumptions'!$E$275:$E$298,'WD_.PX.DJW._.PTC.2029'!$B23-2023,1)/INDEX('2025 IRP Assumptions'!$E$275:$E$298,'WD_.PX.DJW._.PTC.2029'!$B23-2023-1,1)</f>
        <v>104.63669629164096</v>
      </c>
      <c r="E23" s="71" cm="1">
        <f t="array" ref="E23">$E$10*INDEX('2025 IRP Assumptions'!$E$275:$E$298,'WD_.PX.DJW._.PTC.2029'!$B23-2023,1)</f>
        <v>41.891932277399995</v>
      </c>
      <c r="F23" s="71"/>
      <c r="G23" s="72">
        <f t="shared" si="1"/>
        <v>40.550725676746495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2"/>
        <v>-14.878274323253507</v>
      </c>
      <c r="K23" s="72">
        <f t="shared" si="3"/>
        <v>-53.76</v>
      </c>
      <c r="L23" s="71">
        <f t="shared" si="4"/>
        <v>146.52862856904096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Assumptions'!$E$275:$E$298,'WD_.PX.DJW._.PTC.2029'!$B24-2023,1)/INDEX('2025 IRP Assumptions'!$E$275:$E$298,'WD_.PX.DJW._.PTC.2029'!$B24-2023-1,1)</f>
        <v>106.91777629603298</v>
      </c>
      <c r="E24" s="71" cm="1">
        <f t="array" ref="E24">$E$10*INDEX('2025 IRP Assumptions'!$E$275:$E$298,'WD_.PX.DJW._.PTC.2029'!$B24-2023,1)</f>
        <v>42.805176411150001</v>
      </c>
      <c r="F24" s="71"/>
      <c r="G24" s="72">
        <f t="shared" si="1"/>
        <v>41.434731506278801</v>
      </c>
      <c r="H24" s="71"/>
      <c r="I24" s="71"/>
      <c r="J24" s="72">
        <f t="shared" si="2"/>
        <v>41.434731506278801</v>
      </c>
      <c r="K24" s="72">
        <f t="shared" si="3"/>
        <v>149.72</v>
      </c>
      <c r="L24" s="71">
        <f t="shared" si="4"/>
        <v>149.72295270718297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Assumptions'!$E$275:$E$298,'WD_.PX.DJW._.PTC.2029'!$B25-2023,1)/INDEX('2025 IRP Assumptions'!$E$275:$E$298,'WD_.PX.DJW._.PTC.2029'!$B25-2023-1,1)</f>
        <v>109.24858380064542</v>
      </c>
      <c r="E25" s="71" cm="1">
        <f t="array" ref="E25">$E$10*INDEX('2025 IRP Assumptions'!$E$275:$E$298,'WD_.PX.DJW._.PTC.2029'!$B25-2023,1)</f>
        <v>43.738329249449997</v>
      </c>
      <c r="F25" s="71"/>
      <c r="G25" s="72">
        <f t="shared" si="1"/>
        <v>42.338008645891549</v>
      </c>
      <c r="H25" s="71"/>
      <c r="I25" s="71"/>
      <c r="J25" s="72">
        <f t="shared" si="2"/>
        <v>42.338008645891549</v>
      </c>
      <c r="K25" s="72">
        <f t="shared" si="3"/>
        <v>152.99</v>
      </c>
      <c r="L25" s="71">
        <f t="shared" si="4"/>
        <v>152.98691305009541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Assumptions'!$E$275:$E$298,'WD_.PX.DJW._.PTC.2029'!$B26-2023,1)/INDEX('2025 IRP Assumptions'!$E$275:$E$298,'WD_.PX.DJW._.PTC.2029'!$B26-2023-1,1)</f>
        <v>111.63020296074988</v>
      </c>
      <c r="E26" s="71" cm="1">
        <f t="array" ref="E26">$E$10*INDEX('2025 IRP Assumptions'!$E$275:$E$298,'WD_.PX.DJW._.PTC.2029'!$B26-2023,1)</f>
        <v>44.691824840399995</v>
      </c>
      <c r="F26" s="71"/>
      <c r="G26" s="72">
        <f t="shared" si="1"/>
        <v>43.260977247257784</v>
      </c>
      <c r="H26" s="71"/>
      <c r="I26" s="71"/>
      <c r="J26" s="72">
        <f t="shared" si="2"/>
        <v>43.260977247257784</v>
      </c>
      <c r="K26" s="72">
        <f t="shared" si="3"/>
        <v>156.32</v>
      </c>
      <c r="L26" s="71">
        <f t="shared" si="4"/>
        <v>156.32202780114989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Assumptions'!$E$275:$E$298,'WD_.PX.DJW._.PTC.2029'!$B27-2023,1)/INDEX('2025 IRP Assumptions'!$E$275:$E$298,'WD_.PX.DJW._.PTC.2029'!$B27-2023-1,1)</f>
        <v>114.06374133179006</v>
      </c>
      <c r="E27" s="71" cm="1">
        <f t="array" ref="E27">$E$10*INDEX('2025 IRP Assumptions'!$E$275:$E$298,'WD_.PX.DJW._.PTC.2029'!$B27-2023,1)</f>
        <v>45.666106600499994</v>
      </c>
      <c r="F27" s="71"/>
      <c r="G27" s="72">
        <f t="shared" si="1"/>
        <v>44.204066530513089</v>
      </c>
      <c r="H27" s="71"/>
      <c r="I27" s="71"/>
      <c r="J27" s="72">
        <f t="shared" si="2"/>
        <v>44.204066530513089</v>
      </c>
      <c r="K27" s="72">
        <f t="shared" si="3"/>
        <v>159.72999999999999</v>
      </c>
      <c r="L27" s="71">
        <f t="shared" si="4"/>
        <v>159.72984793229006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Assumptions'!$E$275:$E$298,'WD_.PX.DJW._.PTC.2029'!$B28-2023,1)/INDEX('2025 IRP Assumptions'!$E$275:$E$298,'WD_.PX.DJW._.PTC.2029'!$B28-2023-1,1)</f>
        <v>116.55033089709202</v>
      </c>
      <c r="E28" s="71" cm="1">
        <f t="array" ref="E28">$E$10*INDEX('2025 IRP Assumptions'!$E$275:$E$298,'WD_.PX.DJW._.PTC.2029'!$B28-2023,1)</f>
        <v>46.661627726100001</v>
      </c>
      <c r="F28" s="71"/>
      <c r="G28" s="72">
        <f t="shared" si="1"/>
        <v>45.16771518253266</v>
      </c>
      <c r="H28" s="71"/>
      <c r="I28" s="71"/>
      <c r="J28" s="72">
        <f t="shared" si="2"/>
        <v>45.16771518253266</v>
      </c>
      <c r="K28" s="72">
        <f t="shared" si="3"/>
        <v>163.21</v>
      </c>
      <c r="L28" s="71">
        <f t="shared" si="4"/>
        <v>163.21195862319203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Assumptions'!$E$275:$E$298,'WD_.PX.DJW._.PTC.2029'!$B29-2023,1)/INDEX('2025 IRP Assumptions'!$E$275:$E$298,'WD_.PX.DJW._.PTC.2029'!$B29-2023-1,1)</f>
        <v>119.0911281469189</v>
      </c>
      <c r="E29" s="71" cm="1">
        <f t="array" ref="E29">$E$10*INDEX('2025 IRP Assumptions'!$E$275:$E$298,'WD_.PX.DJW._.PTC.2029'!$B29-2023,1)</f>
        <v>47.678851225049996</v>
      </c>
      <c r="F29" s="71"/>
      <c r="G29" s="72">
        <f t="shared" si="1"/>
        <v>46.152371387567982</v>
      </c>
      <c r="H29" s="71"/>
      <c r="I29" s="71"/>
      <c r="J29" s="72">
        <f t="shared" si="2"/>
        <v>46.152371387567982</v>
      </c>
      <c r="K29" s="72">
        <f t="shared" si="3"/>
        <v>166.77</v>
      </c>
      <c r="L29" s="71">
        <f t="shared" si="4"/>
        <v>166.7699793719689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Assumptions'!$E$275:$E$298,'WD_.PX.DJW._.PTC.2029'!$B30-2023,1)/INDEX('2025 IRP Assumptions'!$E$275:$E$298,'WD_.PX.DJW._.PTC.2029'!$B30-2023-1,1)</f>
        <v>121.68731471090787</v>
      </c>
      <c r="E30" s="71" cm="1">
        <f t="array" ref="E30">$E$10*INDEX('2025 IRP Assumptions'!$E$275:$E$298,'WD_.PX.DJW._.PTC.2029'!$B30-2023,1)</f>
        <v>48.718250169900003</v>
      </c>
      <c r="F30" s="71"/>
      <c r="G30" s="72">
        <f t="shared" si="1"/>
        <v>47.158493072340463</v>
      </c>
      <c r="H30" s="71"/>
      <c r="I30" s="71"/>
      <c r="J30" s="72">
        <f t="shared" si="2"/>
        <v>47.158493072340463</v>
      </c>
      <c r="K30" s="72">
        <f t="shared" si="3"/>
        <v>170.41</v>
      </c>
      <c r="L30" s="71">
        <f t="shared" si="4"/>
        <v>170.40556488080787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Assumptions'!$E$275:$E$298,'WD_.PX.DJW._.PTC.2029'!$B31-2023,1)/INDEX('2025 IRP Assumptions'!$E$275:$E$298,'WD_.PX.DJW._.PTC.2029'!$B31-2023-1,1)</f>
        <v>124.34009822767121</v>
      </c>
      <c r="E31" s="71" cm="1">
        <f t="array" ref="E31">$E$10*INDEX('2025 IRP Assumptions'!$E$275:$E$298,'WD_.PX.DJW._.PTC.2029'!$B31-2023,1)</f>
        <v>49.780308046050003</v>
      </c>
      <c r="F31" s="71"/>
      <c r="G31" s="72">
        <f t="shared" si="1"/>
        <v>48.186548243045031</v>
      </c>
      <c r="H31" s="71"/>
      <c r="I31" s="71"/>
      <c r="J31" s="72">
        <f t="shared" si="2"/>
        <v>48.186548243045031</v>
      </c>
      <c r="K31" s="72">
        <f t="shared" si="3"/>
        <v>174.12</v>
      </c>
      <c r="L31" s="71">
        <f t="shared" si="4"/>
        <v>174.12040627372122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Assumptions'!$E$275:$E$298,'WD_.PX.DJW._.PTC.2029'!$B32-2023,1)/INDEX('2025 IRP Assumptions'!$E$275:$E$298,'WD_.PX.DJW._.PTC.2029'!$B32-2023-1,1)</f>
        <v>127.05071234479628</v>
      </c>
      <c r="E32" s="71" cm="1">
        <f t="array" ref="E32">$E$10*INDEX('2025 IRP Assumptions'!$E$275:$E$298,'WD_.PX.DJW._.PTC.2029'!$B32-2023,1)</f>
        <v>50.865518751749995</v>
      </c>
      <c r="F32" s="71"/>
      <c r="G32" s="72">
        <f t="shared" si="1"/>
        <v>49.2370149853502</v>
      </c>
      <c r="H32" s="71"/>
      <c r="I32" s="71"/>
      <c r="J32" s="72">
        <f t="shared" si="2"/>
        <v>49.2370149853502</v>
      </c>
      <c r="K32" s="72">
        <f t="shared" si="3"/>
        <v>177.92</v>
      </c>
      <c r="L32" s="71">
        <f t="shared" si="4"/>
        <v>177.91623109654628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Assumptions'!$E$275:$E$298,'WD_.PX.DJW._.PTC.2029'!$B33-2023,1)/INDEX('2025 IRP Assumptions'!$E$275:$E$298,'WD_.PX.DJW._.PTC.2029'!$B33-2023-1,1)</f>
        <v>129.82041782561046</v>
      </c>
      <c r="E33" s="71" cm="1">
        <f t="array" ref="E33">$E$10*INDEX('2025 IRP Assumptions'!$E$275:$E$298,'WD_.PX.DJW._.PTC.2029'!$B33-2023,1)</f>
        <v>51.974387041199996</v>
      </c>
      <c r="F33" s="71"/>
      <c r="G33" s="72">
        <f t="shared" si="1"/>
        <v>50.310381893311813</v>
      </c>
      <c r="H33" s="71"/>
      <c r="I33" s="71"/>
      <c r="J33" s="72">
        <f t="shared" si="2"/>
        <v>50.310381893311813</v>
      </c>
      <c r="K33" s="72">
        <f t="shared" si="3"/>
        <v>181.79</v>
      </c>
      <c r="L33" s="71">
        <f t="shared" si="4"/>
        <v>181.79480486681047</v>
      </c>
      <c r="P33" s="88"/>
      <c r="Q33" s="72"/>
    </row>
    <row r="34" spans="2:17" ht="15">
      <c r="B34" s="69">
        <f t="shared" si="0"/>
        <v>2048</v>
      </c>
      <c r="C34" s="73"/>
      <c r="D34" s="275">
        <f t="shared" ref="D34:E36" si="5">D33*D33/D32</f>
        <v>132.65050288485341</v>
      </c>
      <c r="E34" s="275">
        <f t="shared" si="5"/>
        <v>53.107428658938439</v>
      </c>
      <c r="F34" s="71"/>
      <c r="G34" s="72">
        <f t="shared" si="1"/>
        <v>51.407148199458909</v>
      </c>
      <c r="H34" s="71"/>
      <c r="I34" s="71"/>
      <c r="J34" s="72">
        <f t="shared" si="2"/>
        <v>51.407148199458909</v>
      </c>
      <c r="K34" s="72">
        <f t="shared" si="3"/>
        <v>185.76</v>
      </c>
      <c r="L34" s="71">
        <f t="shared" si="4"/>
        <v>185.75793154379184</v>
      </c>
      <c r="P34" s="88"/>
      <c r="Q34" s="72"/>
    </row>
    <row r="35" spans="2:17" ht="15">
      <c r="B35" s="69">
        <f t="shared" si="0"/>
        <v>2049</v>
      </c>
      <c r="C35" s="73"/>
      <c r="D35" s="275">
        <f t="shared" si="5"/>
        <v>135.54228379731191</v>
      </c>
      <c r="E35" s="275">
        <f t="shared" si="5"/>
        <v>54.26517058351282</v>
      </c>
      <c r="F35" s="71"/>
      <c r="G35" s="72">
        <f t="shared" si="1"/>
        <v>52.527824010663061</v>
      </c>
      <c r="H35" s="71"/>
      <c r="I35" s="71"/>
      <c r="J35" s="72">
        <f t="shared" si="2"/>
        <v>52.527824010663061</v>
      </c>
      <c r="K35" s="72">
        <f t="shared" si="3"/>
        <v>189.81</v>
      </c>
      <c r="L35" s="71">
        <f t="shared" si="4"/>
        <v>189.80745438082474</v>
      </c>
      <c r="P35" s="88"/>
      <c r="Q35" s="72"/>
    </row>
    <row r="36" spans="2:17" ht="15">
      <c r="B36" s="69">
        <f t="shared" si="0"/>
        <v>2050</v>
      </c>
      <c r="C36" s="73"/>
      <c r="D36" s="275">
        <f t="shared" si="5"/>
        <v>138.49710553256259</v>
      </c>
      <c r="E36" s="275">
        <f t="shared" si="5"/>
        <v>55.448151281602769</v>
      </c>
      <c r="F36" s="71"/>
      <c r="G36" s="72">
        <f t="shared" si="1"/>
        <v>53.672930554125386</v>
      </c>
      <c r="H36" s="71"/>
      <c r="I36" s="71"/>
      <c r="J36" s="72">
        <f t="shared" si="2"/>
        <v>53.672930554125386</v>
      </c>
      <c r="K36" s="72">
        <f t="shared" si="3"/>
        <v>193.95</v>
      </c>
      <c r="L36" s="71">
        <f t="shared" si="4"/>
        <v>193.94525681416536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196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 t="str">
        <f>F7</f>
        <v>(d)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4"/>
      <c r="D50" s="77"/>
      <c r="E50" s="77"/>
      <c r="F50" s="77"/>
      <c r="G50" s="77"/>
      <c r="H50" s="77"/>
      <c r="I50" s="77"/>
    </row>
    <row r="51" spans="2:20">
      <c r="C51" s="313"/>
      <c r="D51" s="324"/>
      <c r="E51" s="324"/>
      <c r="F51" s="324"/>
      <c r="G51" s="324"/>
      <c r="H51" s="324"/>
      <c r="I51" s="61"/>
    </row>
    <row r="52" spans="2:20">
      <c r="Q52" s="62" t="s">
        <v>87</v>
      </c>
      <c r="R52" s="69">
        <v>2029</v>
      </c>
      <c r="T52" s="174" t="s">
        <v>156</v>
      </c>
    </row>
    <row r="53" spans="2:20">
      <c r="B53"/>
      <c r="C53" s="325"/>
      <c r="P53" s="156"/>
      <c r="T53" s="174"/>
    </row>
    <row r="54" spans="2:20">
      <c r="B54"/>
      <c r="C54" s="326"/>
      <c r="Q54" s="62" t="s">
        <v>214</v>
      </c>
      <c r="R54" s="88">
        <v>210.59213080000001</v>
      </c>
      <c r="T54" s="62" t="s">
        <v>296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F60" s="323" t="s">
        <v>283</v>
      </c>
      <c r="J60" s="274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  <rowBreaks count="1" manualBreakCount="1">
    <brk id="49" max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18"/>
  <sheetViews>
    <sheetView topLeftCell="C137" zoomScale="80" zoomScaleNormal="80" workbookViewId="0">
      <selection activeCell="D164" sqref="D164"/>
    </sheetView>
  </sheetViews>
  <sheetFormatPr defaultColWidth="9.33203125" defaultRowHeight="15"/>
  <cols>
    <col min="1" max="1" width="22.5" style="257" customWidth="1"/>
    <col min="2" max="2" width="54.5" style="257" customWidth="1"/>
    <col min="3" max="3" width="48.5" style="257" customWidth="1"/>
    <col min="4" max="4" width="37.6640625" style="257" customWidth="1"/>
    <col min="5" max="6" width="9.33203125" style="257"/>
    <col min="7" max="7" width="17.83203125" style="257" customWidth="1"/>
    <col min="8" max="8" width="15.1640625" style="257" customWidth="1"/>
    <col min="9" max="9" width="23.83203125" style="257" customWidth="1"/>
    <col min="10" max="10" width="11.33203125" style="257" customWidth="1"/>
    <col min="11" max="11" width="16" style="257" customWidth="1"/>
    <col min="12" max="12" width="9.33203125" style="257"/>
    <col min="13" max="13" width="21.6640625" style="257" customWidth="1"/>
    <col min="14" max="21" width="9.33203125" style="257"/>
    <col min="22" max="22" width="40.1640625" style="257" customWidth="1"/>
    <col min="23" max="24" width="33.33203125" style="257" customWidth="1"/>
    <col min="25" max="25" width="14" style="257" customWidth="1"/>
    <col min="26" max="29" width="33.33203125" style="257" customWidth="1"/>
    <col min="30" max="16384" width="9.33203125" style="257"/>
  </cols>
  <sheetData>
    <row r="1" spans="1:29" s="255" customFormat="1">
      <c r="A1" s="255" t="s">
        <v>94</v>
      </c>
      <c r="B1" s="255" t="s">
        <v>95</v>
      </c>
      <c r="C1" s="255" t="s">
        <v>96</v>
      </c>
      <c r="D1" s="255" t="s">
        <v>97</v>
      </c>
      <c r="E1" s="255" t="s">
        <v>98</v>
      </c>
      <c r="F1" s="255" t="s">
        <v>99</v>
      </c>
      <c r="G1" s="255" t="s">
        <v>100</v>
      </c>
      <c r="H1" s="255" t="s">
        <v>101</v>
      </c>
      <c r="I1" s="255" t="s">
        <v>102</v>
      </c>
      <c r="J1" s="255" t="s">
        <v>103</v>
      </c>
      <c r="K1" s="255" t="s">
        <v>104</v>
      </c>
      <c r="L1" s="255" t="s">
        <v>105</v>
      </c>
      <c r="M1" s="255" t="s">
        <v>106</v>
      </c>
      <c r="N1" s="255" t="s">
        <v>107</v>
      </c>
      <c r="O1" s="255" t="s">
        <v>108</v>
      </c>
      <c r="P1" s="255" t="s">
        <v>109</v>
      </c>
      <c r="U1" s="256"/>
      <c r="V1" s="256"/>
      <c r="W1" s="256"/>
      <c r="X1" s="256"/>
      <c r="Y1" s="256"/>
      <c r="Z1" s="256"/>
      <c r="AA1" s="256"/>
      <c r="AB1" s="256"/>
      <c r="AC1" s="256"/>
    </row>
    <row r="2" spans="1:29">
      <c r="A2" s="257" t="s">
        <v>142</v>
      </c>
      <c r="B2" s="257" t="s">
        <v>111</v>
      </c>
      <c r="C2" s="257" t="s">
        <v>143</v>
      </c>
      <c r="D2" s="257" t="s">
        <v>144</v>
      </c>
      <c r="E2" s="257">
        <v>1289.55</v>
      </c>
      <c r="G2" s="257" t="s">
        <v>8</v>
      </c>
      <c r="H2" s="257">
        <v>1</v>
      </c>
      <c r="L2" s="257" t="s">
        <v>145</v>
      </c>
      <c r="M2" s="257" t="s">
        <v>146</v>
      </c>
      <c r="P2" s="257" t="s">
        <v>147</v>
      </c>
      <c r="U2" s="256"/>
      <c r="V2" s="255"/>
      <c r="W2" s="256"/>
      <c r="X2" s="256"/>
      <c r="Y2" s="256"/>
      <c r="Z2" s="256"/>
      <c r="AA2" s="256"/>
      <c r="AB2" s="256"/>
      <c r="AC2" s="256"/>
    </row>
    <row r="3" spans="1:29">
      <c r="A3" s="257" t="s">
        <v>142</v>
      </c>
      <c r="B3" s="257" t="s">
        <v>111</v>
      </c>
      <c r="C3" s="257" t="s">
        <v>148</v>
      </c>
      <c r="D3" s="257" t="s">
        <v>144</v>
      </c>
      <c r="E3" s="257">
        <v>1350.37</v>
      </c>
      <c r="G3" s="257" t="s">
        <v>8</v>
      </c>
      <c r="H3" s="257">
        <v>1</v>
      </c>
      <c r="L3" s="257" t="s">
        <v>145</v>
      </c>
      <c r="M3" s="257" t="s">
        <v>146</v>
      </c>
      <c r="P3" s="257" t="s">
        <v>147</v>
      </c>
    </row>
    <row r="4" spans="1:29">
      <c r="A4" s="257" t="s">
        <v>142</v>
      </c>
      <c r="B4" s="257" t="s">
        <v>111</v>
      </c>
      <c r="C4" s="257" t="s">
        <v>149</v>
      </c>
      <c r="D4" s="257" t="s">
        <v>144</v>
      </c>
      <c r="E4" s="257">
        <v>1289.55</v>
      </c>
      <c r="G4" s="257" t="s">
        <v>8</v>
      </c>
      <c r="H4" s="257">
        <v>1</v>
      </c>
      <c r="I4" s="258"/>
      <c r="J4" s="258"/>
      <c r="L4" s="257" t="s">
        <v>145</v>
      </c>
      <c r="M4" s="257" t="s">
        <v>146</v>
      </c>
      <c r="P4" s="257" t="s">
        <v>147</v>
      </c>
      <c r="U4" s="256"/>
      <c r="V4" s="259"/>
      <c r="W4" s="260"/>
      <c r="X4" s="261"/>
      <c r="Y4" s="261"/>
      <c r="Z4" s="262"/>
      <c r="AA4" s="261"/>
      <c r="AB4" s="263"/>
      <c r="AC4" s="261"/>
    </row>
    <row r="5" spans="1:29">
      <c r="A5" s="257" t="s">
        <v>142</v>
      </c>
      <c r="B5" s="257" t="s">
        <v>111</v>
      </c>
      <c r="C5" s="257" t="s">
        <v>150</v>
      </c>
      <c r="D5" s="257" t="s">
        <v>144</v>
      </c>
      <c r="E5" s="257">
        <v>1216.55</v>
      </c>
      <c r="G5" s="257" t="s">
        <v>8</v>
      </c>
      <c r="H5" s="257">
        <v>1</v>
      </c>
      <c r="I5" s="258"/>
      <c r="J5" s="258"/>
      <c r="L5" s="257" t="s">
        <v>145</v>
      </c>
      <c r="M5" s="257" t="s">
        <v>146</v>
      </c>
      <c r="P5" s="257" t="s">
        <v>147</v>
      </c>
      <c r="U5" s="256"/>
      <c r="V5" s="259"/>
      <c r="W5" s="260"/>
      <c r="X5" s="261"/>
      <c r="Y5" s="261"/>
      <c r="Z5" s="262"/>
      <c r="AA5" s="261"/>
      <c r="AB5" s="263"/>
      <c r="AC5" s="261"/>
    </row>
    <row r="6" spans="1:29">
      <c r="A6" s="257" t="s">
        <v>142</v>
      </c>
      <c r="B6" s="257" t="s">
        <v>111</v>
      </c>
      <c r="C6" s="257" t="s">
        <v>205</v>
      </c>
      <c r="D6" s="257" t="s">
        <v>144</v>
      </c>
      <c r="E6" s="257">
        <v>1240.8800000000001</v>
      </c>
      <c r="G6" s="257" t="s">
        <v>8</v>
      </c>
      <c r="H6" s="257">
        <v>1</v>
      </c>
      <c r="I6" s="258"/>
      <c r="J6" s="258"/>
      <c r="L6" s="257" t="s">
        <v>145</v>
      </c>
      <c r="M6" s="257" t="s">
        <v>146</v>
      </c>
      <c r="P6" s="257" t="s">
        <v>147</v>
      </c>
      <c r="U6" s="256"/>
      <c r="V6" s="259"/>
      <c r="W6" s="260"/>
      <c r="X6" s="261"/>
      <c r="Y6" s="261"/>
      <c r="Z6" s="262"/>
      <c r="AA6" s="261"/>
      <c r="AB6" s="263"/>
      <c r="AC6" s="261"/>
    </row>
    <row r="7" spans="1:29">
      <c r="A7" s="257" t="s">
        <v>142</v>
      </c>
      <c r="B7" s="257" t="s">
        <v>111</v>
      </c>
      <c r="C7" s="257" t="s">
        <v>151</v>
      </c>
      <c r="D7" s="257" t="s">
        <v>144</v>
      </c>
      <c r="E7" s="257">
        <v>1289.55</v>
      </c>
      <c r="G7" s="257" t="s">
        <v>8</v>
      </c>
      <c r="H7" s="257">
        <v>1</v>
      </c>
      <c r="L7" s="257" t="s">
        <v>145</v>
      </c>
      <c r="M7" s="257" t="s">
        <v>146</v>
      </c>
      <c r="P7" s="257" t="s">
        <v>147</v>
      </c>
      <c r="U7" s="256"/>
      <c r="V7" s="259"/>
      <c r="W7" s="260"/>
      <c r="X7" s="261"/>
      <c r="Y7" s="261"/>
      <c r="Z7" s="262"/>
      <c r="AA7" s="261"/>
      <c r="AB7" s="263"/>
      <c r="AC7" s="261"/>
    </row>
    <row r="8" spans="1:29">
      <c r="A8" s="257" t="s">
        <v>142</v>
      </c>
      <c r="B8" s="257" t="s">
        <v>111</v>
      </c>
      <c r="C8" s="257" t="s">
        <v>152</v>
      </c>
      <c r="D8" s="257" t="s">
        <v>144</v>
      </c>
      <c r="E8" s="257">
        <v>1240.8800000000001</v>
      </c>
      <c r="G8" s="257" t="s">
        <v>8</v>
      </c>
      <c r="H8" s="257">
        <v>1</v>
      </c>
      <c r="I8" s="258"/>
      <c r="J8" s="258"/>
      <c r="L8" s="257" t="s">
        <v>145</v>
      </c>
      <c r="M8" s="257" t="s">
        <v>146</v>
      </c>
      <c r="P8" s="257" t="s">
        <v>147</v>
      </c>
      <c r="U8" s="256"/>
      <c r="V8" s="259"/>
      <c r="W8" s="260"/>
      <c r="X8" s="261"/>
      <c r="Y8" s="261"/>
      <c r="Z8" s="262"/>
      <c r="AA8" s="261"/>
      <c r="AB8" s="263"/>
      <c r="AC8" s="261"/>
    </row>
    <row r="9" spans="1:29">
      <c r="A9" s="257" t="s">
        <v>142</v>
      </c>
      <c r="B9" s="257" t="s">
        <v>111</v>
      </c>
      <c r="C9" s="257" t="s">
        <v>153</v>
      </c>
      <c r="D9" s="257" t="s">
        <v>144</v>
      </c>
      <c r="E9" s="257">
        <v>1392.68</v>
      </c>
      <c r="G9" s="257" t="s">
        <v>8</v>
      </c>
      <c r="H9" s="257">
        <v>1</v>
      </c>
      <c r="L9" s="257" t="s">
        <v>145</v>
      </c>
      <c r="M9" s="257" t="s">
        <v>154</v>
      </c>
      <c r="P9" s="257" t="s">
        <v>155</v>
      </c>
    </row>
    <row r="10" spans="1:29">
      <c r="A10" s="257" t="s">
        <v>142</v>
      </c>
      <c r="B10" s="257" t="s">
        <v>111</v>
      </c>
      <c r="C10" s="257" t="s">
        <v>156</v>
      </c>
      <c r="D10" s="257" t="s">
        <v>144</v>
      </c>
      <c r="E10" s="257">
        <v>1392.68</v>
      </c>
      <c r="G10" s="257" t="s">
        <v>8</v>
      </c>
      <c r="H10" s="257">
        <v>1</v>
      </c>
      <c r="I10" s="258"/>
      <c r="J10" s="258"/>
      <c r="L10" s="257" t="s">
        <v>145</v>
      </c>
      <c r="M10" s="257" t="s">
        <v>154</v>
      </c>
      <c r="P10" s="257" t="s">
        <v>155</v>
      </c>
      <c r="U10" s="256"/>
      <c r="V10" s="259"/>
      <c r="W10" s="260"/>
      <c r="X10" s="261"/>
      <c r="Y10" s="261"/>
      <c r="Z10" s="262"/>
      <c r="AA10" s="261"/>
      <c r="AB10" s="263"/>
      <c r="AC10" s="261"/>
    </row>
    <row r="11" spans="1:29">
      <c r="A11" s="257" t="s">
        <v>142</v>
      </c>
      <c r="B11" s="257" t="s">
        <v>111</v>
      </c>
      <c r="C11" s="257" t="s">
        <v>157</v>
      </c>
      <c r="D11" s="257" t="s">
        <v>144</v>
      </c>
      <c r="E11" s="257">
        <v>1577.43</v>
      </c>
      <c r="G11" s="257" t="s">
        <v>8</v>
      </c>
      <c r="H11" s="257">
        <v>1</v>
      </c>
      <c r="I11" s="258"/>
      <c r="J11" s="258"/>
      <c r="L11" s="257" t="s">
        <v>145</v>
      </c>
      <c r="M11" s="257" t="s">
        <v>154</v>
      </c>
      <c r="P11" s="257" t="s">
        <v>155</v>
      </c>
      <c r="U11" s="256"/>
      <c r="V11" s="259"/>
      <c r="W11" s="260"/>
      <c r="X11" s="261"/>
      <c r="Y11" s="261"/>
      <c r="Z11" s="262"/>
      <c r="AA11" s="261"/>
      <c r="AB11" s="263"/>
      <c r="AC11" s="261"/>
    </row>
    <row r="12" spans="1:29">
      <c r="A12" s="257" t="s">
        <v>142</v>
      </c>
      <c r="B12" s="257" t="s">
        <v>111</v>
      </c>
      <c r="C12" s="257" t="s">
        <v>158</v>
      </c>
      <c r="D12" s="257" t="s">
        <v>144</v>
      </c>
      <c r="E12" s="257">
        <v>2503.4899999999998</v>
      </c>
      <c r="G12" s="257" t="s">
        <v>8</v>
      </c>
      <c r="H12" s="257">
        <v>1</v>
      </c>
      <c r="I12" s="258"/>
      <c r="J12" s="258"/>
      <c r="L12" s="257" t="s">
        <v>145</v>
      </c>
      <c r="M12" s="257" t="s">
        <v>159</v>
      </c>
      <c r="P12" s="257" t="s">
        <v>155</v>
      </c>
      <c r="U12" s="256"/>
      <c r="V12" s="259"/>
      <c r="W12" s="260"/>
      <c r="X12" s="261"/>
      <c r="Y12" s="261"/>
      <c r="Z12" s="262"/>
      <c r="AA12" s="261"/>
      <c r="AB12" s="263"/>
      <c r="AC12" s="261"/>
    </row>
    <row r="13" spans="1:29">
      <c r="A13" s="257" t="s">
        <v>142</v>
      </c>
      <c r="B13" s="257" t="s">
        <v>111</v>
      </c>
      <c r="C13" s="257" t="s">
        <v>160</v>
      </c>
      <c r="D13" s="257" t="s">
        <v>144</v>
      </c>
      <c r="E13" s="257">
        <v>2503.4899999999998</v>
      </c>
      <c r="G13" s="257" t="s">
        <v>8</v>
      </c>
      <c r="H13" s="257">
        <v>1</v>
      </c>
      <c r="L13" s="257" t="s">
        <v>145</v>
      </c>
      <c r="M13" s="257" t="s">
        <v>159</v>
      </c>
      <c r="P13" s="257" t="s">
        <v>155</v>
      </c>
      <c r="U13" s="256"/>
      <c r="V13" s="259"/>
      <c r="W13" s="260"/>
      <c r="X13" s="261"/>
      <c r="Y13" s="261"/>
      <c r="Z13" s="262"/>
      <c r="AA13" s="261"/>
      <c r="AB13" s="263"/>
      <c r="AC13" s="261"/>
    </row>
    <row r="14" spans="1:29">
      <c r="A14" s="257" t="s">
        <v>142</v>
      </c>
      <c r="B14" s="257" t="s">
        <v>111</v>
      </c>
      <c r="C14" s="257" t="s">
        <v>161</v>
      </c>
      <c r="D14" s="257" t="s">
        <v>144</v>
      </c>
      <c r="E14" s="257">
        <v>1392.68</v>
      </c>
      <c r="G14" s="257" t="s">
        <v>8</v>
      </c>
      <c r="H14" s="257">
        <v>1</v>
      </c>
      <c r="I14" s="258"/>
      <c r="J14" s="258"/>
      <c r="L14" s="257" t="s">
        <v>145</v>
      </c>
      <c r="M14" s="257" t="s">
        <v>154</v>
      </c>
      <c r="P14" s="257" t="s">
        <v>155</v>
      </c>
      <c r="U14" s="256"/>
      <c r="V14" s="259"/>
      <c r="W14" s="260"/>
      <c r="X14" s="261"/>
      <c r="Y14" s="261"/>
      <c r="Z14" s="262"/>
      <c r="AA14" s="261"/>
      <c r="AB14" s="263"/>
      <c r="AC14" s="261"/>
    </row>
    <row r="15" spans="1:29">
      <c r="A15" s="257" t="s">
        <v>162</v>
      </c>
      <c r="B15" s="257" t="s">
        <v>111</v>
      </c>
      <c r="C15" s="257" t="s">
        <v>163</v>
      </c>
      <c r="D15" s="257" t="s">
        <v>144</v>
      </c>
      <c r="E15" s="257">
        <v>1542.83</v>
      </c>
      <c r="G15" s="257" t="s">
        <v>8</v>
      </c>
      <c r="H15" s="257">
        <v>1</v>
      </c>
      <c r="I15" s="258"/>
      <c r="J15" s="258"/>
      <c r="L15" s="257" t="s">
        <v>145</v>
      </c>
      <c r="M15" s="257" t="s">
        <v>164</v>
      </c>
      <c r="P15" s="257" t="s">
        <v>165</v>
      </c>
      <c r="U15" s="256"/>
      <c r="V15" s="259"/>
      <c r="W15" s="256"/>
      <c r="X15" s="261"/>
      <c r="Y15" s="256"/>
      <c r="Z15" s="262"/>
      <c r="AA15" s="261"/>
      <c r="AB15" s="263"/>
      <c r="AC15" s="261"/>
    </row>
    <row r="16" spans="1:29">
      <c r="A16" s="257" t="s">
        <v>162</v>
      </c>
      <c r="B16" s="257" t="s">
        <v>111</v>
      </c>
      <c r="C16" s="257" t="s">
        <v>166</v>
      </c>
      <c r="D16" s="257" t="s">
        <v>144</v>
      </c>
      <c r="E16" s="257">
        <v>1542.83</v>
      </c>
      <c r="G16" s="257" t="s">
        <v>8</v>
      </c>
      <c r="H16" s="257">
        <v>1</v>
      </c>
      <c r="I16" s="258"/>
      <c r="J16" s="258"/>
      <c r="L16" s="257" t="s">
        <v>145</v>
      </c>
      <c r="M16" s="257" t="s">
        <v>164</v>
      </c>
      <c r="P16" s="257" t="s">
        <v>165</v>
      </c>
      <c r="U16" s="256"/>
      <c r="V16" s="259"/>
      <c r="W16" s="260"/>
      <c r="X16" s="261"/>
      <c r="Y16" s="261"/>
      <c r="Z16" s="262"/>
      <c r="AA16" s="261"/>
      <c r="AB16" s="263"/>
      <c r="AC16" s="261"/>
    </row>
    <row r="17" spans="1:29">
      <c r="A17" s="257" t="s">
        <v>162</v>
      </c>
      <c r="B17" s="257" t="s">
        <v>111</v>
      </c>
      <c r="C17" s="257" t="s">
        <v>167</v>
      </c>
      <c r="D17" s="257" t="s">
        <v>144</v>
      </c>
      <c r="E17" s="257">
        <v>1587.77</v>
      </c>
      <c r="G17" s="257" t="s">
        <v>8</v>
      </c>
      <c r="H17" s="257">
        <v>1</v>
      </c>
      <c r="I17" s="258"/>
      <c r="J17" s="258"/>
      <c r="L17" s="257" t="s">
        <v>145</v>
      </c>
      <c r="M17" s="257" t="s">
        <v>164</v>
      </c>
      <c r="P17" s="257" t="s">
        <v>165</v>
      </c>
      <c r="U17" s="256"/>
      <c r="V17" s="259"/>
      <c r="W17" s="260"/>
      <c r="X17" s="261"/>
      <c r="Y17" s="261"/>
      <c r="Z17" s="262"/>
      <c r="AA17" s="261"/>
      <c r="AB17" s="263"/>
      <c r="AC17" s="261"/>
    </row>
    <row r="18" spans="1:29">
      <c r="A18" s="257" t="s">
        <v>162</v>
      </c>
      <c r="B18" s="257" t="s">
        <v>111</v>
      </c>
      <c r="C18" s="257" t="s">
        <v>168</v>
      </c>
      <c r="D18" s="257" t="s">
        <v>144</v>
      </c>
      <c r="E18" s="257">
        <v>1720.51</v>
      </c>
      <c r="G18" s="257" t="s">
        <v>8</v>
      </c>
      <c r="H18" s="257">
        <v>1</v>
      </c>
      <c r="I18" s="258"/>
      <c r="J18" s="258"/>
      <c r="L18" s="257" t="s">
        <v>145</v>
      </c>
      <c r="M18" s="257" t="s">
        <v>164</v>
      </c>
      <c r="P18" s="257" t="s">
        <v>165</v>
      </c>
      <c r="U18" s="256"/>
      <c r="V18" s="259"/>
      <c r="W18" s="260"/>
      <c r="X18" s="261"/>
      <c r="Y18" s="261"/>
      <c r="Z18" s="262"/>
      <c r="AA18" s="261"/>
      <c r="AB18" s="263"/>
      <c r="AC18" s="261"/>
    </row>
    <row r="19" spans="1:29">
      <c r="A19" s="257" t="s">
        <v>162</v>
      </c>
      <c r="B19" s="257" t="s">
        <v>111</v>
      </c>
      <c r="C19" s="257" t="s">
        <v>169</v>
      </c>
      <c r="D19" s="257" t="s">
        <v>144</v>
      </c>
      <c r="E19" s="257">
        <v>1542.83</v>
      </c>
      <c r="G19" s="257" t="s">
        <v>8</v>
      </c>
      <c r="H19" s="257">
        <v>1</v>
      </c>
      <c r="I19" s="258"/>
      <c r="J19" s="258"/>
      <c r="L19" s="257" t="s">
        <v>145</v>
      </c>
      <c r="M19" s="257" t="s">
        <v>164</v>
      </c>
      <c r="P19" s="257" t="s">
        <v>165</v>
      </c>
      <c r="U19" s="256"/>
      <c r="V19" s="259"/>
      <c r="W19" s="260"/>
      <c r="X19" s="261"/>
      <c r="Y19" s="261"/>
      <c r="Z19" s="262"/>
      <c r="AA19" s="261"/>
      <c r="AB19" s="263"/>
      <c r="AC19" s="261"/>
    </row>
    <row r="20" spans="1:29">
      <c r="A20" s="257" t="s">
        <v>162</v>
      </c>
      <c r="B20" s="257" t="s">
        <v>111</v>
      </c>
      <c r="C20" s="257" t="s">
        <v>170</v>
      </c>
      <c r="D20" s="257" t="s">
        <v>144</v>
      </c>
      <c r="E20" s="257">
        <v>1720.51</v>
      </c>
      <c r="G20" s="257" t="s">
        <v>8</v>
      </c>
      <c r="H20" s="257">
        <v>1</v>
      </c>
      <c r="I20" s="258"/>
      <c r="J20" s="258"/>
      <c r="L20" s="257" t="s">
        <v>145</v>
      </c>
      <c r="M20" s="257" t="s">
        <v>164</v>
      </c>
      <c r="P20" s="257" t="s">
        <v>165</v>
      </c>
      <c r="U20" s="256"/>
      <c r="V20" s="259"/>
      <c r="W20" s="260"/>
      <c r="X20" s="261"/>
      <c r="Y20" s="261"/>
      <c r="Z20" s="262"/>
      <c r="AA20" s="261"/>
      <c r="AB20" s="263"/>
      <c r="AC20" s="261"/>
    </row>
    <row r="21" spans="1:29">
      <c r="A21" s="257" t="s">
        <v>162</v>
      </c>
      <c r="B21" s="257" t="s">
        <v>111</v>
      </c>
      <c r="C21" s="257" t="s">
        <v>171</v>
      </c>
      <c r="D21" s="257" t="s">
        <v>144</v>
      </c>
      <c r="E21" s="257">
        <v>1752.97</v>
      </c>
      <c r="G21" s="257" t="s">
        <v>8</v>
      </c>
      <c r="H21" s="257">
        <v>1</v>
      </c>
      <c r="I21" s="258"/>
      <c r="J21" s="258"/>
      <c r="L21" s="257" t="s">
        <v>145</v>
      </c>
      <c r="M21" s="257" t="s">
        <v>164</v>
      </c>
      <c r="P21" s="257" t="s">
        <v>165</v>
      </c>
      <c r="U21" s="256"/>
      <c r="V21" s="259"/>
      <c r="W21" s="260"/>
      <c r="X21" s="261"/>
      <c r="Y21" s="261"/>
      <c r="Z21" s="262"/>
      <c r="AA21" s="261"/>
      <c r="AB21" s="263"/>
      <c r="AC21" s="261"/>
    </row>
    <row r="22" spans="1:29">
      <c r="A22" s="257" t="s">
        <v>162</v>
      </c>
      <c r="B22" s="257" t="s">
        <v>111</v>
      </c>
      <c r="C22" s="257" t="s">
        <v>172</v>
      </c>
      <c r="D22" s="257" t="s">
        <v>144</v>
      </c>
      <c r="E22" s="257">
        <v>1587.77</v>
      </c>
      <c r="G22" s="257" t="s">
        <v>8</v>
      </c>
      <c r="H22" s="257">
        <v>1</v>
      </c>
      <c r="I22" s="258"/>
      <c r="J22" s="258"/>
      <c r="L22" s="257" t="s">
        <v>145</v>
      </c>
      <c r="M22" s="257" t="s">
        <v>164</v>
      </c>
      <c r="P22" s="257" t="s">
        <v>165</v>
      </c>
      <c r="U22" s="256"/>
      <c r="V22" s="259"/>
      <c r="W22" s="260"/>
      <c r="X22" s="261"/>
      <c r="Y22" s="261"/>
      <c r="Z22" s="262"/>
      <c r="AA22" s="261"/>
      <c r="AB22" s="263"/>
      <c r="AC22" s="261"/>
    </row>
    <row r="23" spans="1:29">
      <c r="A23" s="257" t="s">
        <v>162</v>
      </c>
      <c r="B23" s="257" t="s">
        <v>111</v>
      </c>
      <c r="C23" s="257" t="s">
        <v>173</v>
      </c>
      <c r="D23" s="257" t="s">
        <v>144</v>
      </c>
      <c r="E23" s="257">
        <v>1542.83</v>
      </c>
      <c r="G23" s="257" t="s">
        <v>8</v>
      </c>
      <c r="H23" s="257">
        <v>1</v>
      </c>
      <c r="I23" s="258"/>
      <c r="J23" s="258"/>
      <c r="L23" s="257" t="s">
        <v>145</v>
      </c>
      <c r="M23" s="257" t="s">
        <v>164</v>
      </c>
      <c r="P23" s="257" t="s">
        <v>165</v>
      </c>
      <c r="U23" s="256"/>
      <c r="V23" s="259"/>
      <c r="W23" s="260"/>
      <c r="X23" s="261"/>
      <c r="Y23" s="261"/>
      <c r="Z23" s="262"/>
      <c r="AA23" s="261"/>
      <c r="AB23" s="263"/>
      <c r="AC23" s="261"/>
    </row>
    <row r="24" spans="1:29">
      <c r="A24" s="257" t="s">
        <v>162</v>
      </c>
      <c r="B24" s="257" t="s">
        <v>111</v>
      </c>
      <c r="C24" s="257" t="s">
        <v>174</v>
      </c>
      <c r="D24" s="257" t="s">
        <v>144</v>
      </c>
      <c r="E24" s="257">
        <v>1671.82</v>
      </c>
      <c r="G24" s="257" t="s">
        <v>8</v>
      </c>
      <c r="H24" s="257">
        <v>1</v>
      </c>
      <c r="I24" s="258"/>
      <c r="J24" s="258"/>
      <c r="L24" s="257" t="s">
        <v>145</v>
      </c>
      <c r="M24" s="257" t="s">
        <v>164</v>
      </c>
      <c r="P24" s="257" t="s">
        <v>165</v>
      </c>
      <c r="U24" s="256"/>
      <c r="V24" s="259"/>
      <c r="W24" s="260"/>
      <c r="X24" s="261"/>
      <c r="Y24" s="261"/>
      <c r="Z24" s="262"/>
      <c r="AA24" s="261"/>
      <c r="AB24" s="263"/>
      <c r="AC24" s="261"/>
    </row>
    <row r="25" spans="1:29">
      <c r="A25" s="257" t="s">
        <v>162</v>
      </c>
      <c r="B25" s="257" t="s">
        <v>111</v>
      </c>
      <c r="C25" s="257" t="s">
        <v>175</v>
      </c>
      <c r="D25" s="257" t="s">
        <v>144</v>
      </c>
      <c r="E25" s="257">
        <v>1542.83</v>
      </c>
      <c r="G25" s="257" t="s">
        <v>8</v>
      </c>
      <c r="H25" s="257">
        <v>1</v>
      </c>
      <c r="I25" s="258"/>
      <c r="J25" s="258"/>
      <c r="L25" s="257" t="s">
        <v>145</v>
      </c>
      <c r="M25" s="257" t="s">
        <v>164</v>
      </c>
      <c r="P25" s="257" t="s">
        <v>165</v>
      </c>
      <c r="U25" s="256"/>
      <c r="V25" s="259"/>
      <c r="W25" s="260"/>
      <c r="X25" s="261"/>
      <c r="Y25" s="261"/>
      <c r="Z25" s="262"/>
      <c r="AA25" s="261"/>
      <c r="AB25" s="263"/>
      <c r="AC25" s="261"/>
    </row>
    <row r="26" spans="1:29">
      <c r="A26" s="257" t="s">
        <v>162</v>
      </c>
      <c r="B26" s="257" t="s">
        <v>111</v>
      </c>
      <c r="C26" s="257" t="s">
        <v>176</v>
      </c>
      <c r="D26" s="257" t="s">
        <v>144</v>
      </c>
      <c r="E26" s="257">
        <v>1671.82</v>
      </c>
      <c r="G26" s="257" t="s">
        <v>8</v>
      </c>
      <c r="H26" s="257">
        <v>1</v>
      </c>
      <c r="I26" s="258"/>
      <c r="J26" s="258"/>
      <c r="L26" s="257" t="s">
        <v>145</v>
      </c>
      <c r="M26" s="257" t="s">
        <v>164</v>
      </c>
      <c r="P26" s="257" t="s">
        <v>165</v>
      </c>
      <c r="U26" s="256"/>
      <c r="V26" s="259"/>
      <c r="W26" s="260"/>
      <c r="X26" s="261"/>
      <c r="Y26" s="261"/>
      <c r="Z26" s="262"/>
      <c r="AA26" s="261"/>
      <c r="AB26" s="263"/>
      <c r="AC26" s="261"/>
    </row>
    <row r="27" spans="1:29">
      <c r="A27" s="257" t="s">
        <v>162</v>
      </c>
      <c r="B27" s="257" t="s">
        <v>111</v>
      </c>
      <c r="C27" s="257" t="s">
        <v>177</v>
      </c>
      <c r="D27" s="257" t="s">
        <v>144</v>
      </c>
      <c r="E27" s="257">
        <v>2531.0100000000002</v>
      </c>
      <c r="G27" s="257" t="s">
        <v>8</v>
      </c>
      <c r="H27" s="257">
        <v>1</v>
      </c>
      <c r="I27" s="258"/>
      <c r="J27" s="258"/>
      <c r="L27" s="257" t="s">
        <v>145</v>
      </c>
      <c r="M27" s="257" t="s">
        <v>164</v>
      </c>
      <c r="P27" s="257" t="s">
        <v>178</v>
      </c>
      <c r="U27" s="256"/>
      <c r="V27" s="259"/>
      <c r="W27" s="260"/>
      <c r="X27" s="261"/>
      <c r="Y27" s="261"/>
      <c r="Z27" s="262"/>
      <c r="AA27" s="261"/>
      <c r="AB27" s="263"/>
      <c r="AC27" s="261"/>
    </row>
    <row r="28" spans="1:29">
      <c r="A28" s="257" t="s">
        <v>162</v>
      </c>
      <c r="B28" s="257" t="s">
        <v>111</v>
      </c>
      <c r="C28" s="257" t="s">
        <v>179</v>
      </c>
      <c r="D28" s="257" t="s">
        <v>144</v>
      </c>
      <c r="E28" s="257">
        <v>2811.56</v>
      </c>
      <c r="G28" s="257" t="s">
        <v>8</v>
      </c>
      <c r="H28" s="257">
        <v>1</v>
      </c>
      <c r="I28" s="258"/>
      <c r="J28" s="258"/>
      <c r="L28" s="257" t="s">
        <v>145</v>
      </c>
      <c r="M28" s="257" t="s">
        <v>164</v>
      </c>
      <c r="P28" s="257" t="s">
        <v>178</v>
      </c>
      <c r="U28" s="256"/>
      <c r="V28" s="259"/>
      <c r="W28" s="260"/>
      <c r="X28" s="261"/>
      <c r="Y28" s="261"/>
      <c r="Z28" s="262"/>
      <c r="AA28" s="261"/>
      <c r="AB28" s="263"/>
      <c r="AC28" s="261"/>
    </row>
    <row r="29" spans="1:29" customFormat="1" ht="12.75">
      <c r="A29" t="s">
        <v>142</v>
      </c>
      <c r="B29" t="s">
        <v>111</v>
      </c>
      <c r="C29" t="s">
        <v>287</v>
      </c>
      <c r="D29" t="s">
        <v>144</v>
      </c>
      <c r="E29">
        <v>1235.75</v>
      </c>
      <c r="G29" t="s">
        <v>8</v>
      </c>
      <c r="H29">
        <v>1</v>
      </c>
      <c r="I29" s="327"/>
      <c r="J29" s="327"/>
      <c r="L29" t="s">
        <v>145</v>
      </c>
      <c r="M29" t="s">
        <v>112</v>
      </c>
      <c r="P29" t="s">
        <v>288</v>
      </c>
      <c r="Q29" t="b">
        <v>0</v>
      </c>
    </row>
    <row r="30" spans="1:29">
      <c r="I30" s="258"/>
      <c r="J30" s="258"/>
      <c r="U30" s="256"/>
      <c r="V30" s="259"/>
      <c r="W30" s="260"/>
      <c r="X30" s="261"/>
      <c r="Y30" s="261"/>
      <c r="Z30" s="262"/>
      <c r="AA30" s="261"/>
      <c r="AB30" s="263"/>
      <c r="AC30" s="261"/>
    </row>
    <row r="31" spans="1:29">
      <c r="A31" s="257" t="s">
        <v>142</v>
      </c>
      <c r="B31" s="257" t="s">
        <v>111</v>
      </c>
      <c r="C31" s="257" t="s">
        <v>143</v>
      </c>
      <c r="D31" s="257" t="s">
        <v>138</v>
      </c>
      <c r="E31" s="257">
        <v>20.52</v>
      </c>
      <c r="G31" s="257" t="s">
        <v>180</v>
      </c>
      <c r="H31" s="257">
        <v>1</v>
      </c>
      <c r="I31" s="258"/>
      <c r="J31" s="258"/>
      <c r="L31" s="257" t="s">
        <v>145</v>
      </c>
      <c r="M31" s="257" t="s">
        <v>112</v>
      </c>
      <c r="P31" s="257" t="s">
        <v>147</v>
      </c>
      <c r="U31" s="256"/>
      <c r="V31" s="259"/>
      <c r="W31" s="260"/>
      <c r="X31" s="261"/>
      <c r="Y31" s="261"/>
      <c r="Z31" s="262"/>
      <c r="AA31" s="261"/>
      <c r="AB31" s="263"/>
      <c r="AC31" s="261"/>
    </row>
    <row r="32" spans="1:29">
      <c r="A32" s="257" t="s">
        <v>142</v>
      </c>
      <c r="B32" s="257" t="s">
        <v>111</v>
      </c>
      <c r="C32" s="257" t="s">
        <v>148</v>
      </c>
      <c r="D32" s="257" t="s">
        <v>138</v>
      </c>
      <c r="E32" s="257">
        <v>20.52</v>
      </c>
      <c r="G32" s="257" t="s">
        <v>180</v>
      </c>
      <c r="H32" s="257">
        <v>1</v>
      </c>
      <c r="I32" s="258"/>
      <c r="J32" s="258"/>
      <c r="L32" s="257" t="s">
        <v>145</v>
      </c>
      <c r="M32" s="257" t="s">
        <v>112</v>
      </c>
      <c r="P32" s="257" t="s">
        <v>147</v>
      </c>
      <c r="U32" s="256"/>
      <c r="V32" s="259"/>
      <c r="W32" s="260"/>
      <c r="X32" s="261"/>
      <c r="Y32" s="261"/>
      <c r="Z32" s="262"/>
      <c r="AA32" s="261"/>
      <c r="AB32" s="263"/>
      <c r="AC32" s="261"/>
    </row>
    <row r="33" spans="1:29">
      <c r="A33" s="257" t="s">
        <v>142</v>
      </c>
      <c r="B33" s="257" t="s">
        <v>111</v>
      </c>
      <c r="C33" s="257" t="s">
        <v>149</v>
      </c>
      <c r="D33" s="257" t="s">
        <v>138</v>
      </c>
      <c r="E33" s="257">
        <v>20.52</v>
      </c>
      <c r="G33" s="257" t="s">
        <v>180</v>
      </c>
      <c r="H33" s="257">
        <v>1</v>
      </c>
      <c r="I33" s="258"/>
      <c r="J33" s="258"/>
      <c r="L33" s="257" t="s">
        <v>145</v>
      </c>
      <c r="M33" s="257" t="s">
        <v>112</v>
      </c>
      <c r="P33" s="257" t="s">
        <v>147</v>
      </c>
      <c r="U33" s="256"/>
      <c r="V33" s="259"/>
      <c r="W33" s="260"/>
      <c r="X33" s="261"/>
      <c r="Y33" s="261"/>
      <c r="Z33" s="262"/>
      <c r="AA33" s="261"/>
      <c r="AB33" s="263"/>
      <c r="AC33" s="261"/>
    </row>
    <row r="34" spans="1:29">
      <c r="A34" s="257" t="s">
        <v>142</v>
      </c>
      <c r="B34" s="257" t="s">
        <v>111</v>
      </c>
      <c r="C34" s="257" t="s">
        <v>150</v>
      </c>
      <c r="D34" s="257" t="s">
        <v>138</v>
      </c>
      <c r="E34" s="257">
        <v>20.52</v>
      </c>
      <c r="G34" s="257" t="s">
        <v>180</v>
      </c>
      <c r="H34" s="257">
        <v>1</v>
      </c>
      <c r="I34" s="258"/>
      <c r="J34" s="258"/>
      <c r="L34" s="257" t="s">
        <v>145</v>
      </c>
      <c r="M34" s="257" t="s">
        <v>112</v>
      </c>
      <c r="P34" s="257" t="s">
        <v>147</v>
      </c>
      <c r="U34" s="256"/>
      <c r="V34" s="259"/>
      <c r="W34" s="260"/>
      <c r="X34" s="261"/>
      <c r="Y34" s="261"/>
      <c r="Z34" s="262"/>
      <c r="AA34" s="261"/>
      <c r="AB34" s="263"/>
      <c r="AC34" s="261"/>
    </row>
    <row r="35" spans="1:29">
      <c r="A35" s="257" t="s">
        <v>142</v>
      </c>
      <c r="B35" s="257" t="s">
        <v>111</v>
      </c>
      <c r="C35" s="257" t="s">
        <v>151</v>
      </c>
      <c r="D35" s="257" t="s">
        <v>138</v>
      </c>
      <c r="E35" s="257">
        <v>20.52</v>
      </c>
      <c r="G35" s="257" t="s">
        <v>180</v>
      </c>
      <c r="H35" s="257">
        <v>1</v>
      </c>
      <c r="I35" s="258"/>
      <c r="J35" s="258"/>
      <c r="L35" s="257" t="s">
        <v>145</v>
      </c>
      <c r="M35" s="257" t="s">
        <v>112</v>
      </c>
      <c r="P35" s="257" t="s">
        <v>147</v>
      </c>
      <c r="U35" s="256"/>
      <c r="V35" s="259"/>
      <c r="W35" s="260"/>
      <c r="X35" s="261"/>
      <c r="Y35" s="261"/>
      <c r="Z35" s="262"/>
      <c r="AA35" s="261"/>
      <c r="AB35" s="263"/>
      <c r="AC35" s="261"/>
    </row>
    <row r="36" spans="1:29">
      <c r="A36" s="257" t="s">
        <v>142</v>
      </c>
      <c r="B36" s="257" t="s">
        <v>111</v>
      </c>
      <c r="C36" s="257" t="s">
        <v>205</v>
      </c>
      <c r="D36" s="257" t="s">
        <v>138</v>
      </c>
      <c r="E36" s="257">
        <v>20.52</v>
      </c>
      <c r="G36" s="257" t="s">
        <v>180</v>
      </c>
      <c r="H36" s="257">
        <v>1</v>
      </c>
      <c r="I36" s="258"/>
      <c r="J36" s="258"/>
      <c r="L36" s="257" t="s">
        <v>145</v>
      </c>
      <c r="M36" s="257" t="s">
        <v>112</v>
      </c>
      <c r="P36" s="257" t="s">
        <v>147</v>
      </c>
      <c r="U36" s="256"/>
      <c r="V36" s="259"/>
      <c r="W36" s="260"/>
      <c r="X36" s="261"/>
      <c r="Y36" s="261"/>
      <c r="Z36" s="262"/>
      <c r="AA36" s="261"/>
      <c r="AB36" s="263"/>
      <c r="AC36" s="261"/>
    </row>
    <row r="37" spans="1:29">
      <c r="A37" s="257" t="s">
        <v>142</v>
      </c>
      <c r="B37" s="257" t="s">
        <v>111</v>
      </c>
      <c r="C37" s="257" t="s">
        <v>152</v>
      </c>
      <c r="D37" s="257" t="s">
        <v>138</v>
      </c>
      <c r="E37" s="257">
        <v>20.52</v>
      </c>
      <c r="G37" s="257" t="s">
        <v>180</v>
      </c>
      <c r="H37" s="257">
        <v>1</v>
      </c>
      <c r="I37" s="258"/>
      <c r="J37" s="258"/>
      <c r="L37" s="257" t="s">
        <v>145</v>
      </c>
      <c r="M37" s="257" t="s">
        <v>112</v>
      </c>
      <c r="P37" s="257" t="s">
        <v>147</v>
      </c>
      <c r="U37" s="256"/>
      <c r="V37" s="259"/>
      <c r="W37" s="260"/>
      <c r="X37" s="261"/>
      <c r="Y37" s="261"/>
      <c r="Z37" s="262"/>
      <c r="AA37" s="261"/>
      <c r="AB37" s="263"/>
      <c r="AC37" s="261"/>
    </row>
    <row r="38" spans="1:29">
      <c r="A38" s="257" t="s">
        <v>142</v>
      </c>
      <c r="B38" s="257" t="s">
        <v>111</v>
      </c>
      <c r="C38" s="257" t="s">
        <v>153</v>
      </c>
      <c r="D38" s="257" t="s">
        <v>138</v>
      </c>
      <c r="E38" s="257">
        <v>31.65</v>
      </c>
      <c r="G38" s="257" t="s">
        <v>180</v>
      </c>
      <c r="H38" s="257">
        <v>1</v>
      </c>
      <c r="I38" s="258"/>
      <c r="J38" s="258"/>
      <c r="L38" s="257" t="s">
        <v>145</v>
      </c>
      <c r="M38" s="257" t="s">
        <v>112</v>
      </c>
      <c r="P38" s="257" t="s">
        <v>155</v>
      </c>
      <c r="U38" s="256"/>
      <c r="V38" s="259"/>
      <c r="W38" s="260"/>
      <c r="X38" s="261"/>
      <c r="Y38" s="261"/>
      <c r="Z38" s="262"/>
      <c r="AA38" s="261"/>
      <c r="AB38" s="263"/>
      <c r="AC38" s="261"/>
    </row>
    <row r="39" spans="1:29">
      <c r="A39" s="257" t="s">
        <v>142</v>
      </c>
      <c r="B39" s="257" t="s">
        <v>111</v>
      </c>
      <c r="C39" s="257" t="s">
        <v>156</v>
      </c>
      <c r="D39" s="257" t="s">
        <v>138</v>
      </c>
      <c r="E39" s="257">
        <v>31.65</v>
      </c>
      <c r="G39" s="257" t="s">
        <v>180</v>
      </c>
      <c r="H39" s="257">
        <v>1</v>
      </c>
      <c r="I39" s="258"/>
      <c r="J39" s="258"/>
      <c r="L39" s="257" t="s">
        <v>145</v>
      </c>
      <c r="M39" s="257" t="s">
        <v>112</v>
      </c>
      <c r="P39" s="257" t="s">
        <v>155</v>
      </c>
      <c r="U39" s="256"/>
      <c r="V39" s="259"/>
      <c r="W39" s="260"/>
      <c r="X39" s="261"/>
      <c r="Y39" s="261"/>
      <c r="Z39" s="262"/>
      <c r="AA39" s="261"/>
      <c r="AB39" s="263"/>
      <c r="AC39" s="261"/>
    </row>
    <row r="40" spans="1:29">
      <c r="A40" s="257" t="s">
        <v>142</v>
      </c>
      <c r="B40" s="257" t="s">
        <v>111</v>
      </c>
      <c r="C40" s="257" t="s">
        <v>157</v>
      </c>
      <c r="D40" s="257" t="s">
        <v>138</v>
      </c>
      <c r="E40" s="257">
        <v>31.65</v>
      </c>
      <c r="G40" s="257" t="s">
        <v>180</v>
      </c>
      <c r="H40" s="257">
        <v>1</v>
      </c>
      <c r="I40" s="258"/>
      <c r="J40" s="258"/>
      <c r="L40" s="257" t="s">
        <v>145</v>
      </c>
      <c r="M40" s="257" t="s">
        <v>112</v>
      </c>
      <c r="P40" s="257" t="s">
        <v>155</v>
      </c>
      <c r="U40" s="256"/>
      <c r="V40" s="259"/>
      <c r="W40" s="260"/>
      <c r="X40" s="261"/>
      <c r="Y40" s="261"/>
      <c r="Z40" s="262"/>
      <c r="AA40" s="261"/>
      <c r="AB40" s="263"/>
      <c r="AC40" s="261"/>
    </row>
    <row r="41" spans="1:29">
      <c r="A41" s="257" t="s">
        <v>142</v>
      </c>
      <c r="B41" s="257" t="s">
        <v>111</v>
      </c>
      <c r="C41" s="257" t="s">
        <v>158</v>
      </c>
      <c r="D41" s="257" t="s">
        <v>138</v>
      </c>
      <c r="E41" s="257">
        <v>38.79</v>
      </c>
      <c r="G41" s="257" t="s">
        <v>180</v>
      </c>
      <c r="H41" s="257">
        <v>1</v>
      </c>
      <c r="I41" s="258"/>
      <c r="J41" s="258"/>
      <c r="L41" s="257" t="s">
        <v>145</v>
      </c>
      <c r="M41" s="257" t="s">
        <v>112</v>
      </c>
      <c r="P41" s="257" t="s">
        <v>155</v>
      </c>
      <c r="U41" s="256"/>
      <c r="V41" s="259"/>
      <c r="W41" s="260"/>
      <c r="X41" s="261"/>
      <c r="Y41" s="261"/>
      <c r="Z41" s="262"/>
      <c r="AA41" s="261"/>
      <c r="AB41" s="263"/>
      <c r="AC41" s="261"/>
    </row>
    <row r="42" spans="1:29">
      <c r="A42" s="257" t="s">
        <v>142</v>
      </c>
      <c r="B42" s="257" t="s">
        <v>111</v>
      </c>
      <c r="C42" s="257" t="s">
        <v>160</v>
      </c>
      <c r="D42" s="257" t="s">
        <v>138</v>
      </c>
      <c r="E42" s="257">
        <v>38.79</v>
      </c>
      <c r="G42" s="257" t="s">
        <v>180</v>
      </c>
      <c r="H42" s="257">
        <v>1</v>
      </c>
      <c r="I42" s="258"/>
      <c r="J42" s="258"/>
      <c r="L42" s="257" t="s">
        <v>145</v>
      </c>
      <c r="M42" s="257" t="s">
        <v>112</v>
      </c>
      <c r="P42" s="257" t="s">
        <v>155</v>
      </c>
      <c r="U42" s="256"/>
      <c r="V42" s="259"/>
      <c r="W42" s="260"/>
      <c r="X42" s="261"/>
      <c r="Y42" s="261"/>
      <c r="Z42" s="262"/>
      <c r="AA42" s="261"/>
      <c r="AB42" s="263"/>
      <c r="AC42" s="261"/>
    </row>
    <row r="43" spans="1:29">
      <c r="A43" s="257" t="s">
        <v>142</v>
      </c>
      <c r="B43" s="257" t="s">
        <v>111</v>
      </c>
      <c r="C43" s="257" t="s">
        <v>161</v>
      </c>
      <c r="D43" s="257" t="s">
        <v>138</v>
      </c>
      <c r="E43" s="257">
        <v>31.65</v>
      </c>
      <c r="G43" s="257" t="s">
        <v>180</v>
      </c>
      <c r="H43" s="257">
        <v>1</v>
      </c>
      <c r="I43" s="258"/>
      <c r="J43" s="258"/>
      <c r="L43" s="257" t="s">
        <v>145</v>
      </c>
      <c r="M43" s="257" t="s">
        <v>112</v>
      </c>
      <c r="P43" s="257" t="s">
        <v>155</v>
      </c>
      <c r="U43" s="256"/>
      <c r="V43" s="259"/>
      <c r="W43" s="260"/>
      <c r="X43" s="261"/>
      <c r="Y43" s="261"/>
      <c r="Z43" s="262"/>
      <c r="AA43" s="261"/>
      <c r="AB43" s="263"/>
      <c r="AC43" s="261"/>
    </row>
    <row r="44" spans="1:29">
      <c r="A44" s="257" t="s">
        <v>162</v>
      </c>
      <c r="B44" s="257" t="s">
        <v>111</v>
      </c>
      <c r="C44" s="257" t="s">
        <v>163</v>
      </c>
      <c r="D44" s="257" t="s">
        <v>138</v>
      </c>
      <c r="E44" s="257">
        <v>38.770000000000003</v>
      </c>
      <c r="F44" s="257" t="s">
        <v>181</v>
      </c>
      <c r="G44" s="257" t="s">
        <v>180</v>
      </c>
      <c r="H44" s="257">
        <v>1</v>
      </c>
      <c r="I44" s="258"/>
      <c r="J44" s="258"/>
      <c r="L44" s="257" t="s">
        <v>182</v>
      </c>
      <c r="M44" s="257" t="s">
        <v>183</v>
      </c>
      <c r="P44" s="257" t="s">
        <v>165</v>
      </c>
      <c r="U44" s="256"/>
      <c r="V44" s="259"/>
      <c r="W44" s="260"/>
      <c r="X44" s="261"/>
      <c r="Y44" s="261"/>
      <c r="Z44" s="262"/>
      <c r="AA44" s="261"/>
      <c r="AB44" s="263"/>
      <c r="AC44" s="261"/>
    </row>
    <row r="45" spans="1:29">
      <c r="A45" s="257" t="s">
        <v>162</v>
      </c>
      <c r="B45" s="257" t="s">
        <v>111</v>
      </c>
      <c r="C45" s="257" t="s">
        <v>166</v>
      </c>
      <c r="D45" s="257" t="s">
        <v>138</v>
      </c>
      <c r="E45" s="257">
        <v>38.770000000000003</v>
      </c>
      <c r="F45" s="257" t="s">
        <v>181</v>
      </c>
      <c r="G45" s="257" t="s">
        <v>180</v>
      </c>
      <c r="H45" s="257">
        <v>1</v>
      </c>
      <c r="I45" s="258"/>
      <c r="J45" s="258"/>
      <c r="L45" s="257" t="s">
        <v>182</v>
      </c>
      <c r="M45" s="257" t="s">
        <v>183</v>
      </c>
      <c r="P45" s="257" t="s">
        <v>165</v>
      </c>
      <c r="U45" s="256"/>
      <c r="V45" s="259"/>
      <c r="W45" s="260"/>
      <c r="X45" s="261"/>
      <c r="Y45" s="261"/>
      <c r="Z45" s="262"/>
      <c r="AA45" s="261"/>
      <c r="AB45" s="263"/>
      <c r="AC45" s="261"/>
    </row>
    <row r="46" spans="1:29">
      <c r="A46" s="257" t="s">
        <v>162</v>
      </c>
      <c r="B46" s="257" t="s">
        <v>111</v>
      </c>
      <c r="C46" s="257" t="s">
        <v>167</v>
      </c>
      <c r="D46" s="257" t="s">
        <v>138</v>
      </c>
      <c r="E46" s="257">
        <v>38.770000000000003</v>
      </c>
      <c r="F46" s="257" t="s">
        <v>181</v>
      </c>
      <c r="G46" s="257" t="s">
        <v>180</v>
      </c>
      <c r="H46" s="257">
        <v>1</v>
      </c>
      <c r="I46" s="258"/>
      <c r="J46" s="258"/>
      <c r="L46" s="257" t="s">
        <v>182</v>
      </c>
      <c r="M46" s="257" t="s">
        <v>183</v>
      </c>
      <c r="P46" s="257" t="s">
        <v>165</v>
      </c>
      <c r="U46" s="256"/>
      <c r="V46" s="259"/>
      <c r="W46" s="260"/>
      <c r="X46" s="261"/>
      <c r="Y46" s="261"/>
      <c r="Z46" s="262"/>
      <c r="AA46" s="261"/>
      <c r="AB46" s="263"/>
      <c r="AC46" s="261"/>
    </row>
    <row r="47" spans="1:29">
      <c r="A47" s="257" t="s">
        <v>162</v>
      </c>
      <c r="B47" s="257" t="s">
        <v>111</v>
      </c>
      <c r="C47" s="257" t="s">
        <v>168</v>
      </c>
      <c r="D47" s="257" t="s">
        <v>138</v>
      </c>
      <c r="E47" s="257">
        <v>38.770000000000003</v>
      </c>
      <c r="F47" s="257" t="s">
        <v>181</v>
      </c>
      <c r="G47" s="257" t="s">
        <v>180</v>
      </c>
      <c r="H47" s="257">
        <v>1</v>
      </c>
      <c r="I47" s="258"/>
      <c r="J47" s="258"/>
      <c r="L47" s="257" t="s">
        <v>182</v>
      </c>
      <c r="M47" s="257" t="s">
        <v>183</v>
      </c>
      <c r="P47" s="257" t="s">
        <v>165</v>
      </c>
      <c r="U47" s="256"/>
      <c r="V47" s="259"/>
      <c r="W47" s="260"/>
      <c r="X47" s="261"/>
      <c r="Y47" s="261"/>
      <c r="Z47" s="262"/>
      <c r="AA47" s="261"/>
      <c r="AB47" s="263"/>
      <c r="AC47" s="261"/>
    </row>
    <row r="48" spans="1:29">
      <c r="A48" s="257" t="s">
        <v>162</v>
      </c>
      <c r="B48" s="257" t="s">
        <v>111</v>
      </c>
      <c r="C48" s="257" t="s">
        <v>169</v>
      </c>
      <c r="D48" s="257" t="s">
        <v>138</v>
      </c>
      <c r="E48" s="257">
        <v>38.770000000000003</v>
      </c>
      <c r="F48" s="257" t="s">
        <v>181</v>
      </c>
      <c r="G48" s="257" t="s">
        <v>180</v>
      </c>
      <c r="H48" s="257">
        <v>1</v>
      </c>
      <c r="I48" s="258"/>
      <c r="J48" s="258"/>
      <c r="L48" s="257" t="s">
        <v>182</v>
      </c>
      <c r="M48" s="257" t="s">
        <v>183</v>
      </c>
      <c r="P48" s="257" t="s">
        <v>165</v>
      </c>
      <c r="U48" s="256"/>
      <c r="V48" s="259"/>
      <c r="W48" s="260"/>
      <c r="X48" s="261"/>
      <c r="Y48" s="261"/>
      <c r="Z48" s="262"/>
      <c r="AA48" s="261"/>
      <c r="AB48" s="263"/>
      <c r="AC48" s="261"/>
    </row>
    <row r="49" spans="1:29">
      <c r="A49" s="257" t="s">
        <v>162</v>
      </c>
      <c r="B49" s="257" t="s">
        <v>111</v>
      </c>
      <c r="C49" s="257" t="s">
        <v>170</v>
      </c>
      <c r="D49" s="257" t="s">
        <v>138</v>
      </c>
      <c r="E49" s="257">
        <v>38.770000000000003</v>
      </c>
      <c r="F49" s="257" t="s">
        <v>181</v>
      </c>
      <c r="G49" s="257" t="s">
        <v>180</v>
      </c>
      <c r="H49" s="257">
        <v>1</v>
      </c>
      <c r="I49" s="258"/>
      <c r="J49" s="258"/>
      <c r="L49" s="257" t="s">
        <v>182</v>
      </c>
      <c r="M49" s="257" t="s">
        <v>183</v>
      </c>
      <c r="P49" s="257" t="s">
        <v>165</v>
      </c>
      <c r="U49" s="256"/>
      <c r="V49" s="259"/>
      <c r="W49" s="260"/>
      <c r="X49" s="261"/>
      <c r="Y49" s="261"/>
      <c r="Z49" s="262"/>
      <c r="AA49" s="261"/>
      <c r="AB49" s="263"/>
      <c r="AC49" s="261"/>
    </row>
    <row r="50" spans="1:29">
      <c r="A50" s="257" t="s">
        <v>162</v>
      </c>
      <c r="B50" s="257" t="s">
        <v>111</v>
      </c>
      <c r="C50" s="257" t="s">
        <v>171</v>
      </c>
      <c r="D50" s="257" t="s">
        <v>138</v>
      </c>
      <c r="E50" s="257">
        <v>38.770000000000003</v>
      </c>
      <c r="F50" s="257" t="s">
        <v>181</v>
      </c>
      <c r="G50" s="257" t="s">
        <v>180</v>
      </c>
      <c r="H50" s="257">
        <v>1</v>
      </c>
      <c r="I50" s="258"/>
      <c r="J50" s="258"/>
      <c r="L50" s="257" t="s">
        <v>182</v>
      </c>
      <c r="M50" s="257" t="s">
        <v>183</v>
      </c>
      <c r="P50" s="257" t="s">
        <v>165</v>
      </c>
      <c r="U50" s="256"/>
      <c r="V50" s="259"/>
      <c r="W50" s="260"/>
      <c r="X50" s="261"/>
      <c r="Y50" s="261"/>
      <c r="Z50" s="262"/>
      <c r="AA50" s="261"/>
      <c r="AB50" s="263"/>
      <c r="AC50" s="261"/>
    </row>
    <row r="51" spans="1:29">
      <c r="A51" s="257" t="s">
        <v>162</v>
      </c>
      <c r="B51" s="257" t="s">
        <v>111</v>
      </c>
      <c r="C51" s="257" t="s">
        <v>172</v>
      </c>
      <c r="D51" s="257" t="s">
        <v>138</v>
      </c>
      <c r="E51" s="257">
        <v>38.770000000000003</v>
      </c>
      <c r="F51" s="257" t="s">
        <v>181</v>
      </c>
      <c r="G51" s="257" t="s">
        <v>180</v>
      </c>
      <c r="H51" s="257">
        <v>1</v>
      </c>
      <c r="I51" s="258"/>
      <c r="J51" s="258"/>
      <c r="L51" s="257" t="s">
        <v>182</v>
      </c>
      <c r="M51" s="257" t="s">
        <v>183</v>
      </c>
      <c r="P51" s="257" t="s">
        <v>165</v>
      </c>
      <c r="U51" s="256"/>
      <c r="V51" s="259"/>
      <c r="W51" s="260"/>
      <c r="X51" s="261"/>
      <c r="Y51" s="261"/>
      <c r="Z51" s="262"/>
      <c r="AA51" s="261"/>
      <c r="AB51" s="263"/>
      <c r="AC51" s="261"/>
    </row>
    <row r="52" spans="1:29">
      <c r="A52" s="257" t="s">
        <v>162</v>
      </c>
      <c r="B52" s="257" t="s">
        <v>111</v>
      </c>
      <c r="C52" s="257" t="s">
        <v>173</v>
      </c>
      <c r="D52" s="257" t="s">
        <v>138</v>
      </c>
      <c r="E52" s="257">
        <v>38.770000000000003</v>
      </c>
      <c r="F52" s="257" t="s">
        <v>181</v>
      </c>
      <c r="G52" s="257" t="s">
        <v>180</v>
      </c>
      <c r="H52" s="257">
        <v>1</v>
      </c>
      <c r="I52" s="258"/>
      <c r="J52" s="258"/>
      <c r="L52" s="257" t="s">
        <v>182</v>
      </c>
      <c r="M52" s="257" t="s">
        <v>183</v>
      </c>
      <c r="P52" s="257" t="s">
        <v>165</v>
      </c>
      <c r="U52" s="256"/>
      <c r="V52" s="259"/>
      <c r="W52" s="260"/>
      <c r="X52" s="261"/>
      <c r="Y52" s="261"/>
      <c r="Z52" s="262"/>
      <c r="AA52" s="261"/>
      <c r="AB52" s="263"/>
      <c r="AC52" s="261"/>
    </row>
    <row r="53" spans="1:29">
      <c r="A53" s="257" t="s">
        <v>162</v>
      </c>
      <c r="B53" s="257" t="s">
        <v>111</v>
      </c>
      <c r="C53" s="257" t="s">
        <v>174</v>
      </c>
      <c r="D53" s="257" t="s">
        <v>138</v>
      </c>
      <c r="E53" s="257">
        <v>38.770000000000003</v>
      </c>
      <c r="F53" s="257" t="s">
        <v>181</v>
      </c>
      <c r="G53" s="257" t="s">
        <v>180</v>
      </c>
      <c r="H53" s="257">
        <v>1</v>
      </c>
      <c r="I53" s="258"/>
      <c r="J53" s="258"/>
      <c r="L53" s="257" t="s">
        <v>182</v>
      </c>
      <c r="M53" s="257" t="s">
        <v>183</v>
      </c>
      <c r="P53" s="257" t="s">
        <v>165</v>
      </c>
      <c r="U53" s="256"/>
      <c r="V53" s="259"/>
      <c r="W53" s="260"/>
      <c r="X53" s="261"/>
      <c r="Y53" s="261"/>
      <c r="Z53" s="262"/>
      <c r="AA53" s="261"/>
      <c r="AB53" s="263"/>
      <c r="AC53" s="261"/>
    </row>
    <row r="54" spans="1:29">
      <c r="A54" s="257" t="s">
        <v>162</v>
      </c>
      <c r="B54" s="257" t="s">
        <v>111</v>
      </c>
      <c r="C54" s="257" t="s">
        <v>175</v>
      </c>
      <c r="D54" s="257" t="s">
        <v>138</v>
      </c>
      <c r="E54" s="257">
        <v>38.770000000000003</v>
      </c>
      <c r="F54" s="257" t="s">
        <v>181</v>
      </c>
      <c r="G54" s="257" t="s">
        <v>180</v>
      </c>
      <c r="H54" s="257">
        <v>1</v>
      </c>
      <c r="I54" s="258"/>
      <c r="J54" s="258"/>
      <c r="L54" s="257" t="s">
        <v>182</v>
      </c>
      <c r="M54" s="257" t="s">
        <v>183</v>
      </c>
      <c r="P54" s="257" t="s">
        <v>165</v>
      </c>
      <c r="U54" s="256"/>
      <c r="V54" s="259"/>
      <c r="W54" s="260"/>
      <c r="X54" s="261"/>
      <c r="Y54" s="261"/>
      <c r="Z54" s="262"/>
      <c r="AA54" s="261"/>
      <c r="AB54" s="263"/>
      <c r="AC54" s="261"/>
    </row>
    <row r="55" spans="1:29">
      <c r="A55" s="257" t="s">
        <v>162</v>
      </c>
      <c r="B55" s="257" t="s">
        <v>111</v>
      </c>
      <c r="C55" s="257" t="s">
        <v>176</v>
      </c>
      <c r="D55" s="257" t="s">
        <v>138</v>
      </c>
      <c r="E55" s="257">
        <v>38.770000000000003</v>
      </c>
      <c r="F55" s="257" t="s">
        <v>181</v>
      </c>
      <c r="G55" s="257" t="s">
        <v>180</v>
      </c>
      <c r="H55" s="257">
        <v>1</v>
      </c>
      <c r="I55" s="258"/>
      <c r="J55" s="258"/>
      <c r="L55" s="257" t="s">
        <v>182</v>
      </c>
      <c r="M55" s="257" t="s">
        <v>183</v>
      </c>
      <c r="P55" s="257" t="s">
        <v>165</v>
      </c>
      <c r="U55" s="256"/>
      <c r="V55" s="259"/>
      <c r="W55" s="260"/>
      <c r="X55" s="261"/>
      <c r="Y55" s="261"/>
      <c r="Z55" s="262"/>
      <c r="AA55" s="261"/>
      <c r="AB55" s="263"/>
      <c r="AC55" s="261"/>
    </row>
    <row r="56" spans="1:29">
      <c r="A56" s="257" t="s">
        <v>162</v>
      </c>
      <c r="B56" s="257" t="s">
        <v>111</v>
      </c>
      <c r="C56" s="257" t="s">
        <v>177</v>
      </c>
      <c r="D56" s="257" t="s">
        <v>138</v>
      </c>
      <c r="E56" s="257">
        <v>69.78</v>
      </c>
      <c r="F56" s="257" t="s">
        <v>181</v>
      </c>
      <c r="G56" s="257" t="s">
        <v>180</v>
      </c>
      <c r="H56" s="257">
        <v>1</v>
      </c>
      <c r="L56" s="257" t="s">
        <v>182</v>
      </c>
      <c r="M56" s="257" t="s">
        <v>184</v>
      </c>
      <c r="P56" s="257" t="s">
        <v>178</v>
      </c>
      <c r="U56" s="256"/>
      <c r="V56" s="259"/>
      <c r="W56" s="260"/>
      <c r="X56" s="261"/>
      <c r="Y56" s="261"/>
      <c r="Z56" s="262"/>
      <c r="AA56" s="261"/>
      <c r="AB56" s="263"/>
      <c r="AC56" s="261"/>
    </row>
    <row r="57" spans="1:29">
      <c r="A57" s="257" t="s">
        <v>162</v>
      </c>
      <c r="B57" s="257" t="s">
        <v>111</v>
      </c>
      <c r="C57" s="257" t="s">
        <v>179</v>
      </c>
      <c r="D57" s="257" t="s">
        <v>138</v>
      </c>
      <c r="E57" s="257">
        <v>21.04</v>
      </c>
      <c r="F57" s="257" t="s">
        <v>181</v>
      </c>
      <c r="G57" s="257" t="s">
        <v>180</v>
      </c>
      <c r="H57" s="257">
        <v>1</v>
      </c>
      <c r="L57" s="257" t="s">
        <v>182</v>
      </c>
      <c r="M57" s="257" t="s">
        <v>185</v>
      </c>
      <c r="P57" s="257" t="s">
        <v>178</v>
      </c>
      <c r="U57" s="256"/>
      <c r="V57" s="259"/>
      <c r="W57" s="260"/>
      <c r="X57" s="261"/>
      <c r="Y57" s="261"/>
      <c r="Z57" s="262"/>
      <c r="AA57" s="261"/>
      <c r="AB57" s="263"/>
      <c r="AC57" s="261"/>
    </row>
    <row r="58" spans="1:29" customFormat="1">
      <c r="A58" t="s">
        <v>142</v>
      </c>
      <c r="B58" t="s">
        <v>111</v>
      </c>
      <c r="C58" t="s">
        <v>287</v>
      </c>
      <c r="D58" t="s">
        <v>138</v>
      </c>
      <c r="E58" s="257">
        <v>54.56</v>
      </c>
      <c r="G58" t="s">
        <v>180</v>
      </c>
      <c r="H58">
        <v>1</v>
      </c>
      <c r="I58" s="327"/>
      <c r="J58" s="327"/>
      <c r="L58" t="s">
        <v>145</v>
      </c>
      <c r="M58" t="s">
        <v>112</v>
      </c>
      <c r="P58" t="s">
        <v>288</v>
      </c>
      <c r="Q58" t="b">
        <v>0</v>
      </c>
    </row>
    <row r="59" spans="1:29">
      <c r="U59" s="256"/>
      <c r="V59" s="259"/>
      <c r="W59" s="260"/>
      <c r="X59" s="261"/>
      <c r="Y59" s="261"/>
      <c r="Z59" s="262"/>
      <c r="AA59" s="261"/>
      <c r="AB59" s="263"/>
      <c r="AC59" s="261"/>
    </row>
    <row r="60" spans="1:29">
      <c r="A60" s="257" t="s">
        <v>110</v>
      </c>
      <c r="B60" s="257" t="s">
        <v>111</v>
      </c>
      <c r="C60" s="257" t="s">
        <v>183</v>
      </c>
      <c r="D60" s="257" t="s">
        <v>113</v>
      </c>
      <c r="E60" s="257">
        <v>38.770000000000003</v>
      </c>
      <c r="G60" s="257" t="s">
        <v>114</v>
      </c>
      <c r="H60" s="257">
        <v>1</v>
      </c>
      <c r="I60" s="258"/>
      <c r="J60" s="258"/>
      <c r="L60" s="257" t="s">
        <v>145</v>
      </c>
      <c r="M60" s="257" t="s">
        <v>112</v>
      </c>
      <c r="P60" s="257" t="s">
        <v>114</v>
      </c>
      <c r="U60" s="256"/>
      <c r="V60" s="259"/>
      <c r="W60" s="260"/>
      <c r="X60" s="261"/>
      <c r="Y60" s="261"/>
      <c r="Z60" s="262"/>
      <c r="AA60" s="261"/>
      <c r="AB60" s="263"/>
      <c r="AC60" s="261"/>
    </row>
    <row r="61" spans="1:29">
      <c r="A61" s="257" t="s">
        <v>110</v>
      </c>
      <c r="B61" s="257" t="s">
        <v>111</v>
      </c>
      <c r="C61" s="257" t="s">
        <v>184</v>
      </c>
      <c r="D61" s="257" t="s">
        <v>113</v>
      </c>
      <c r="E61" s="257">
        <v>69.78</v>
      </c>
      <c r="G61" s="257" t="s">
        <v>114</v>
      </c>
      <c r="H61" s="257">
        <v>1</v>
      </c>
      <c r="L61" s="257" t="s">
        <v>145</v>
      </c>
      <c r="M61" s="257" t="s">
        <v>112</v>
      </c>
      <c r="P61" s="257" t="s">
        <v>114</v>
      </c>
    </row>
    <row r="62" spans="1:29">
      <c r="A62" s="257" t="s">
        <v>110</v>
      </c>
      <c r="B62" s="257" t="s">
        <v>111</v>
      </c>
      <c r="C62" s="257" t="s">
        <v>185</v>
      </c>
      <c r="D62" s="257" t="s">
        <v>113</v>
      </c>
      <c r="E62" s="257">
        <v>21.04</v>
      </c>
      <c r="G62" s="257" t="s">
        <v>114</v>
      </c>
      <c r="H62" s="257">
        <v>1</v>
      </c>
      <c r="L62" s="257" t="s">
        <v>145</v>
      </c>
      <c r="M62" s="257" t="s">
        <v>112</v>
      </c>
      <c r="P62" s="257" t="s">
        <v>114</v>
      </c>
    </row>
    <row r="63" spans="1:29" s="255" customFormat="1">
      <c r="I63" s="264"/>
      <c r="J63" s="264"/>
      <c r="U63" s="265"/>
      <c r="V63" s="266"/>
      <c r="W63" s="267"/>
      <c r="X63" s="268"/>
      <c r="Y63" s="268"/>
      <c r="Z63" s="269"/>
      <c r="AA63" s="268"/>
      <c r="AB63" s="270"/>
      <c r="AC63" s="268"/>
    </row>
    <row r="64" spans="1:29" s="255" customFormat="1">
      <c r="A64" s="255" t="s">
        <v>94</v>
      </c>
      <c r="B64" s="255" t="s">
        <v>95</v>
      </c>
      <c r="C64" s="255" t="s">
        <v>96</v>
      </c>
      <c r="D64" s="255" t="s">
        <v>97</v>
      </c>
      <c r="E64" s="255" t="s">
        <v>98</v>
      </c>
      <c r="F64" s="255" t="s">
        <v>99</v>
      </c>
      <c r="G64" s="255" t="s">
        <v>100</v>
      </c>
      <c r="H64" s="255" t="s">
        <v>101</v>
      </c>
      <c r="I64" s="255" t="s">
        <v>102</v>
      </c>
      <c r="J64" s="255" t="s">
        <v>103</v>
      </c>
      <c r="K64" s="255" t="s">
        <v>104</v>
      </c>
      <c r="L64" s="255" t="s">
        <v>105</v>
      </c>
      <c r="M64" s="255" t="s">
        <v>106</v>
      </c>
      <c r="N64" s="255" t="s">
        <v>107</v>
      </c>
      <c r="O64" s="255" t="s">
        <v>108</v>
      </c>
      <c r="P64" s="255" t="s">
        <v>109</v>
      </c>
      <c r="U64" s="256"/>
      <c r="V64" s="259"/>
      <c r="W64" s="260"/>
      <c r="X64" s="261"/>
      <c r="Y64" s="261"/>
      <c r="Z64" s="262"/>
      <c r="AA64" s="261"/>
      <c r="AB64" s="263"/>
      <c r="AC64" s="261"/>
    </row>
    <row r="65" spans="1:29">
      <c r="A65" s="257" t="s">
        <v>142</v>
      </c>
      <c r="B65" s="257" t="s">
        <v>111</v>
      </c>
      <c r="C65" s="257" t="s">
        <v>143</v>
      </c>
      <c r="D65" s="257" t="s">
        <v>186</v>
      </c>
      <c r="E65" s="271">
        <f>10+15</f>
        <v>25</v>
      </c>
      <c r="G65" s="257" t="s">
        <v>187</v>
      </c>
      <c r="H65" s="257">
        <v>1</v>
      </c>
      <c r="I65" s="258"/>
      <c r="J65" s="258"/>
      <c r="L65" s="257" t="s">
        <v>115</v>
      </c>
      <c r="P65" s="257" t="s">
        <v>147</v>
      </c>
      <c r="R65" s="257" t="s">
        <v>188</v>
      </c>
      <c r="U65" s="256"/>
      <c r="V65" s="259"/>
      <c r="W65" s="260"/>
      <c r="X65" s="261"/>
      <c r="Y65" s="261"/>
      <c r="Z65" s="262"/>
      <c r="AA65" s="261"/>
      <c r="AB65" s="263"/>
      <c r="AC65" s="261"/>
    </row>
    <row r="66" spans="1:29">
      <c r="A66" s="257" t="s">
        <v>142</v>
      </c>
      <c r="B66" s="257" t="s">
        <v>111</v>
      </c>
      <c r="C66" s="257" t="s">
        <v>148</v>
      </c>
      <c r="D66" s="257" t="s">
        <v>186</v>
      </c>
      <c r="E66" s="271">
        <f t="shared" ref="E66:E71" si="0">10+15</f>
        <v>25</v>
      </c>
      <c r="G66" s="257" t="s">
        <v>187</v>
      </c>
      <c r="H66" s="257">
        <v>1</v>
      </c>
      <c r="L66" s="257" t="s">
        <v>115</v>
      </c>
      <c r="P66" s="257" t="s">
        <v>147</v>
      </c>
      <c r="R66" s="257" t="s">
        <v>188</v>
      </c>
      <c r="U66" s="256"/>
      <c r="V66" s="259"/>
      <c r="W66" s="260"/>
      <c r="X66" s="261"/>
      <c r="Y66" s="261"/>
      <c r="Z66" s="262"/>
      <c r="AA66" s="261"/>
      <c r="AB66" s="263"/>
      <c r="AC66" s="261"/>
    </row>
    <row r="67" spans="1:29">
      <c r="A67" s="257" t="s">
        <v>142</v>
      </c>
      <c r="B67" s="257" t="s">
        <v>111</v>
      </c>
      <c r="C67" s="257" t="s">
        <v>149</v>
      </c>
      <c r="D67" s="257" t="s">
        <v>186</v>
      </c>
      <c r="E67" s="271">
        <f t="shared" si="0"/>
        <v>25</v>
      </c>
      <c r="G67" s="257" t="s">
        <v>187</v>
      </c>
      <c r="H67" s="257">
        <v>1</v>
      </c>
      <c r="I67" s="258"/>
      <c r="J67" s="258"/>
      <c r="L67" s="257" t="s">
        <v>115</v>
      </c>
      <c r="P67" s="257" t="s">
        <v>147</v>
      </c>
      <c r="R67" s="257" t="s">
        <v>188</v>
      </c>
      <c r="U67" s="256"/>
      <c r="V67" s="259"/>
      <c r="W67" s="260"/>
      <c r="X67" s="261"/>
      <c r="Y67" s="261"/>
      <c r="Z67" s="262"/>
      <c r="AA67" s="261"/>
      <c r="AB67" s="263"/>
      <c r="AC67" s="261"/>
    </row>
    <row r="68" spans="1:29">
      <c r="A68" s="257" t="s">
        <v>142</v>
      </c>
      <c r="B68" s="257" t="s">
        <v>111</v>
      </c>
      <c r="C68" s="257" t="s">
        <v>150</v>
      </c>
      <c r="D68" s="257" t="s">
        <v>186</v>
      </c>
      <c r="E68" s="271">
        <f t="shared" si="0"/>
        <v>25</v>
      </c>
      <c r="G68" s="257" t="s">
        <v>187</v>
      </c>
      <c r="H68" s="257">
        <v>1</v>
      </c>
      <c r="I68" s="258"/>
      <c r="J68" s="258"/>
      <c r="L68" s="257" t="s">
        <v>115</v>
      </c>
      <c r="P68" s="257" t="s">
        <v>147</v>
      </c>
      <c r="R68" s="257" t="s">
        <v>188</v>
      </c>
      <c r="U68" s="256"/>
      <c r="V68" s="259"/>
      <c r="W68" s="260"/>
      <c r="X68" s="261"/>
      <c r="Y68" s="261"/>
      <c r="Z68" s="262"/>
      <c r="AA68" s="261"/>
      <c r="AB68" s="263"/>
      <c r="AC68" s="261"/>
    </row>
    <row r="69" spans="1:29">
      <c r="A69" s="257" t="s">
        <v>142</v>
      </c>
      <c r="B69" s="257" t="s">
        <v>111</v>
      </c>
      <c r="C69" s="257" t="s">
        <v>151</v>
      </c>
      <c r="D69" s="257" t="s">
        <v>186</v>
      </c>
      <c r="E69" s="271">
        <f t="shared" si="0"/>
        <v>25</v>
      </c>
      <c r="G69" s="257" t="s">
        <v>187</v>
      </c>
      <c r="H69" s="257">
        <v>1</v>
      </c>
      <c r="I69" s="258"/>
      <c r="J69" s="258"/>
      <c r="L69" s="257" t="s">
        <v>115</v>
      </c>
      <c r="P69" s="257" t="s">
        <v>147</v>
      </c>
      <c r="R69" s="257" t="s">
        <v>188</v>
      </c>
      <c r="U69" s="256"/>
      <c r="V69" s="259"/>
      <c r="W69" s="260"/>
      <c r="X69" s="261"/>
      <c r="Y69" s="261"/>
      <c r="Z69" s="262"/>
      <c r="AA69" s="261"/>
      <c r="AB69" s="263"/>
      <c r="AC69" s="261"/>
    </row>
    <row r="70" spans="1:29">
      <c r="A70" s="257" t="s">
        <v>142</v>
      </c>
      <c r="B70" s="257" t="s">
        <v>111</v>
      </c>
      <c r="C70" s="257" t="s">
        <v>205</v>
      </c>
      <c r="D70" s="257" t="s">
        <v>186</v>
      </c>
      <c r="E70" s="271">
        <f t="shared" si="0"/>
        <v>25</v>
      </c>
      <c r="G70" s="257" t="s">
        <v>187</v>
      </c>
      <c r="H70" s="257">
        <v>1</v>
      </c>
      <c r="I70" s="258"/>
      <c r="J70" s="258"/>
      <c r="L70" s="257" t="s">
        <v>115</v>
      </c>
      <c r="P70" s="257" t="s">
        <v>147</v>
      </c>
      <c r="R70" s="257" t="s">
        <v>188</v>
      </c>
      <c r="U70" s="256"/>
      <c r="V70" s="259"/>
      <c r="W70" s="260"/>
      <c r="X70" s="261"/>
      <c r="Y70" s="261"/>
      <c r="Z70" s="262"/>
      <c r="AA70" s="261"/>
      <c r="AB70" s="263"/>
      <c r="AC70" s="261"/>
    </row>
    <row r="71" spans="1:29">
      <c r="A71" s="257" t="s">
        <v>142</v>
      </c>
      <c r="B71" s="257" t="s">
        <v>111</v>
      </c>
      <c r="C71" s="257" t="s">
        <v>152</v>
      </c>
      <c r="D71" s="257" t="s">
        <v>186</v>
      </c>
      <c r="E71" s="271">
        <f t="shared" si="0"/>
        <v>25</v>
      </c>
      <c r="G71" s="257" t="s">
        <v>187</v>
      </c>
      <c r="H71" s="257">
        <v>1</v>
      </c>
      <c r="I71" s="258"/>
      <c r="J71" s="258"/>
      <c r="L71" s="257" t="s">
        <v>115</v>
      </c>
      <c r="P71" s="257" t="s">
        <v>147</v>
      </c>
      <c r="R71" s="257" t="s">
        <v>188</v>
      </c>
      <c r="U71" s="256"/>
      <c r="V71" s="259"/>
      <c r="W71" s="260"/>
      <c r="X71" s="261"/>
      <c r="Y71" s="261"/>
      <c r="Z71" s="262"/>
      <c r="AA71" s="261"/>
      <c r="AB71" s="263"/>
      <c r="AC71" s="261"/>
    </row>
    <row r="72" spans="1:29">
      <c r="A72" s="257" t="s">
        <v>142</v>
      </c>
      <c r="B72" s="257" t="s">
        <v>111</v>
      </c>
      <c r="C72" s="257" t="s">
        <v>153</v>
      </c>
      <c r="D72" s="257" t="s">
        <v>186</v>
      </c>
      <c r="E72" s="272">
        <f>10+20</f>
        <v>30</v>
      </c>
      <c r="G72" s="257" t="s">
        <v>187</v>
      </c>
      <c r="H72" s="257">
        <v>1</v>
      </c>
      <c r="I72" s="258"/>
      <c r="J72" s="258"/>
      <c r="L72" s="257" t="s">
        <v>115</v>
      </c>
      <c r="P72" s="257" t="s">
        <v>155</v>
      </c>
      <c r="R72" s="257" t="s">
        <v>188</v>
      </c>
      <c r="U72" s="256"/>
      <c r="V72" s="259"/>
      <c r="W72" s="260"/>
      <c r="X72" s="261"/>
      <c r="Y72" s="261"/>
      <c r="Z72" s="262"/>
      <c r="AA72" s="261"/>
      <c r="AB72" s="263"/>
      <c r="AC72" s="261"/>
    </row>
    <row r="73" spans="1:29">
      <c r="A73" s="257" t="s">
        <v>142</v>
      </c>
      <c r="B73" s="257" t="s">
        <v>111</v>
      </c>
      <c r="C73" s="257" t="s">
        <v>156</v>
      </c>
      <c r="D73" s="257" t="s">
        <v>186</v>
      </c>
      <c r="E73" s="272">
        <f t="shared" ref="E73:E77" si="1">10+20</f>
        <v>30</v>
      </c>
      <c r="G73" s="257" t="s">
        <v>187</v>
      </c>
      <c r="H73" s="257">
        <v>1</v>
      </c>
      <c r="I73" s="258"/>
      <c r="J73" s="258"/>
      <c r="L73" s="257" t="s">
        <v>115</v>
      </c>
      <c r="P73" s="257" t="s">
        <v>155</v>
      </c>
      <c r="R73" s="257" t="s">
        <v>188</v>
      </c>
      <c r="U73" s="256"/>
      <c r="V73" s="259"/>
      <c r="W73" s="260"/>
      <c r="X73" s="261"/>
      <c r="Y73" s="261"/>
      <c r="Z73" s="262"/>
      <c r="AA73" s="261"/>
      <c r="AB73" s="263"/>
      <c r="AC73" s="261"/>
    </row>
    <row r="74" spans="1:29">
      <c r="A74" s="257" t="s">
        <v>142</v>
      </c>
      <c r="B74" s="257" t="s">
        <v>111</v>
      </c>
      <c r="C74" s="257" t="s">
        <v>157</v>
      </c>
      <c r="D74" s="257" t="s">
        <v>186</v>
      </c>
      <c r="E74" s="272">
        <f t="shared" si="1"/>
        <v>30</v>
      </c>
      <c r="G74" s="257" t="s">
        <v>187</v>
      </c>
      <c r="H74" s="257">
        <v>1</v>
      </c>
      <c r="I74" s="258"/>
      <c r="J74" s="258"/>
      <c r="L74" s="257" t="s">
        <v>115</v>
      </c>
      <c r="P74" s="257" t="s">
        <v>155</v>
      </c>
      <c r="R74" s="257" t="s">
        <v>188</v>
      </c>
      <c r="U74" s="256"/>
      <c r="V74" s="259"/>
      <c r="W74" s="260"/>
      <c r="X74" s="261"/>
      <c r="Y74" s="261"/>
      <c r="Z74" s="262"/>
      <c r="AA74" s="261"/>
      <c r="AB74" s="263"/>
      <c r="AC74" s="261"/>
    </row>
    <row r="75" spans="1:29">
      <c r="A75" s="257" t="s">
        <v>142</v>
      </c>
      <c r="B75" s="257" t="s">
        <v>111</v>
      </c>
      <c r="C75" s="257" t="s">
        <v>158</v>
      </c>
      <c r="D75" s="257" t="s">
        <v>186</v>
      </c>
      <c r="E75" s="272">
        <f t="shared" si="1"/>
        <v>30</v>
      </c>
      <c r="G75" s="257" t="s">
        <v>187</v>
      </c>
      <c r="H75" s="257">
        <v>1</v>
      </c>
      <c r="I75" s="258"/>
      <c r="J75" s="258"/>
      <c r="L75" s="257" t="s">
        <v>115</v>
      </c>
      <c r="P75" s="257" t="s">
        <v>155</v>
      </c>
      <c r="R75" s="257" t="s">
        <v>188</v>
      </c>
      <c r="U75" s="256"/>
      <c r="V75" s="259"/>
      <c r="W75" s="260"/>
      <c r="X75" s="261"/>
      <c r="Y75" s="261"/>
      <c r="Z75" s="262"/>
      <c r="AA75" s="261"/>
      <c r="AB75" s="263"/>
      <c r="AC75" s="261"/>
    </row>
    <row r="76" spans="1:29">
      <c r="A76" s="257" t="s">
        <v>142</v>
      </c>
      <c r="B76" s="257" t="s">
        <v>111</v>
      </c>
      <c r="C76" s="257" t="s">
        <v>160</v>
      </c>
      <c r="D76" s="257" t="s">
        <v>186</v>
      </c>
      <c r="E76" s="272">
        <f t="shared" si="1"/>
        <v>30</v>
      </c>
      <c r="G76" s="257" t="s">
        <v>187</v>
      </c>
      <c r="H76" s="257">
        <v>1</v>
      </c>
      <c r="I76" s="258"/>
      <c r="J76" s="258"/>
      <c r="L76" s="257" t="s">
        <v>115</v>
      </c>
      <c r="P76" s="257" t="s">
        <v>155</v>
      </c>
      <c r="R76" s="257" t="s">
        <v>188</v>
      </c>
      <c r="U76" s="256"/>
      <c r="V76" s="259"/>
      <c r="W76" s="260"/>
      <c r="X76" s="261"/>
      <c r="Y76" s="261"/>
      <c r="Z76" s="262"/>
      <c r="AA76" s="261"/>
      <c r="AB76" s="263"/>
      <c r="AC76" s="261"/>
    </row>
    <row r="77" spans="1:29">
      <c r="A77" s="257" t="s">
        <v>142</v>
      </c>
      <c r="B77" s="257" t="s">
        <v>111</v>
      </c>
      <c r="C77" s="257" t="s">
        <v>161</v>
      </c>
      <c r="D77" s="257" t="s">
        <v>186</v>
      </c>
      <c r="E77" s="272">
        <f t="shared" si="1"/>
        <v>30</v>
      </c>
      <c r="G77" s="257" t="s">
        <v>187</v>
      </c>
      <c r="H77" s="257">
        <v>1</v>
      </c>
      <c r="I77" s="258"/>
      <c r="J77" s="258"/>
      <c r="L77" s="257" t="s">
        <v>115</v>
      </c>
      <c r="P77" s="257" t="s">
        <v>155</v>
      </c>
      <c r="R77" s="257" t="s">
        <v>188</v>
      </c>
      <c r="U77" s="256"/>
      <c r="V77" s="259"/>
      <c r="W77" s="260"/>
      <c r="X77" s="261"/>
      <c r="Y77" s="261"/>
      <c r="Z77" s="262"/>
      <c r="AA77" s="261"/>
      <c r="AB77" s="263"/>
      <c r="AC77" s="261"/>
    </row>
    <row r="78" spans="1:29">
      <c r="A78" s="257" t="s">
        <v>162</v>
      </c>
      <c r="B78" s="257" t="s">
        <v>111</v>
      </c>
      <c r="C78" s="257" t="s">
        <v>166</v>
      </c>
      <c r="D78" s="257" t="s">
        <v>186</v>
      </c>
      <c r="E78" s="257">
        <v>20</v>
      </c>
      <c r="G78" s="257" t="s">
        <v>187</v>
      </c>
      <c r="H78" s="257">
        <v>1</v>
      </c>
      <c r="I78" s="258"/>
      <c r="J78" s="258"/>
      <c r="L78" s="257" t="s">
        <v>115</v>
      </c>
      <c r="P78" s="257" t="s">
        <v>165</v>
      </c>
      <c r="U78" s="256"/>
      <c r="V78" s="259"/>
      <c r="W78" s="260"/>
      <c r="X78" s="261"/>
      <c r="Y78" s="261"/>
      <c r="Z78" s="262"/>
      <c r="AA78" s="261"/>
      <c r="AB78" s="263"/>
      <c r="AC78" s="261"/>
    </row>
    <row r="79" spans="1:29">
      <c r="A79" s="257" t="s">
        <v>162</v>
      </c>
      <c r="B79" s="257" t="s">
        <v>111</v>
      </c>
      <c r="C79" s="257" t="s">
        <v>167</v>
      </c>
      <c r="D79" s="257" t="s">
        <v>186</v>
      </c>
      <c r="E79" s="257">
        <v>20</v>
      </c>
      <c r="G79" s="257" t="s">
        <v>187</v>
      </c>
      <c r="H79" s="257">
        <v>1</v>
      </c>
      <c r="I79" s="258"/>
      <c r="J79" s="258"/>
      <c r="L79" s="257" t="s">
        <v>115</v>
      </c>
      <c r="P79" s="257" t="s">
        <v>165</v>
      </c>
      <c r="U79" s="256"/>
      <c r="V79" s="259"/>
      <c r="W79" s="260"/>
      <c r="X79" s="261"/>
      <c r="Y79" s="261"/>
      <c r="Z79" s="262"/>
      <c r="AA79" s="261"/>
      <c r="AB79" s="263"/>
      <c r="AC79" s="261"/>
    </row>
    <row r="80" spans="1:29">
      <c r="A80" s="257" t="s">
        <v>162</v>
      </c>
      <c r="B80" s="257" t="s">
        <v>111</v>
      </c>
      <c r="C80" s="257" t="s">
        <v>168</v>
      </c>
      <c r="D80" s="257" t="s">
        <v>186</v>
      </c>
      <c r="E80" s="257">
        <v>20</v>
      </c>
      <c r="G80" s="257" t="s">
        <v>187</v>
      </c>
      <c r="H80" s="257">
        <v>1</v>
      </c>
      <c r="I80" s="258"/>
      <c r="J80" s="258"/>
      <c r="L80" s="257" t="s">
        <v>115</v>
      </c>
      <c r="P80" s="257" t="s">
        <v>165</v>
      </c>
      <c r="U80" s="256"/>
      <c r="V80" s="259"/>
      <c r="W80" s="260"/>
      <c r="X80" s="261"/>
      <c r="Y80" s="261"/>
      <c r="Z80" s="262"/>
      <c r="AA80" s="261"/>
      <c r="AB80" s="263"/>
      <c r="AC80" s="261"/>
    </row>
    <row r="81" spans="1:29">
      <c r="A81" s="257" t="s">
        <v>162</v>
      </c>
      <c r="B81" s="257" t="s">
        <v>111</v>
      </c>
      <c r="C81" s="257" t="s">
        <v>169</v>
      </c>
      <c r="D81" s="257" t="s">
        <v>186</v>
      </c>
      <c r="E81" s="257">
        <v>20</v>
      </c>
      <c r="G81" s="257" t="s">
        <v>187</v>
      </c>
      <c r="H81" s="257">
        <v>1</v>
      </c>
      <c r="I81" s="258"/>
      <c r="J81" s="258"/>
      <c r="L81" s="257" t="s">
        <v>115</v>
      </c>
      <c r="P81" s="257" t="s">
        <v>165</v>
      </c>
      <c r="U81" s="256"/>
      <c r="V81" s="259"/>
      <c r="W81" s="260"/>
      <c r="X81" s="261"/>
      <c r="Y81" s="261"/>
      <c r="Z81" s="262"/>
      <c r="AA81" s="261"/>
      <c r="AB81" s="263"/>
      <c r="AC81" s="261"/>
    </row>
    <row r="82" spans="1:29">
      <c r="A82" s="257" t="s">
        <v>162</v>
      </c>
      <c r="B82" s="257" t="s">
        <v>111</v>
      </c>
      <c r="C82" s="257" t="s">
        <v>170</v>
      </c>
      <c r="D82" s="257" t="s">
        <v>186</v>
      </c>
      <c r="E82" s="257">
        <v>20</v>
      </c>
      <c r="G82" s="257" t="s">
        <v>187</v>
      </c>
      <c r="H82" s="257">
        <v>1</v>
      </c>
      <c r="I82" s="258"/>
      <c r="J82" s="258"/>
      <c r="L82" s="257" t="s">
        <v>115</v>
      </c>
      <c r="P82" s="257" t="s">
        <v>165</v>
      </c>
      <c r="U82" s="256"/>
      <c r="V82" s="259"/>
      <c r="W82" s="260"/>
      <c r="X82" s="261"/>
      <c r="Y82" s="261"/>
      <c r="Z82" s="262"/>
      <c r="AA82" s="261"/>
      <c r="AB82" s="263"/>
      <c r="AC82" s="261"/>
    </row>
    <row r="83" spans="1:29">
      <c r="A83" s="257" t="s">
        <v>162</v>
      </c>
      <c r="B83" s="257" t="s">
        <v>111</v>
      </c>
      <c r="C83" s="257" t="s">
        <v>171</v>
      </c>
      <c r="D83" s="257" t="s">
        <v>186</v>
      </c>
      <c r="E83" s="257">
        <v>20</v>
      </c>
      <c r="G83" s="257" t="s">
        <v>187</v>
      </c>
      <c r="H83" s="257">
        <v>1</v>
      </c>
      <c r="I83" s="258"/>
      <c r="J83" s="258"/>
      <c r="L83" s="257" t="s">
        <v>115</v>
      </c>
      <c r="P83" s="257" t="s">
        <v>165</v>
      </c>
      <c r="U83" s="256"/>
      <c r="V83" s="259"/>
      <c r="W83" s="260"/>
      <c r="X83" s="261"/>
      <c r="Y83" s="261"/>
      <c r="Z83" s="262"/>
      <c r="AA83" s="261"/>
      <c r="AB83" s="263"/>
      <c r="AC83" s="261"/>
    </row>
    <row r="84" spans="1:29">
      <c r="A84" s="257" t="s">
        <v>162</v>
      </c>
      <c r="B84" s="257" t="s">
        <v>111</v>
      </c>
      <c r="C84" s="257" t="s">
        <v>163</v>
      </c>
      <c r="D84" s="257" t="s">
        <v>186</v>
      </c>
      <c r="E84" s="257">
        <v>20</v>
      </c>
      <c r="G84" s="257" t="s">
        <v>187</v>
      </c>
      <c r="H84" s="257">
        <v>1</v>
      </c>
      <c r="I84" s="258"/>
      <c r="J84" s="258"/>
      <c r="L84" s="257" t="s">
        <v>115</v>
      </c>
      <c r="P84" s="257" t="s">
        <v>165</v>
      </c>
      <c r="U84" s="256"/>
      <c r="V84" s="259"/>
      <c r="W84" s="260"/>
      <c r="X84" s="261"/>
      <c r="Y84" s="261"/>
      <c r="Z84" s="262"/>
      <c r="AA84" s="261"/>
      <c r="AB84" s="263"/>
      <c r="AC84" s="261"/>
    </row>
    <row r="85" spans="1:29">
      <c r="A85" s="257" t="s">
        <v>162</v>
      </c>
      <c r="B85" s="257" t="s">
        <v>111</v>
      </c>
      <c r="C85" s="257" t="s">
        <v>172</v>
      </c>
      <c r="D85" s="257" t="s">
        <v>186</v>
      </c>
      <c r="E85" s="257">
        <v>20</v>
      </c>
      <c r="G85" s="257" t="s">
        <v>187</v>
      </c>
      <c r="H85" s="257">
        <v>1</v>
      </c>
      <c r="I85" s="258"/>
      <c r="J85" s="258"/>
      <c r="L85" s="257" t="s">
        <v>115</v>
      </c>
      <c r="P85" s="257" t="s">
        <v>165</v>
      </c>
      <c r="U85" s="256"/>
      <c r="V85" s="259"/>
      <c r="W85" s="260"/>
      <c r="X85" s="261"/>
      <c r="Y85" s="261"/>
      <c r="Z85" s="262"/>
      <c r="AA85" s="261"/>
      <c r="AB85" s="263"/>
      <c r="AC85" s="261"/>
    </row>
    <row r="86" spans="1:29">
      <c r="A86" s="257" t="s">
        <v>162</v>
      </c>
      <c r="B86" s="257" t="s">
        <v>111</v>
      </c>
      <c r="C86" s="257" t="s">
        <v>173</v>
      </c>
      <c r="D86" s="257" t="s">
        <v>186</v>
      </c>
      <c r="E86" s="257">
        <v>20</v>
      </c>
      <c r="G86" s="257" t="s">
        <v>187</v>
      </c>
      <c r="H86" s="257">
        <v>1</v>
      </c>
      <c r="I86" s="258"/>
      <c r="J86" s="258"/>
      <c r="L86" s="257" t="s">
        <v>115</v>
      </c>
      <c r="P86" s="257" t="s">
        <v>165</v>
      </c>
      <c r="U86" s="256"/>
      <c r="V86" s="259"/>
      <c r="W86" s="260"/>
      <c r="X86" s="261"/>
      <c r="Y86" s="261"/>
      <c r="Z86" s="262"/>
      <c r="AA86" s="261"/>
      <c r="AB86" s="263"/>
      <c r="AC86" s="261"/>
    </row>
    <row r="87" spans="1:29">
      <c r="A87" s="257" t="s">
        <v>162</v>
      </c>
      <c r="B87" s="257" t="s">
        <v>111</v>
      </c>
      <c r="C87" s="257" t="s">
        <v>174</v>
      </c>
      <c r="D87" s="257" t="s">
        <v>186</v>
      </c>
      <c r="E87" s="257">
        <v>20</v>
      </c>
      <c r="G87" s="257" t="s">
        <v>187</v>
      </c>
      <c r="H87" s="257">
        <v>1</v>
      </c>
      <c r="I87" s="258"/>
      <c r="J87" s="258"/>
      <c r="L87" s="257" t="s">
        <v>115</v>
      </c>
      <c r="P87" s="257" t="s">
        <v>165</v>
      </c>
      <c r="U87" s="256"/>
      <c r="V87" s="259"/>
      <c r="W87" s="260"/>
      <c r="X87" s="261"/>
      <c r="Y87" s="261"/>
      <c r="Z87" s="262"/>
      <c r="AA87" s="261"/>
      <c r="AB87" s="263"/>
      <c r="AC87" s="261"/>
    </row>
    <row r="88" spans="1:29">
      <c r="A88" s="257" t="s">
        <v>162</v>
      </c>
      <c r="B88" s="257" t="s">
        <v>111</v>
      </c>
      <c r="C88" s="257" t="s">
        <v>175</v>
      </c>
      <c r="D88" s="257" t="s">
        <v>186</v>
      </c>
      <c r="E88" s="257">
        <v>20</v>
      </c>
      <c r="G88" s="257" t="s">
        <v>187</v>
      </c>
      <c r="H88" s="257">
        <v>1</v>
      </c>
      <c r="I88" s="258"/>
      <c r="J88" s="258"/>
      <c r="L88" s="257" t="s">
        <v>115</v>
      </c>
      <c r="P88" s="257" t="s">
        <v>165</v>
      </c>
      <c r="U88" s="256"/>
      <c r="V88" s="259"/>
      <c r="W88" s="260"/>
      <c r="X88" s="261"/>
      <c r="Y88" s="261"/>
      <c r="Z88" s="262"/>
      <c r="AA88" s="261"/>
      <c r="AB88" s="263"/>
      <c r="AC88" s="261"/>
    </row>
    <row r="89" spans="1:29">
      <c r="A89" s="257" t="s">
        <v>162</v>
      </c>
      <c r="B89" s="257" t="s">
        <v>111</v>
      </c>
      <c r="C89" s="257" t="s">
        <v>176</v>
      </c>
      <c r="D89" s="257" t="s">
        <v>186</v>
      </c>
      <c r="E89" s="257">
        <v>20</v>
      </c>
      <c r="G89" s="257" t="s">
        <v>187</v>
      </c>
      <c r="H89" s="257">
        <v>1</v>
      </c>
      <c r="I89" s="258"/>
      <c r="J89" s="258"/>
      <c r="L89" s="257" t="s">
        <v>115</v>
      </c>
      <c r="P89" s="257" t="s">
        <v>165</v>
      </c>
      <c r="U89" s="256"/>
      <c r="V89" s="259"/>
      <c r="W89" s="260"/>
      <c r="X89" s="261"/>
      <c r="Y89" s="261"/>
      <c r="Z89" s="262"/>
      <c r="AA89" s="261"/>
      <c r="AB89" s="263"/>
      <c r="AC89" s="261"/>
    </row>
    <row r="90" spans="1:29">
      <c r="A90" s="257" t="s">
        <v>162</v>
      </c>
      <c r="B90" s="257" t="s">
        <v>111</v>
      </c>
      <c r="C90" s="257" t="s">
        <v>177</v>
      </c>
      <c r="D90" s="257" t="s">
        <v>186</v>
      </c>
      <c r="E90" s="257">
        <v>20</v>
      </c>
      <c r="G90" s="257" t="s">
        <v>187</v>
      </c>
      <c r="H90" s="257">
        <v>1</v>
      </c>
      <c r="L90" s="257" t="s">
        <v>115</v>
      </c>
      <c r="P90" s="257" t="s">
        <v>178</v>
      </c>
      <c r="U90" s="256"/>
      <c r="V90" s="259"/>
      <c r="W90" s="260"/>
      <c r="X90" s="261"/>
      <c r="Y90" s="261"/>
      <c r="Z90" s="262"/>
      <c r="AA90" s="261"/>
      <c r="AB90" s="263"/>
      <c r="AC90" s="261"/>
    </row>
    <row r="91" spans="1:29">
      <c r="A91" s="257" t="s">
        <v>162</v>
      </c>
      <c r="B91" s="257" t="s">
        <v>111</v>
      </c>
      <c r="C91" s="257" t="s">
        <v>179</v>
      </c>
      <c r="D91" s="257" t="s">
        <v>186</v>
      </c>
      <c r="E91" s="257">
        <v>20</v>
      </c>
      <c r="G91" s="257" t="s">
        <v>187</v>
      </c>
      <c r="H91" s="257">
        <v>1</v>
      </c>
      <c r="L91" s="257" t="s">
        <v>115</v>
      </c>
      <c r="P91" s="257" t="s">
        <v>178</v>
      </c>
      <c r="U91" s="256"/>
      <c r="V91" s="259"/>
      <c r="W91" s="260"/>
      <c r="X91" s="261"/>
      <c r="Y91" s="261"/>
      <c r="Z91" s="262"/>
      <c r="AA91" s="261"/>
      <c r="AB91" s="263"/>
      <c r="AC91" s="261"/>
    </row>
    <row r="92" spans="1:29" customFormat="1" ht="12.75">
      <c r="A92" t="s">
        <v>142</v>
      </c>
      <c r="B92" t="s">
        <v>111</v>
      </c>
      <c r="C92" t="s">
        <v>287</v>
      </c>
      <c r="D92" t="s">
        <v>186</v>
      </c>
      <c r="E92">
        <v>40</v>
      </c>
      <c r="G92" t="s">
        <v>187</v>
      </c>
      <c r="H92">
        <v>1</v>
      </c>
      <c r="I92" s="327"/>
      <c r="J92" s="327"/>
      <c r="L92" t="s">
        <v>115</v>
      </c>
      <c r="O92" t="s">
        <v>289</v>
      </c>
      <c r="P92" t="s">
        <v>288</v>
      </c>
      <c r="Q92" t="b">
        <v>0</v>
      </c>
    </row>
    <row r="93" spans="1:29">
      <c r="U93" s="256"/>
      <c r="V93" s="259"/>
      <c r="W93" s="260"/>
      <c r="X93" s="261"/>
      <c r="Y93" s="261"/>
      <c r="Z93" s="262"/>
      <c r="AA93" s="261"/>
      <c r="AB93" s="263"/>
      <c r="AC93" s="261"/>
    </row>
    <row r="94" spans="1:29">
      <c r="A94" s="255" t="s">
        <v>94</v>
      </c>
      <c r="B94" s="255" t="s">
        <v>95</v>
      </c>
      <c r="C94" s="255" t="s">
        <v>96</v>
      </c>
      <c r="D94" s="255" t="s">
        <v>97</v>
      </c>
      <c r="E94" s="255" t="s">
        <v>98</v>
      </c>
      <c r="F94" s="255" t="s">
        <v>99</v>
      </c>
      <c r="G94" s="255" t="s">
        <v>100</v>
      </c>
      <c r="H94" s="255" t="s">
        <v>101</v>
      </c>
      <c r="I94" s="255" t="s">
        <v>102</v>
      </c>
      <c r="J94" s="255" t="s">
        <v>103</v>
      </c>
      <c r="K94" s="255" t="s">
        <v>104</v>
      </c>
      <c r="L94" s="255" t="s">
        <v>105</v>
      </c>
      <c r="M94" s="255" t="s">
        <v>106</v>
      </c>
      <c r="N94" s="255" t="s">
        <v>107</v>
      </c>
      <c r="O94" s="255" t="s">
        <v>108</v>
      </c>
      <c r="P94" s="255" t="s">
        <v>109</v>
      </c>
      <c r="U94" s="256"/>
      <c r="V94" s="259"/>
      <c r="W94" s="260"/>
      <c r="X94" s="261"/>
      <c r="Y94" s="261"/>
      <c r="Z94" s="262"/>
      <c r="AA94" s="261"/>
      <c r="AB94" s="263"/>
      <c r="AC94" s="261"/>
    </row>
    <row r="95" spans="1:29">
      <c r="A95" s="257" t="s">
        <v>142</v>
      </c>
      <c r="B95" s="257" t="s">
        <v>111</v>
      </c>
      <c r="C95" s="257" t="s">
        <v>143</v>
      </c>
      <c r="D95" s="257" t="s">
        <v>121</v>
      </c>
      <c r="E95" s="257">
        <v>8.5890000000000004</v>
      </c>
      <c r="G95" s="257" t="s">
        <v>189</v>
      </c>
      <c r="H95" s="257">
        <v>1</v>
      </c>
      <c r="L95" s="257" t="s">
        <v>115</v>
      </c>
      <c r="P95" s="257" t="s">
        <v>147</v>
      </c>
      <c r="U95" s="256"/>
      <c r="V95" s="259"/>
      <c r="W95" s="260"/>
      <c r="X95" s="261"/>
      <c r="Y95" s="261"/>
      <c r="Z95" s="262"/>
      <c r="AA95" s="261"/>
      <c r="AB95" s="263"/>
      <c r="AC95" s="261"/>
    </row>
    <row r="96" spans="1:29">
      <c r="A96" s="257" t="s">
        <v>142</v>
      </c>
      <c r="B96" s="257" t="s">
        <v>111</v>
      </c>
      <c r="C96" s="257" t="s">
        <v>148</v>
      </c>
      <c r="D96" s="257" t="s">
        <v>121</v>
      </c>
      <c r="E96" s="257">
        <v>8.5890000000000004</v>
      </c>
      <c r="G96" s="257" t="s">
        <v>189</v>
      </c>
      <c r="H96" s="257">
        <v>1</v>
      </c>
      <c r="L96" s="257" t="s">
        <v>115</v>
      </c>
      <c r="P96" s="257" t="s">
        <v>147</v>
      </c>
      <c r="U96" s="256"/>
      <c r="V96" s="259"/>
      <c r="W96" s="260"/>
      <c r="X96" s="261"/>
      <c r="Y96" s="261"/>
      <c r="Z96" s="262"/>
      <c r="AA96" s="261"/>
      <c r="AB96" s="263"/>
      <c r="AC96" s="261"/>
    </row>
    <row r="97" spans="1:29">
      <c r="A97" s="257" t="s">
        <v>142</v>
      </c>
      <c r="B97" s="257" t="s">
        <v>111</v>
      </c>
      <c r="C97" s="257" t="s">
        <v>149</v>
      </c>
      <c r="D97" s="257" t="s">
        <v>121</v>
      </c>
      <c r="E97" s="257">
        <v>8.5890000000000004</v>
      </c>
      <c r="G97" s="257" t="s">
        <v>189</v>
      </c>
      <c r="H97" s="257">
        <v>1</v>
      </c>
      <c r="L97" s="257" t="s">
        <v>115</v>
      </c>
      <c r="P97" s="257" t="s">
        <v>147</v>
      </c>
      <c r="U97" s="256"/>
      <c r="V97" s="259"/>
      <c r="W97" s="260"/>
      <c r="X97" s="261"/>
      <c r="Y97" s="261"/>
      <c r="Z97" s="262"/>
      <c r="AA97" s="261"/>
      <c r="AB97" s="263"/>
      <c r="AC97" s="261"/>
    </row>
    <row r="98" spans="1:29">
      <c r="A98" s="257" t="s">
        <v>142</v>
      </c>
      <c r="B98" s="257" t="s">
        <v>111</v>
      </c>
      <c r="C98" s="257" t="s">
        <v>150</v>
      </c>
      <c r="D98" s="257" t="s">
        <v>121</v>
      </c>
      <c r="E98" s="257">
        <v>8.5890000000000004</v>
      </c>
      <c r="G98" s="257" t="s">
        <v>189</v>
      </c>
      <c r="H98" s="257">
        <v>1</v>
      </c>
      <c r="L98" s="257" t="s">
        <v>115</v>
      </c>
      <c r="P98" s="257" t="s">
        <v>147</v>
      </c>
      <c r="U98" s="256"/>
      <c r="V98" s="259"/>
      <c r="W98" s="260"/>
      <c r="X98" s="261"/>
      <c r="Y98" s="261"/>
      <c r="Z98" s="262"/>
      <c r="AA98" s="261"/>
      <c r="AB98" s="263"/>
      <c r="AC98" s="261"/>
    </row>
    <row r="99" spans="1:29">
      <c r="A99" s="257" t="s">
        <v>142</v>
      </c>
      <c r="B99" s="257" t="s">
        <v>111</v>
      </c>
      <c r="C99" s="257" t="s">
        <v>151</v>
      </c>
      <c r="D99" s="257" t="s">
        <v>121</v>
      </c>
      <c r="E99" s="257">
        <v>8.5890000000000004</v>
      </c>
      <c r="G99" s="257" t="s">
        <v>189</v>
      </c>
      <c r="H99" s="257">
        <v>1</v>
      </c>
      <c r="L99" s="257" t="s">
        <v>115</v>
      </c>
      <c r="P99" s="257" t="s">
        <v>147</v>
      </c>
      <c r="U99" s="256"/>
      <c r="V99" s="259"/>
      <c r="W99" s="260"/>
      <c r="X99" s="261"/>
      <c r="Y99" s="261"/>
      <c r="Z99" s="262"/>
      <c r="AA99" s="261"/>
      <c r="AB99" s="263"/>
      <c r="AC99" s="261"/>
    </row>
    <row r="100" spans="1:29">
      <c r="A100" s="257" t="s">
        <v>142</v>
      </c>
      <c r="B100" s="257" t="s">
        <v>111</v>
      </c>
      <c r="C100" s="257" t="s">
        <v>205</v>
      </c>
      <c r="D100" s="257" t="s">
        <v>121</v>
      </c>
      <c r="E100" s="257">
        <v>8.5890000000000004</v>
      </c>
      <c r="G100" s="257" t="s">
        <v>189</v>
      </c>
      <c r="H100" s="257">
        <v>1</v>
      </c>
      <c r="L100" s="257" t="s">
        <v>115</v>
      </c>
      <c r="P100" s="257" t="s">
        <v>147</v>
      </c>
      <c r="U100" s="256"/>
      <c r="V100" s="259"/>
      <c r="W100" s="260"/>
      <c r="X100" s="261"/>
      <c r="Y100" s="261"/>
      <c r="Z100" s="262"/>
      <c r="AA100" s="261"/>
      <c r="AB100" s="263"/>
      <c r="AC100" s="261"/>
    </row>
    <row r="101" spans="1:29">
      <c r="A101" s="257" t="s">
        <v>142</v>
      </c>
      <c r="B101" s="257" t="s">
        <v>111</v>
      </c>
      <c r="C101" s="257" t="s">
        <v>152</v>
      </c>
      <c r="D101" s="257" t="s">
        <v>121</v>
      </c>
      <c r="E101" s="257">
        <v>8.5890000000000004</v>
      </c>
      <c r="G101" s="257" t="s">
        <v>189</v>
      </c>
      <c r="H101" s="257">
        <v>1</v>
      </c>
      <c r="L101" s="257" t="s">
        <v>115</v>
      </c>
      <c r="P101" s="257" t="s">
        <v>147</v>
      </c>
      <c r="U101" s="256"/>
      <c r="V101" s="259"/>
      <c r="W101" s="260"/>
      <c r="X101" s="261"/>
      <c r="Y101" s="261"/>
      <c r="Z101" s="262"/>
      <c r="AA101" s="261"/>
      <c r="AB101" s="263"/>
      <c r="AC101" s="261"/>
    </row>
    <row r="102" spans="1:29">
      <c r="A102" s="257" t="s">
        <v>142</v>
      </c>
      <c r="B102" s="257" t="s">
        <v>111</v>
      </c>
      <c r="C102" s="257" t="s">
        <v>153</v>
      </c>
      <c r="D102" s="257" t="s">
        <v>121</v>
      </c>
      <c r="E102" s="257">
        <v>8.15</v>
      </c>
      <c r="G102" s="257" t="s">
        <v>189</v>
      </c>
      <c r="H102" s="257">
        <v>1</v>
      </c>
      <c r="L102" s="257" t="s">
        <v>115</v>
      </c>
      <c r="P102" s="257" t="s">
        <v>155</v>
      </c>
      <c r="U102" s="256"/>
      <c r="V102" s="259"/>
      <c r="W102" s="260"/>
      <c r="X102" s="261"/>
      <c r="Y102" s="261"/>
      <c r="Z102" s="262"/>
      <c r="AA102" s="261"/>
      <c r="AB102" s="263"/>
      <c r="AC102" s="261"/>
    </row>
    <row r="103" spans="1:29">
      <c r="A103" s="257" t="s">
        <v>142</v>
      </c>
      <c r="B103" s="257" t="s">
        <v>111</v>
      </c>
      <c r="C103" s="257" t="s">
        <v>156</v>
      </c>
      <c r="D103" s="257" t="s">
        <v>121</v>
      </c>
      <c r="E103" s="257">
        <v>8.15</v>
      </c>
      <c r="G103" s="257" t="s">
        <v>189</v>
      </c>
      <c r="H103" s="257">
        <v>1</v>
      </c>
      <c r="L103" s="257" t="s">
        <v>115</v>
      </c>
      <c r="P103" s="257" t="s">
        <v>155</v>
      </c>
      <c r="U103" s="256"/>
      <c r="V103" s="259"/>
      <c r="W103" s="260"/>
      <c r="X103" s="261"/>
      <c r="Y103" s="261"/>
      <c r="Z103" s="262"/>
      <c r="AA103" s="261"/>
      <c r="AB103" s="263"/>
      <c r="AC103" s="261"/>
    </row>
    <row r="104" spans="1:29">
      <c r="A104" s="257" t="s">
        <v>142</v>
      </c>
      <c r="B104" s="257" t="s">
        <v>111</v>
      </c>
      <c r="C104" s="257" t="s">
        <v>157</v>
      </c>
      <c r="D104" s="257" t="s">
        <v>121</v>
      </c>
      <c r="E104" s="257">
        <v>8.15</v>
      </c>
      <c r="G104" s="257" t="s">
        <v>189</v>
      </c>
      <c r="H104" s="257">
        <v>1</v>
      </c>
      <c r="L104" s="257" t="s">
        <v>115</v>
      </c>
      <c r="P104" s="257" t="s">
        <v>155</v>
      </c>
      <c r="U104" s="256"/>
      <c r="V104" s="259"/>
      <c r="W104" s="260"/>
      <c r="X104" s="261"/>
      <c r="Y104" s="261"/>
      <c r="Z104" s="262"/>
      <c r="AA104" s="261"/>
      <c r="AB104" s="263"/>
      <c r="AC104" s="261"/>
    </row>
    <row r="105" spans="1:29">
      <c r="A105" s="257" t="s">
        <v>142</v>
      </c>
      <c r="B105" s="257" t="s">
        <v>111</v>
      </c>
      <c r="C105" s="257" t="s">
        <v>158</v>
      </c>
      <c r="D105" s="257" t="s">
        <v>121</v>
      </c>
      <c r="E105" s="257">
        <v>8.15</v>
      </c>
      <c r="G105" s="257" t="s">
        <v>189</v>
      </c>
      <c r="H105" s="257">
        <v>1</v>
      </c>
      <c r="L105" s="257" t="s">
        <v>115</v>
      </c>
      <c r="P105" s="257" t="s">
        <v>155</v>
      </c>
      <c r="U105" s="256"/>
      <c r="V105" s="259"/>
      <c r="W105" s="260"/>
      <c r="X105" s="261"/>
      <c r="Y105" s="261"/>
      <c r="Z105" s="262"/>
      <c r="AA105" s="261"/>
      <c r="AB105" s="263"/>
      <c r="AC105" s="261"/>
    </row>
    <row r="106" spans="1:29">
      <c r="A106" s="257" t="s">
        <v>142</v>
      </c>
      <c r="B106" s="257" t="s">
        <v>111</v>
      </c>
      <c r="C106" s="257" t="s">
        <v>160</v>
      </c>
      <c r="D106" s="257" t="s">
        <v>121</v>
      </c>
      <c r="E106" s="257">
        <v>8.1189999999999998</v>
      </c>
      <c r="G106" s="257" t="s">
        <v>189</v>
      </c>
      <c r="H106" s="257">
        <v>1</v>
      </c>
      <c r="L106" s="257" t="s">
        <v>115</v>
      </c>
      <c r="P106" s="257" t="s">
        <v>155</v>
      </c>
      <c r="U106" s="256"/>
      <c r="V106" s="259"/>
      <c r="W106" s="260"/>
      <c r="X106" s="261"/>
      <c r="Y106" s="261"/>
      <c r="Z106" s="262"/>
      <c r="AA106" s="261"/>
      <c r="AB106" s="263"/>
      <c r="AC106" s="261"/>
    </row>
    <row r="107" spans="1:29">
      <c r="A107" s="257" t="s">
        <v>142</v>
      </c>
      <c r="B107" s="257" t="s">
        <v>111</v>
      </c>
      <c r="C107" s="257" t="s">
        <v>161</v>
      </c>
      <c r="D107" s="257" t="s">
        <v>121</v>
      </c>
      <c r="E107" s="257">
        <v>8.15</v>
      </c>
      <c r="G107" s="257" t="s">
        <v>189</v>
      </c>
      <c r="H107" s="257">
        <v>1</v>
      </c>
      <c r="L107" s="257" t="s">
        <v>115</v>
      </c>
      <c r="P107" s="257" t="s">
        <v>155</v>
      </c>
      <c r="U107" s="256"/>
      <c r="V107" s="259"/>
      <c r="W107" s="260"/>
      <c r="X107" s="261"/>
      <c r="Y107" s="261"/>
      <c r="Z107" s="262"/>
      <c r="AA107" s="261"/>
      <c r="AB107" s="263"/>
      <c r="AC107" s="261"/>
    </row>
    <row r="108" spans="1:29">
      <c r="A108" s="257" t="s">
        <v>162</v>
      </c>
      <c r="B108" s="257" t="s">
        <v>111</v>
      </c>
      <c r="C108" s="257" t="s">
        <v>166</v>
      </c>
      <c r="D108" s="257" t="s">
        <v>121</v>
      </c>
      <c r="E108" s="257">
        <v>6.4779999999999998</v>
      </c>
      <c r="G108" s="257" t="s">
        <v>189</v>
      </c>
      <c r="H108" s="257">
        <v>1</v>
      </c>
      <c r="L108" s="257" t="s">
        <v>115</v>
      </c>
      <c r="P108" s="257" t="s">
        <v>165</v>
      </c>
      <c r="U108" s="256"/>
      <c r="V108" s="259"/>
      <c r="W108" s="260"/>
      <c r="X108" s="261"/>
      <c r="Y108" s="261"/>
      <c r="Z108" s="262"/>
      <c r="AA108" s="261"/>
      <c r="AB108" s="263"/>
      <c r="AC108" s="261"/>
    </row>
    <row r="109" spans="1:29">
      <c r="A109" s="257" t="s">
        <v>162</v>
      </c>
      <c r="B109" s="257" t="s">
        <v>111</v>
      </c>
      <c r="C109" s="257" t="s">
        <v>167</v>
      </c>
      <c r="D109" s="257" t="s">
        <v>121</v>
      </c>
      <c r="E109" s="257">
        <v>6.4779999999999998</v>
      </c>
      <c r="G109" s="257" t="s">
        <v>189</v>
      </c>
      <c r="H109" s="257">
        <v>1</v>
      </c>
      <c r="L109" s="257" t="s">
        <v>115</v>
      </c>
      <c r="P109" s="257" t="s">
        <v>165</v>
      </c>
      <c r="U109" s="256"/>
      <c r="V109" s="259"/>
      <c r="W109" s="260"/>
      <c r="X109" s="261"/>
      <c r="Y109" s="261"/>
      <c r="Z109" s="262"/>
      <c r="AA109" s="261"/>
      <c r="AB109" s="263"/>
      <c r="AC109" s="261"/>
    </row>
    <row r="110" spans="1:29">
      <c r="A110" s="257" t="s">
        <v>162</v>
      </c>
      <c r="B110" s="257" t="s">
        <v>111</v>
      </c>
      <c r="C110" s="257" t="s">
        <v>168</v>
      </c>
      <c r="D110" s="257" t="s">
        <v>121</v>
      </c>
      <c r="E110" s="257">
        <v>6.4779999999999998</v>
      </c>
      <c r="G110" s="257" t="s">
        <v>189</v>
      </c>
      <c r="H110" s="257">
        <v>1</v>
      </c>
      <c r="L110" s="257" t="s">
        <v>115</v>
      </c>
      <c r="P110" s="257" t="s">
        <v>165</v>
      </c>
      <c r="U110" s="256"/>
      <c r="V110" s="259"/>
      <c r="W110" s="260"/>
      <c r="X110" s="261"/>
      <c r="Y110" s="261"/>
      <c r="Z110" s="262"/>
      <c r="AA110" s="261"/>
      <c r="AB110" s="263"/>
      <c r="AC110" s="261"/>
    </row>
    <row r="111" spans="1:29">
      <c r="A111" s="257" t="s">
        <v>162</v>
      </c>
      <c r="B111" s="257" t="s">
        <v>111</v>
      </c>
      <c r="C111" s="257" t="s">
        <v>169</v>
      </c>
      <c r="D111" s="257" t="s">
        <v>121</v>
      </c>
      <c r="E111" s="257">
        <v>5.3860000000000001</v>
      </c>
      <c r="G111" s="257" t="s">
        <v>189</v>
      </c>
      <c r="H111" s="257">
        <v>1</v>
      </c>
      <c r="L111" s="257" t="s">
        <v>115</v>
      </c>
      <c r="P111" s="257" t="s">
        <v>165</v>
      </c>
      <c r="U111" s="256"/>
      <c r="V111" s="259"/>
      <c r="W111" s="260"/>
      <c r="X111" s="261"/>
      <c r="Y111" s="261"/>
      <c r="Z111" s="262"/>
      <c r="AA111" s="261"/>
      <c r="AB111" s="263"/>
      <c r="AC111" s="261"/>
    </row>
    <row r="112" spans="1:29">
      <c r="A112" s="257" t="s">
        <v>162</v>
      </c>
      <c r="B112" s="257" t="s">
        <v>111</v>
      </c>
      <c r="C112" s="257" t="s">
        <v>170</v>
      </c>
      <c r="D112" s="257" t="s">
        <v>121</v>
      </c>
      <c r="E112" s="257">
        <v>6.4779999999999998</v>
      </c>
      <c r="G112" s="257" t="s">
        <v>189</v>
      </c>
      <c r="H112" s="257">
        <v>1</v>
      </c>
      <c r="L112" s="257" t="s">
        <v>115</v>
      </c>
      <c r="P112" s="257" t="s">
        <v>165</v>
      </c>
      <c r="U112" s="256"/>
      <c r="V112" s="259"/>
      <c r="W112" s="260"/>
      <c r="X112" s="261"/>
      <c r="Y112" s="261"/>
      <c r="Z112" s="262"/>
      <c r="AA112" s="261"/>
      <c r="AB112" s="263"/>
      <c r="AC112" s="261"/>
    </row>
    <row r="113" spans="1:29">
      <c r="A113" s="257" t="s">
        <v>162</v>
      </c>
      <c r="B113" s="257" t="s">
        <v>111</v>
      </c>
      <c r="C113" s="257" t="s">
        <v>171</v>
      </c>
      <c r="D113" s="257" t="s">
        <v>121</v>
      </c>
      <c r="E113" s="257">
        <v>6.4779999999999998</v>
      </c>
      <c r="G113" s="257" t="s">
        <v>189</v>
      </c>
      <c r="H113" s="257">
        <v>1</v>
      </c>
      <c r="L113" s="257" t="s">
        <v>115</v>
      </c>
      <c r="P113" s="257" t="s">
        <v>165</v>
      </c>
      <c r="U113" s="256"/>
      <c r="V113" s="259"/>
      <c r="W113" s="260"/>
      <c r="X113" s="261"/>
      <c r="Y113" s="261"/>
      <c r="Z113" s="262"/>
      <c r="AA113" s="261"/>
      <c r="AB113" s="263"/>
      <c r="AC113" s="261"/>
    </row>
    <row r="114" spans="1:29">
      <c r="A114" s="257" t="s">
        <v>162</v>
      </c>
      <c r="B114" s="257" t="s">
        <v>111</v>
      </c>
      <c r="C114" s="257" t="s">
        <v>163</v>
      </c>
      <c r="D114" s="257" t="s">
        <v>121</v>
      </c>
      <c r="E114" s="257">
        <v>5.3860000000000001</v>
      </c>
      <c r="G114" s="257" t="s">
        <v>189</v>
      </c>
      <c r="H114" s="257">
        <v>1</v>
      </c>
      <c r="L114" s="257" t="s">
        <v>115</v>
      </c>
      <c r="P114" s="257" t="s">
        <v>165</v>
      </c>
      <c r="U114" s="256"/>
      <c r="V114" s="259"/>
      <c r="W114" s="260"/>
      <c r="X114" s="261"/>
      <c r="Y114" s="261"/>
      <c r="Z114" s="262"/>
      <c r="AA114" s="261"/>
      <c r="AB114" s="263"/>
      <c r="AC114" s="261"/>
    </row>
    <row r="115" spans="1:29">
      <c r="A115" s="257" t="s">
        <v>162</v>
      </c>
      <c r="B115" s="257" t="s">
        <v>111</v>
      </c>
      <c r="C115" s="257" t="s">
        <v>172</v>
      </c>
      <c r="D115" s="257" t="s">
        <v>121</v>
      </c>
      <c r="E115" s="257">
        <v>6.4779999999999998</v>
      </c>
      <c r="G115" s="257" t="s">
        <v>189</v>
      </c>
      <c r="H115" s="257">
        <v>1</v>
      </c>
      <c r="L115" s="257" t="s">
        <v>115</v>
      </c>
      <c r="P115" s="257" t="s">
        <v>165</v>
      </c>
      <c r="U115" s="256"/>
      <c r="V115" s="259"/>
      <c r="W115" s="260"/>
      <c r="X115" s="261"/>
      <c r="Y115" s="261"/>
      <c r="Z115" s="262"/>
      <c r="AA115" s="261"/>
      <c r="AB115" s="263"/>
      <c r="AC115" s="261"/>
    </row>
    <row r="116" spans="1:29">
      <c r="A116" s="257" t="s">
        <v>162</v>
      </c>
      <c r="B116" s="257" t="s">
        <v>111</v>
      </c>
      <c r="C116" s="257" t="s">
        <v>173</v>
      </c>
      <c r="D116" s="257" t="s">
        <v>121</v>
      </c>
      <c r="E116" s="257">
        <v>6.4779999999999998</v>
      </c>
      <c r="G116" s="257" t="s">
        <v>189</v>
      </c>
      <c r="H116" s="257">
        <v>1</v>
      </c>
      <c r="L116" s="257" t="s">
        <v>115</v>
      </c>
      <c r="P116" s="257" t="s">
        <v>165</v>
      </c>
      <c r="U116" s="256"/>
      <c r="V116" s="259"/>
      <c r="W116" s="260"/>
      <c r="X116" s="261"/>
      <c r="Y116" s="261"/>
      <c r="Z116" s="262"/>
      <c r="AA116" s="261"/>
      <c r="AB116" s="263"/>
      <c r="AC116" s="261"/>
    </row>
    <row r="117" spans="1:29">
      <c r="A117" s="257" t="s">
        <v>162</v>
      </c>
      <c r="B117" s="257" t="s">
        <v>111</v>
      </c>
      <c r="C117" s="257" t="s">
        <v>174</v>
      </c>
      <c r="D117" s="257" t="s">
        <v>121</v>
      </c>
      <c r="E117" s="257">
        <v>6.4779999999999998</v>
      </c>
      <c r="G117" s="257" t="s">
        <v>189</v>
      </c>
      <c r="H117" s="257">
        <v>1</v>
      </c>
      <c r="L117" s="257" t="s">
        <v>115</v>
      </c>
      <c r="P117" s="257" t="s">
        <v>165</v>
      </c>
      <c r="U117" s="256"/>
      <c r="V117" s="259"/>
      <c r="W117" s="260"/>
      <c r="X117" s="261"/>
      <c r="Y117" s="261"/>
      <c r="Z117" s="262"/>
      <c r="AA117" s="261"/>
      <c r="AB117" s="263"/>
      <c r="AC117" s="261"/>
    </row>
    <row r="118" spans="1:29">
      <c r="A118" s="257" t="s">
        <v>162</v>
      </c>
      <c r="B118" s="257" t="s">
        <v>111</v>
      </c>
      <c r="C118" s="257" t="s">
        <v>175</v>
      </c>
      <c r="D118" s="257" t="s">
        <v>121</v>
      </c>
      <c r="E118" s="257">
        <v>6.4779999999999998</v>
      </c>
      <c r="G118" s="257" t="s">
        <v>189</v>
      </c>
      <c r="H118" s="257">
        <v>1</v>
      </c>
      <c r="L118" s="257" t="s">
        <v>115</v>
      </c>
      <c r="P118" s="257" t="s">
        <v>165</v>
      </c>
      <c r="U118" s="256"/>
      <c r="V118" s="259"/>
      <c r="W118" s="260"/>
      <c r="X118" s="261"/>
      <c r="Y118" s="261"/>
      <c r="Z118" s="262"/>
      <c r="AA118" s="261"/>
      <c r="AB118" s="263"/>
      <c r="AC118" s="261"/>
    </row>
    <row r="119" spans="1:29">
      <c r="A119" s="257" t="s">
        <v>162</v>
      </c>
      <c r="B119" s="257" t="s">
        <v>111</v>
      </c>
      <c r="C119" s="257" t="s">
        <v>176</v>
      </c>
      <c r="D119" s="257" t="s">
        <v>121</v>
      </c>
      <c r="E119" s="257">
        <v>6.4779999999999998</v>
      </c>
      <c r="G119" s="257" t="s">
        <v>189</v>
      </c>
      <c r="H119" s="257">
        <v>1</v>
      </c>
      <c r="L119" s="257" t="s">
        <v>115</v>
      </c>
      <c r="P119" s="257" t="s">
        <v>165</v>
      </c>
      <c r="U119" s="256"/>
      <c r="V119" s="259"/>
      <c r="W119" s="260"/>
      <c r="X119" s="261"/>
      <c r="Y119" s="261"/>
      <c r="Z119" s="262"/>
      <c r="AA119" s="261"/>
      <c r="AB119" s="263"/>
      <c r="AC119" s="261"/>
    </row>
    <row r="120" spans="1:29">
      <c r="A120" s="257" t="s">
        <v>162</v>
      </c>
      <c r="B120" s="257" t="s">
        <v>111</v>
      </c>
      <c r="C120" s="257" t="s">
        <v>177</v>
      </c>
      <c r="D120" s="257" t="s">
        <v>121</v>
      </c>
      <c r="E120" s="257">
        <v>5.3869999999999996</v>
      </c>
      <c r="G120" s="257" t="s">
        <v>189</v>
      </c>
      <c r="H120" s="257">
        <v>1</v>
      </c>
      <c r="L120" s="257" t="s">
        <v>115</v>
      </c>
      <c r="P120" s="257" t="s">
        <v>178</v>
      </c>
      <c r="U120" s="256"/>
      <c r="V120" s="259"/>
      <c r="W120" s="260"/>
      <c r="X120" s="261"/>
      <c r="Y120" s="261"/>
      <c r="Z120" s="262"/>
      <c r="AA120" s="261"/>
      <c r="AB120" s="263"/>
      <c r="AC120" s="261"/>
    </row>
    <row r="121" spans="1:29">
      <c r="A121" s="257" t="s">
        <v>162</v>
      </c>
      <c r="B121" s="257" t="s">
        <v>111</v>
      </c>
      <c r="C121" s="257" t="s">
        <v>179</v>
      </c>
      <c r="D121" s="257" t="s">
        <v>121</v>
      </c>
      <c r="E121" s="257">
        <v>5.5430000000000001</v>
      </c>
      <c r="G121" s="257" t="s">
        <v>189</v>
      </c>
      <c r="H121" s="257">
        <v>1</v>
      </c>
      <c r="L121" s="257" t="s">
        <v>115</v>
      </c>
      <c r="P121" s="257" t="s">
        <v>178</v>
      </c>
      <c r="U121" s="256"/>
      <c r="V121" s="259"/>
      <c r="W121" s="260"/>
      <c r="X121" s="261"/>
      <c r="Y121" s="261"/>
      <c r="Z121" s="262"/>
      <c r="AA121" s="261"/>
      <c r="AB121" s="263"/>
      <c r="AC121" s="261"/>
    </row>
    <row r="122" spans="1:29" customFormat="1" ht="12.75">
      <c r="A122" t="s">
        <v>142</v>
      </c>
      <c r="B122" t="s">
        <v>111</v>
      </c>
      <c r="C122" t="s">
        <v>287</v>
      </c>
      <c r="D122" t="s">
        <v>121</v>
      </c>
      <c r="E122" s="177">
        <v>8.2750000000000004</v>
      </c>
      <c r="G122" t="s">
        <v>189</v>
      </c>
      <c r="H122">
        <v>1</v>
      </c>
      <c r="I122" s="327"/>
      <c r="J122" s="327"/>
      <c r="L122" t="s">
        <v>115</v>
      </c>
      <c r="P122" t="s">
        <v>288</v>
      </c>
      <c r="Q122" t="b">
        <v>0</v>
      </c>
    </row>
    <row r="123" spans="1:29">
      <c r="U123" s="256"/>
      <c r="V123" s="259"/>
      <c r="W123" s="260"/>
      <c r="X123" s="261"/>
      <c r="Y123" s="261"/>
      <c r="Z123" s="262"/>
      <c r="AA123" s="261"/>
      <c r="AB123" s="263"/>
      <c r="AC123" s="261"/>
    </row>
    <row r="124" spans="1:29">
      <c r="U124" s="256"/>
      <c r="V124" s="259"/>
      <c r="W124" s="260"/>
      <c r="X124" s="261"/>
      <c r="Y124" s="261"/>
      <c r="Z124" s="262"/>
      <c r="AA124" s="261"/>
      <c r="AB124" s="263"/>
      <c r="AC124" s="261"/>
    </row>
    <row r="125" spans="1:29" s="255" customFormat="1">
      <c r="A125" s="255" t="s">
        <v>94</v>
      </c>
      <c r="B125" s="255" t="s">
        <v>95</v>
      </c>
      <c r="C125" s="255" t="s">
        <v>96</v>
      </c>
      <c r="D125" s="255" t="s">
        <v>97</v>
      </c>
      <c r="E125" s="255" t="s">
        <v>98</v>
      </c>
      <c r="F125" s="255" t="s">
        <v>99</v>
      </c>
      <c r="G125" s="255" t="s">
        <v>100</v>
      </c>
      <c r="H125" s="255" t="s">
        <v>101</v>
      </c>
      <c r="I125" s="255" t="s">
        <v>102</v>
      </c>
      <c r="J125" s="255" t="s">
        <v>103</v>
      </c>
      <c r="K125" s="255" t="s">
        <v>104</v>
      </c>
      <c r="L125" s="255" t="s">
        <v>105</v>
      </c>
      <c r="M125" s="255" t="s">
        <v>106</v>
      </c>
      <c r="N125" s="255" t="s">
        <v>107</v>
      </c>
      <c r="O125" s="255" t="s">
        <v>108</v>
      </c>
      <c r="P125" s="255" t="s">
        <v>109</v>
      </c>
      <c r="S125" s="255" t="s">
        <v>0</v>
      </c>
      <c r="U125" s="256"/>
      <c r="V125" s="259"/>
      <c r="W125" s="260"/>
      <c r="X125" s="261"/>
      <c r="Y125" s="261"/>
      <c r="Z125" s="262"/>
      <c r="AA125" s="261"/>
      <c r="AB125" s="263"/>
      <c r="AC125" s="261"/>
    </row>
    <row r="126" spans="1:29">
      <c r="A126" s="257" t="s">
        <v>110</v>
      </c>
      <c r="B126" s="257" t="s">
        <v>111</v>
      </c>
      <c r="C126" s="257" t="s">
        <v>146</v>
      </c>
      <c r="D126" s="257" t="s">
        <v>113</v>
      </c>
      <c r="E126" s="335">
        <v>1.065089773</v>
      </c>
      <c r="G126" s="257" t="s">
        <v>114</v>
      </c>
      <c r="H126" s="257">
        <v>1</v>
      </c>
      <c r="I126" s="258">
        <v>45658</v>
      </c>
      <c r="J126" s="258"/>
      <c r="L126" s="257" t="s">
        <v>115</v>
      </c>
      <c r="O126" s="257" t="s">
        <v>190</v>
      </c>
      <c r="P126" s="257" t="s">
        <v>191</v>
      </c>
      <c r="S126" s="257">
        <f>YEAR(I126)</f>
        <v>2025</v>
      </c>
      <c r="U126" s="256"/>
      <c r="V126" s="259"/>
      <c r="W126" s="260"/>
      <c r="X126" s="261"/>
      <c r="Y126" s="261"/>
      <c r="Z126" s="262"/>
      <c r="AA126" s="261"/>
      <c r="AB126" s="263"/>
      <c r="AC126" s="261"/>
    </row>
    <row r="127" spans="1:29">
      <c r="A127" s="257" t="s">
        <v>110</v>
      </c>
      <c r="B127" s="257" t="s">
        <v>111</v>
      </c>
      <c r="C127" s="257" t="s">
        <v>146</v>
      </c>
      <c r="D127" s="257" t="s">
        <v>113</v>
      </c>
      <c r="E127" s="335">
        <v>1.0448009469999999</v>
      </c>
      <c r="G127" s="257" t="s">
        <v>114</v>
      </c>
      <c r="H127" s="257">
        <v>1</v>
      </c>
      <c r="I127" s="258">
        <v>46023</v>
      </c>
      <c r="J127" s="258"/>
      <c r="L127" s="257" t="s">
        <v>115</v>
      </c>
      <c r="O127" s="257" t="s">
        <v>190</v>
      </c>
      <c r="P127" s="257" t="s">
        <v>191</v>
      </c>
      <c r="S127" s="257">
        <f t="shared" ref="S127:S146" si="2">YEAR(I127)</f>
        <v>2026</v>
      </c>
      <c r="U127" s="256"/>
      <c r="V127" s="259"/>
      <c r="W127" s="260"/>
      <c r="X127" s="261"/>
      <c r="Y127" s="261"/>
      <c r="Z127" s="262"/>
      <c r="AA127" s="261"/>
      <c r="AB127" s="263"/>
      <c r="AC127" s="261"/>
    </row>
    <row r="128" spans="1:29">
      <c r="A128" s="257" t="s">
        <v>110</v>
      </c>
      <c r="B128" s="257" t="s">
        <v>111</v>
      </c>
      <c r="C128" s="257" t="s">
        <v>146</v>
      </c>
      <c r="D128" s="257" t="s">
        <v>113</v>
      </c>
      <c r="E128" s="335">
        <v>1.0231213539999999</v>
      </c>
      <c r="G128" s="257" t="s">
        <v>114</v>
      </c>
      <c r="H128" s="257">
        <v>1</v>
      </c>
      <c r="I128" s="258">
        <v>46388</v>
      </c>
      <c r="J128" s="258"/>
      <c r="L128" s="257" t="s">
        <v>115</v>
      </c>
      <c r="O128" s="257" t="s">
        <v>190</v>
      </c>
      <c r="P128" s="257" t="s">
        <v>191</v>
      </c>
      <c r="S128" s="257">
        <f t="shared" si="2"/>
        <v>2027</v>
      </c>
      <c r="U128" s="256"/>
      <c r="V128" s="259"/>
      <c r="W128" s="260"/>
      <c r="X128" s="261"/>
      <c r="Y128" s="261"/>
      <c r="Z128" s="262"/>
      <c r="AA128" s="261"/>
      <c r="AB128" s="263"/>
      <c r="AC128" s="261"/>
    </row>
    <row r="129" spans="1:29">
      <c r="A129" s="257" t="s">
        <v>110</v>
      </c>
      <c r="B129" s="257" t="s">
        <v>111</v>
      </c>
      <c r="C129" s="257" t="s">
        <v>146</v>
      </c>
      <c r="D129" s="257" t="s">
        <v>113</v>
      </c>
      <c r="E129" s="335">
        <v>1</v>
      </c>
      <c r="G129" s="257" t="s">
        <v>114</v>
      </c>
      <c r="H129" s="257">
        <v>1</v>
      </c>
      <c r="I129" s="258">
        <v>46753</v>
      </c>
      <c r="J129" s="258"/>
      <c r="L129" s="257" t="s">
        <v>115</v>
      </c>
      <c r="O129" s="257" t="s">
        <v>190</v>
      </c>
      <c r="P129" s="257" t="s">
        <v>191</v>
      </c>
      <c r="S129" s="257">
        <f t="shared" si="2"/>
        <v>2028</v>
      </c>
      <c r="U129" s="256"/>
      <c r="V129" s="259"/>
      <c r="W129" s="262"/>
      <c r="X129" s="261"/>
      <c r="Y129" s="261"/>
      <c r="Z129" s="262"/>
      <c r="AA129" s="261"/>
      <c r="AB129" s="263"/>
      <c r="AC129" s="261"/>
    </row>
    <row r="130" spans="1:29">
      <c r="A130" s="257" t="s">
        <v>110</v>
      </c>
      <c r="B130" s="257" t="s">
        <v>111</v>
      </c>
      <c r="C130" s="257" t="s">
        <v>146</v>
      </c>
      <c r="D130" s="257" t="s">
        <v>113</v>
      </c>
      <c r="E130" s="335">
        <v>0.975384327</v>
      </c>
      <c r="G130" s="257" t="s">
        <v>114</v>
      </c>
      <c r="H130" s="257">
        <v>1</v>
      </c>
      <c r="I130" s="258">
        <v>47119</v>
      </c>
      <c r="J130" s="258"/>
      <c r="L130" s="257" t="s">
        <v>115</v>
      </c>
      <c r="O130" s="257" t="s">
        <v>190</v>
      </c>
      <c r="P130" s="257" t="s">
        <v>191</v>
      </c>
      <c r="S130" s="257">
        <f t="shared" si="2"/>
        <v>2029</v>
      </c>
      <c r="U130" s="256"/>
      <c r="V130" s="259"/>
      <c r="W130" s="262"/>
      <c r="X130" s="261"/>
      <c r="Y130" s="261"/>
      <c r="Z130" s="262"/>
      <c r="AA130" s="261"/>
      <c r="AB130" s="263"/>
      <c r="AC130" s="261"/>
    </row>
    <row r="131" spans="1:29">
      <c r="A131" s="257" t="s">
        <v>110</v>
      </c>
      <c r="B131" s="257" t="s">
        <v>111</v>
      </c>
      <c r="C131" s="257" t="s">
        <v>146</v>
      </c>
      <c r="D131" s="257" t="s">
        <v>113</v>
      </c>
      <c r="E131" s="335">
        <v>0.94922017000000003</v>
      </c>
      <c r="G131" s="257" t="s">
        <v>114</v>
      </c>
      <c r="H131" s="257">
        <v>1</v>
      </c>
      <c r="I131" s="258">
        <v>47484</v>
      </c>
      <c r="J131" s="258"/>
      <c r="L131" s="257" t="s">
        <v>115</v>
      </c>
      <c r="O131" s="257" t="s">
        <v>190</v>
      </c>
      <c r="P131" s="257" t="s">
        <v>191</v>
      </c>
      <c r="S131" s="257">
        <f t="shared" si="2"/>
        <v>2030</v>
      </c>
      <c r="U131" s="256"/>
      <c r="V131" s="259"/>
      <c r="W131" s="262"/>
      <c r="X131" s="261"/>
      <c r="Y131" s="261"/>
      <c r="Z131" s="262"/>
      <c r="AA131" s="261"/>
      <c r="AB131" s="263"/>
      <c r="AC131" s="261"/>
    </row>
    <row r="132" spans="1:29">
      <c r="A132" s="257" t="s">
        <v>110</v>
      </c>
      <c r="B132" s="257" t="s">
        <v>111</v>
      </c>
      <c r="C132" s="257" t="s">
        <v>146</v>
      </c>
      <c r="D132" s="257" t="s">
        <v>113</v>
      </c>
      <c r="E132" s="335">
        <v>0.92145171400000003</v>
      </c>
      <c r="G132" s="257" t="s">
        <v>114</v>
      </c>
      <c r="H132" s="257">
        <v>1</v>
      </c>
      <c r="I132" s="258">
        <v>47849</v>
      </c>
      <c r="J132" s="258"/>
      <c r="L132" s="257" t="s">
        <v>115</v>
      </c>
      <c r="O132" s="257" t="s">
        <v>190</v>
      </c>
      <c r="P132" s="257" t="s">
        <v>191</v>
      </c>
      <c r="S132" s="257">
        <f t="shared" si="2"/>
        <v>2031</v>
      </c>
      <c r="U132" s="256"/>
      <c r="V132" s="259"/>
      <c r="W132" s="262"/>
      <c r="X132" s="261"/>
      <c r="Y132" s="261"/>
      <c r="Z132" s="262"/>
      <c r="AA132" s="261"/>
      <c r="AB132" s="261"/>
      <c r="AC132" s="261"/>
    </row>
    <row r="133" spans="1:29">
      <c r="A133" s="257" t="s">
        <v>110</v>
      </c>
      <c r="B133" s="257" t="s">
        <v>111</v>
      </c>
      <c r="C133" s="257" t="s">
        <v>146</v>
      </c>
      <c r="D133" s="257" t="s">
        <v>113</v>
      </c>
      <c r="E133" s="335">
        <v>0.89202144699999997</v>
      </c>
      <c r="G133" s="257" t="s">
        <v>114</v>
      </c>
      <c r="H133" s="257">
        <v>1</v>
      </c>
      <c r="I133" s="258">
        <v>48214</v>
      </c>
      <c r="J133" s="258"/>
      <c r="L133" s="257" t="s">
        <v>115</v>
      </c>
      <c r="O133" s="257" t="s">
        <v>190</v>
      </c>
      <c r="P133" s="257" t="s">
        <v>191</v>
      </c>
      <c r="S133" s="257">
        <f t="shared" si="2"/>
        <v>2032</v>
      </c>
      <c r="U133" s="256"/>
      <c r="V133" s="259"/>
      <c r="W133" s="262"/>
      <c r="X133" s="261"/>
      <c r="Y133" s="261"/>
      <c r="Z133" s="262"/>
      <c r="AA133" s="261"/>
      <c r="AB133" s="261"/>
      <c r="AC133" s="261"/>
    </row>
    <row r="134" spans="1:29">
      <c r="A134" s="257" t="s">
        <v>110</v>
      </c>
      <c r="B134" s="257" t="s">
        <v>111</v>
      </c>
      <c r="C134" s="257" t="s">
        <v>146</v>
      </c>
      <c r="D134" s="257" t="s">
        <v>113</v>
      </c>
      <c r="E134" s="335">
        <v>0.86087010900000005</v>
      </c>
      <c r="G134" s="257" t="s">
        <v>114</v>
      </c>
      <c r="H134" s="257">
        <v>1</v>
      </c>
      <c r="I134" s="258">
        <v>48580</v>
      </c>
      <c r="J134" s="258"/>
      <c r="L134" s="257" t="s">
        <v>115</v>
      </c>
      <c r="O134" s="257" t="s">
        <v>190</v>
      </c>
      <c r="P134" s="257" t="s">
        <v>191</v>
      </c>
      <c r="S134" s="257">
        <f t="shared" si="2"/>
        <v>2033</v>
      </c>
      <c r="U134" s="256"/>
      <c r="V134" s="259"/>
      <c r="W134" s="262"/>
      <c r="X134" s="261"/>
      <c r="Y134" s="261"/>
      <c r="Z134" s="262"/>
      <c r="AA134" s="261"/>
      <c r="AB134" s="261"/>
      <c r="AC134" s="261"/>
    </row>
    <row r="135" spans="1:29">
      <c r="A135" s="257" t="s">
        <v>110</v>
      </c>
      <c r="B135" s="257" t="s">
        <v>111</v>
      </c>
      <c r="C135" s="257" t="s">
        <v>146</v>
      </c>
      <c r="D135" s="257" t="s">
        <v>113</v>
      </c>
      <c r="E135" s="335">
        <v>0.827936648</v>
      </c>
      <c r="G135" s="257" t="s">
        <v>114</v>
      </c>
      <c r="H135" s="257">
        <v>1</v>
      </c>
      <c r="I135" s="258">
        <v>48945</v>
      </c>
      <c r="J135" s="258"/>
      <c r="L135" s="257" t="s">
        <v>115</v>
      </c>
      <c r="O135" s="257" t="s">
        <v>190</v>
      </c>
      <c r="P135" s="257" t="s">
        <v>191</v>
      </c>
      <c r="S135" s="257">
        <f t="shared" si="2"/>
        <v>2034</v>
      </c>
      <c r="U135" s="256"/>
      <c r="V135" s="259"/>
      <c r="W135" s="262"/>
      <c r="X135" s="261"/>
      <c r="Y135" s="261"/>
      <c r="Z135" s="262"/>
      <c r="AA135" s="261"/>
      <c r="AB135" s="261"/>
      <c r="AC135" s="261"/>
    </row>
    <row r="136" spans="1:29">
      <c r="A136" s="257" t="s">
        <v>110</v>
      </c>
      <c r="B136" s="257" t="s">
        <v>111</v>
      </c>
      <c r="C136" s="257" t="s">
        <v>146</v>
      </c>
      <c r="D136" s="257" t="s">
        <v>113</v>
      </c>
      <c r="E136" s="335">
        <v>0.79315816900000002</v>
      </c>
      <c r="G136" s="257" t="s">
        <v>114</v>
      </c>
      <c r="H136" s="257">
        <v>1</v>
      </c>
      <c r="I136" s="258">
        <v>49310</v>
      </c>
      <c r="J136" s="258"/>
      <c r="L136" s="257" t="s">
        <v>115</v>
      </c>
      <c r="O136" s="257" t="s">
        <v>190</v>
      </c>
      <c r="P136" s="257" t="s">
        <v>191</v>
      </c>
      <c r="S136" s="257">
        <f t="shared" si="2"/>
        <v>2035</v>
      </c>
      <c r="U136" s="256"/>
      <c r="V136" s="259"/>
      <c r="W136" s="262"/>
      <c r="X136" s="261"/>
      <c r="Y136" s="261"/>
      <c r="Z136" s="262"/>
      <c r="AA136" s="261"/>
      <c r="AB136" s="261"/>
      <c r="AC136" s="261"/>
    </row>
    <row r="137" spans="1:29">
      <c r="A137" s="257" t="s">
        <v>110</v>
      </c>
      <c r="B137" s="257" t="s">
        <v>111</v>
      </c>
      <c r="C137" s="257" t="s">
        <v>146</v>
      </c>
      <c r="D137" s="257" t="s">
        <v>113</v>
      </c>
      <c r="E137" s="335">
        <v>0.79762982100000002</v>
      </c>
      <c r="G137" s="257" t="s">
        <v>114</v>
      </c>
      <c r="H137" s="257">
        <v>1</v>
      </c>
      <c r="I137" s="258">
        <v>49675</v>
      </c>
      <c r="J137" s="258"/>
      <c r="L137" s="257" t="s">
        <v>115</v>
      </c>
      <c r="O137" s="257" t="s">
        <v>190</v>
      </c>
      <c r="P137" s="257" t="s">
        <v>191</v>
      </c>
      <c r="S137" s="257">
        <f t="shared" si="2"/>
        <v>2036</v>
      </c>
      <c r="Z137" s="256"/>
      <c r="AA137" s="256"/>
      <c r="AB137" s="256"/>
      <c r="AC137" s="256"/>
    </row>
    <row r="138" spans="1:29">
      <c r="A138" s="257" t="s">
        <v>110</v>
      </c>
      <c r="B138" s="257" t="s">
        <v>111</v>
      </c>
      <c r="C138" s="257" t="s">
        <v>146</v>
      </c>
      <c r="D138" s="257" t="s">
        <v>113</v>
      </c>
      <c r="E138" s="335">
        <v>0.80191949600000001</v>
      </c>
      <c r="G138" s="257" t="s">
        <v>114</v>
      </c>
      <c r="H138" s="257">
        <v>1</v>
      </c>
      <c r="I138" s="258">
        <v>50041</v>
      </c>
      <c r="J138" s="258"/>
      <c r="L138" s="257" t="s">
        <v>115</v>
      </c>
      <c r="O138" s="257" t="s">
        <v>190</v>
      </c>
      <c r="P138" s="257" t="s">
        <v>191</v>
      </c>
      <c r="S138" s="257">
        <f t="shared" si="2"/>
        <v>2037</v>
      </c>
      <c r="Z138" s="256"/>
      <c r="AA138" s="256"/>
      <c r="AB138" s="256"/>
      <c r="AC138" s="256"/>
    </row>
    <row r="139" spans="1:29">
      <c r="A139" s="257" t="s">
        <v>110</v>
      </c>
      <c r="B139" s="257" t="s">
        <v>111</v>
      </c>
      <c r="C139" s="257" t="s">
        <v>146</v>
      </c>
      <c r="D139" s="257" t="s">
        <v>113</v>
      </c>
      <c r="E139" s="335">
        <v>0.80601713600000002</v>
      </c>
      <c r="G139" s="257" t="s">
        <v>114</v>
      </c>
      <c r="H139" s="257">
        <v>1</v>
      </c>
      <c r="I139" s="258">
        <v>50406</v>
      </c>
      <c r="J139" s="258"/>
      <c r="L139" s="257" t="s">
        <v>115</v>
      </c>
      <c r="O139" s="257" t="s">
        <v>190</v>
      </c>
      <c r="P139" s="257" t="s">
        <v>191</v>
      </c>
      <c r="S139" s="257">
        <f t="shared" si="2"/>
        <v>2038</v>
      </c>
      <c r="Z139" s="256"/>
      <c r="AA139" s="256"/>
      <c r="AB139" s="256"/>
      <c r="AC139" s="256"/>
    </row>
    <row r="140" spans="1:29">
      <c r="A140" s="257" t="s">
        <v>110</v>
      </c>
      <c r="B140" s="257" t="s">
        <v>111</v>
      </c>
      <c r="C140" s="257" t="s">
        <v>146</v>
      </c>
      <c r="D140" s="257" t="s">
        <v>113</v>
      </c>
      <c r="E140" s="335">
        <v>0.80991232800000001</v>
      </c>
      <c r="G140" s="257" t="s">
        <v>114</v>
      </c>
      <c r="H140" s="257">
        <v>1</v>
      </c>
      <c r="I140" s="258">
        <v>50771</v>
      </c>
      <c r="J140" s="258"/>
      <c r="L140" s="257" t="s">
        <v>115</v>
      </c>
      <c r="O140" s="257" t="s">
        <v>190</v>
      </c>
      <c r="P140" s="257" t="s">
        <v>191</v>
      </c>
      <c r="S140" s="257">
        <f t="shared" si="2"/>
        <v>2039</v>
      </c>
      <c r="Z140" s="256"/>
      <c r="AA140" s="256"/>
      <c r="AB140" s="256"/>
      <c r="AC140" s="256"/>
    </row>
    <row r="141" spans="1:29">
      <c r="A141" s="257" t="s">
        <v>110</v>
      </c>
      <c r="B141" s="257" t="s">
        <v>111</v>
      </c>
      <c r="C141" s="257" t="s">
        <v>146</v>
      </c>
      <c r="D141" s="257" t="s">
        <v>113</v>
      </c>
      <c r="E141" s="335">
        <v>0.81359429999999999</v>
      </c>
      <c r="G141" s="257" t="s">
        <v>114</v>
      </c>
      <c r="H141" s="257">
        <v>1</v>
      </c>
      <c r="I141" s="258">
        <v>51136</v>
      </c>
      <c r="J141" s="258"/>
      <c r="L141" s="257" t="s">
        <v>115</v>
      </c>
      <c r="O141" s="257" t="s">
        <v>190</v>
      </c>
      <c r="P141" s="257" t="s">
        <v>191</v>
      </c>
      <c r="S141" s="257">
        <f t="shared" si="2"/>
        <v>2040</v>
      </c>
      <c r="Z141" s="256"/>
      <c r="AA141" s="256"/>
      <c r="AB141" s="256"/>
      <c r="AC141" s="256"/>
    </row>
    <row r="142" spans="1:29">
      <c r="A142" s="257" t="s">
        <v>110</v>
      </c>
      <c r="B142" s="257" t="s">
        <v>111</v>
      </c>
      <c r="C142" s="257" t="s">
        <v>146</v>
      </c>
      <c r="D142" s="257" t="s">
        <v>113</v>
      </c>
      <c r="E142" s="335">
        <v>0.817051902</v>
      </c>
      <c r="G142" s="257" t="s">
        <v>114</v>
      </c>
      <c r="H142" s="257">
        <v>1</v>
      </c>
      <c r="I142" s="258">
        <v>51502</v>
      </c>
      <c r="J142" s="258"/>
      <c r="L142" s="257" t="s">
        <v>115</v>
      </c>
      <c r="O142" s="257" t="s">
        <v>190</v>
      </c>
      <c r="P142" s="257" t="s">
        <v>191</v>
      </c>
      <c r="S142" s="257">
        <f t="shared" si="2"/>
        <v>2041</v>
      </c>
      <c r="Z142" s="256"/>
      <c r="AA142" s="256"/>
      <c r="AB142" s="256"/>
      <c r="AC142" s="256"/>
    </row>
    <row r="143" spans="1:29">
      <c r="A143" s="257" t="s">
        <v>110</v>
      </c>
      <c r="B143" s="257" t="s">
        <v>111</v>
      </c>
      <c r="C143" s="257" t="s">
        <v>146</v>
      </c>
      <c r="D143" s="257" t="s">
        <v>113</v>
      </c>
      <c r="E143" s="335">
        <v>0.82027360400000005</v>
      </c>
      <c r="G143" s="257" t="s">
        <v>114</v>
      </c>
      <c r="H143" s="257">
        <v>1</v>
      </c>
      <c r="I143" s="258">
        <v>51867</v>
      </c>
      <c r="J143" s="258"/>
      <c r="L143" s="257" t="s">
        <v>115</v>
      </c>
      <c r="O143" s="257" t="s">
        <v>190</v>
      </c>
      <c r="P143" s="257" t="s">
        <v>191</v>
      </c>
      <c r="S143" s="257">
        <f t="shared" si="2"/>
        <v>2042</v>
      </c>
      <c r="Z143" s="256"/>
      <c r="AA143" s="256"/>
      <c r="AB143" s="256"/>
      <c r="AC143" s="256"/>
    </row>
    <row r="144" spans="1:29">
      <c r="A144" s="257" t="s">
        <v>110</v>
      </c>
      <c r="B144" s="257" t="s">
        <v>111</v>
      </c>
      <c r="C144" s="257" t="s">
        <v>146</v>
      </c>
      <c r="D144" s="257" t="s">
        <v>113</v>
      </c>
      <c r="E144" s="335">
        <v>0.82324747600000003</v>
      </c>
      <c r="G144" s="257" t="s">
        <v>114</v>
      </c>
      <c r="H144" s="257">
        <v>1</v>
      </c>
      <c r="I144" s="258">
        <v>52232</v>
      </c>
      <c r="J144" s="258"/>
      <c r="L144" s="257" t="s">
        <v>115</v>
      </c>
      <c r="O144" s="257" t="s">
        <v>190</v>
      </c>
      <c r="P144" s="257" t="s">
        <v>191</v>
      </c>
      <c r="S144" s="257">
        <f t="shared" si="2"/>
        <v>2043</v>
      </c>
      <c r="Z144" s="256"/>
      <c r="AA144" s="256"/>
      <c r="AB144" s="256"/>
      <c r="AC144" s="256"/>
    </row>
    <row r="145" spans="1:29">
      <c r="A145" s="257" t="s">
        <v>110</v>
      </c>
      <c r="B145" s="257" t="s">
        <v>111</v>
      </c>
      <c r="C145" s="257" t="s">
        <v>146</v>
      </c>
      <c r="D145" s="257" t="s">
        <v>113</v>
      </c>
      <c r="E145" s="335">
        <v>0.82596118200000002</v>
      </c>
      <c r="G145" s="257" t="s">
        <v>114</v>
      </c>
      <c r="H145" s="257">
        <v>1</v>
      </c>
      <c r="I145" s="258">
        <v>52597</v>
      </c>
      <c r="J145" s="258"/>
      <c r="L145" s="257" t="s">
        <v>115</v>
      </c>
      <c r="O145" s="257" t="s">
        <v>190</v>
      </c>
      <c r="P145" s="257" t="s">
        <v>191</v>
      </c>
      <c r="S145" s="257">
        <f t="shared" si="2"/>
        <v>2044</v>
      </c>
      <c r="Z145" s="256"/>
      <c r="AA145" s="256"/>
      <c r="AB145" s="256"/>
      <c r="AC145" s="256"/>
    </row>
    <row r="146" spans="1:29">
      <c r="A146" s="257" t="s">
        <v>110</v>
      </c>
      <c r="B146" s="257" t="s">
        <v>111</v>
      </c>
      <c r="C146" s="257" t="s">
        <v>146</v>
      </c>
      <c r="D146" s="257" t="s">
        <v>113</v>
      </c>
      <c r="E146" s="335">
        <v>0.82840196499999996</v>
      </c>
      <c r="G146" s="257" t="s">
        <v>114</v>
      </c>
      <c r="H146" s="257">
        <v>1</v>
      </c>
      <c r="I146" s="258">
        <v>52963</v>
      </c>
      <c r="J146" s="258"/>
      <c r="L146" s="257" t="s">
        <v>115</v>
      </c>
      <c r="O146" s="257" t="s">
        <v>190</v>
      </c>
      <c r="P146" s="257" t="s">
        <v>191</v>
      </c>
      <c r="S146" s="257">
        <f t="shared" si="2"/>
        <v>2045</v>
      </c>
      <c r="Z146" s="256"/>
      <c r="AA146" s="256"/>
      <c r="AB146" s="256"/>
      <c r="AC146" s="256"/>
    </row>
    <row r="147" spans="1:29">
      <c r="Z147" s="256"/>
      <c r="AA147" s="256"/>
      <c r="AB147" s="256"/>
      <c r="AC147" s="256"/>
    </row>
    <row r="148" spans="1:29" s="255" customFormat="1">
      <c r="A148" s="255" t="s">
        <v>94</v>
      </c>
      <c r="B148" s="255" t="s">
        <v>95</v>
      </c>
      <c r="C148" s="255" t="s">
        <v>96</v>
      </c>
      <c r="D148" s="255" t="s">
        <v>97</v>
      </c>
      <c r="E148" s="255" t="s">
        <v>98</v>
      </c>
      <c r="F148" s="255" t="s">
        <v>99</v>
      </c>
      <c r="G148" s="255" t="s">
        <v>100</v>
      </c>
      <c r="H148" s="255" t="s">
        <v>101</v>
      </c>
      <c r="I148" s="255" t="s">
        <v>102</v>
      </c>
      <c r="J148" s="255" t="s">
        <v>103</v>
      </c>
      <c r="K148" s="255" t="s">
        <v>104</v>
      </c>
      <c r="L148" s="255" t="s">
        <v>105</v>
      </c>
      <c r="M148" s="255" t="s">
        <v>106</v>
      </c>
      <c r="N148" s="255" t="s">
        <v>107</v>
      </c>
      <c r="O148" s="255" t="s">
        <v>108</v>
      </c>
      <c r="P148" s="255" t="s">
        <v>109</v>
      </c>
      <c r="S148" s="255" t="s">
        <v>0</v>
      </c>
      <c r="Z148" s="256"/>
      <c r="AA148" s="256"/>
      <c r="AB148" s="256"/>
      <c r="AC148" s="256"/>
    </row>
    <row r="149" spans="1:29">
      <c r="A149" s="257" t="s">
        <v>110</v>
      </c>
      <c r="B149" s="257" t="s">
        <v>111</v>
      </c>
      <c r="C149" s="257" t="s">
        <v>164</v>
      </c>
      <c r="D149" s="257" t="s">
        <v>113</v>
      </c>
      <c r="E149" s="335">
        <v>1.0197683399999999</v>
      </c>
      <c r="G149" s="257" t="s">
        <v>114</v>
      </c>
      <c r="H149" s="257">
        <v>1</v>
      </c>
      <c r="I149" s="258">
        <v>45658</v>
      </c>
      <c r="J149" s="258"/>
      <c r="L149" s="257" t="s">
        <v>115</v>
      </c>
      <c r="O149" s="257" t="s">
        <v>190</v>
      </c>
      <c r="P149" s="257" t="s">
        <v>191</v>
      </c>
      <c r="S149" s="257">
        <f>YEAR(I149)</f>
        <v>2025</v>
      </c>
      <c r="Z149" s="256"/>
      <c r="AA149" s="256"/>
      <c r="AB149" s="256"/>
      <c r="AC149" s="256"/>
    </row>
    <row r="150" spans="1:29">
      <c r="A150" s="257" t="s">
        <v>110</v>
      </c>
      <c r="B150" s="257" t="s">
        <v>111</v>
      </c>
      <c r="C150" s="257" t="s">
        <v>164</v>
      </c>
      <c r="D150" s="257" t="s">
        <v>113</v>
      </c>
      <c r="E150" s="335">
        <v>1.0103333569999999</v>
      </c>
      <c r="G150" s="257" t="s">
        <v>114</v>
      </c>
      <c r="H150" s="257">
        <v>1</v>
      </c>
      <c r="I150" s="258">
        <v>46023</v>
      </c>
      <c r="J150" s="258"/>
      <c r="L150" s="257" t="s">
        <v>115</v>
      </c>
      <c r="O150" s="257" t="s">
        <v>190</v>
      </c>
      <c r="P150" s="257" t="s">
        <v>191</v>
      </c>
      <c r="S150" s="257">
        <f t="shared" ref="S150:S169" si="3">YEAR(I150)</f>
        <v>2026</v>
      </c>
      <c r="Z150" s="256"/>
      <c r="AA150" s="256"/>
      <c r="AB150" s="256"/>
      <c r="AC150" s="256"/>
    </row>
    <row r="151" spans="1:29">
      <c r="A151" s="257" t="s">
        <v>110</v>
      </c>
      <c r="B151" s="257" t="s">
        <v>111</v>
      </c>
      <c r="C151" s="257" t="s">
        <v>164</v>
      </c>
      <c r="D151" s="257" t="s">
        <v>113</v>
      </c>
      <c r="E151" s="335">
        <v>1</v>
      </c>
      <c r="G151" s="257" t="s">
        <v>114</v>
      </c>
      <c r="H151" s="257">
        <v>1</v>
      </c>
      <c r="I151" s="258">
        <v>46388</v>
      </c>
      <c r="J151" s="258"/>
      <c r="L151" s="257" t="s">
        <v>115</v>
      </c>
      <c r="O151" s="257" t="s">
        <v>190</v>
      </c>
      <c r="P151" s="257" t="s">
        <v>191</v>
      </c>
      <c r="S151" s="257">
        <f t="shared" si="3"/>
        <v>2027</v>
      </c>
      <c r="Z151" s="256"/>
      <c r="AA151" s="256"/>
      <c r="AB151" s="256"/>
      <c r="AC151" s="256"/>
    </row>
    <row r="152" spans="1:29">
      <c r="A152" s="257" t="s">
        <v>110</v>
      </c>
      <c r="B152" s="257" t="s">
        <v>111</v>
      </c>
      <c r="C152" s="257" t="s">
        <v>164</v>
      </c>
      <c r="D152" s="257" t="s">
        <v>113</v>
      </c>
      <c r="E152" s="335">
        <v>0.98873323999999996</v>
      </c>
      <c r="G152" s="257" t="s">
        <v>114</v>
      </c>
      <c r="H152" s="257">
        <v>1</v>
      </c>
      <c r="I152" s="258">
        <v>46753</v>
      </c>
      <c r="J152" s="258"/>
      <c r="L152" s="257" t="s">
        <v>115</v>
      </c>
      <c r="O152" s="257" t="s">
        <v>190</v>
      </c>
      <c r="P152" s="257" t="s">
        <v>191</v>
      </c>
      <c r="S152" s="257">
        <f t="shared" si="3"/>
        <v>2028</v>
      </c>
    </row>
    <row r="153" spans="1:29">
      <c r="A153" s="257" t="s">
        <v>110</v>
      </c>
      <c r="B153" s="257" t="s">
        <v>111</v>
      </c>
      <c r="C153" s="257" t="s">
        <v>164</v>
      </c>
      <c r="D153" s="257" t="s">
        <v>113</v>
      </c>
      <c r="E153" s="335">
        <v>0.97649688099999998</v>
      </c>
      <c r="G153" s="257" t="s">
        <v>114</v>
      </c>
      <c r="H153" s="257">
        <v>1</v>
      </c>
      <c r="I153" s="258">
        <v>47119</v>
      </c>
      <c r="J153" s="258"/>
      <c r="L153" s="257" t="s">
        <v>115</v>
      </c>
      <c r="O153" s="257" t="s">
        <v>190</v>
      </c>
      <c r="P153" s="257" t="s">
        <v>191</v>
      </c>
      <c r="S153" s="257">
        <f t="shared" si="3"/>
        <v>2029</v>
      </c>
    </row>
    <row r="154" spans="1:29">
      <c r="A154" s="257" t="s">
        <v>110</v>
      </c>
      <c r="B154" s="257" t="s">
        <v>111</v>
      </c>
      <c r="C154" s="257" t="s">
        <v>164</v>
      </c>
      <c r="D154" s="257" t="s">
        <v>113</v>
      </c>
      <c r="E154" s="335">
        <v>0.96325351599999998</v>
      </c>
      <c r="G154" s="257" t="s">
        <v>114</v>
      </c>
      <c r="H154" s="257">
        <v>1</v>
      </c>
      <c r="I154" s="258">
        <v>47484</v>
      </c>
      <c r="J154" s="258"/>
      <c r="L154" s="257" t="s">
        <v>115</v>
      </c>
      <c r="O154" s="257" t="s">
        <v>190</v>
      </c>
      <c r="P154" s="257" t="s">
        <v>191</v>
      </c>
      <c r="S154" s="257">
        <f t="shared" si="3"/>
        <v>2030</v>
      </c>
    </row>
    <row r="155" spans="1:29">
      <c r="A155" s="257" t="s">
        <v>110</v>
      </c>
      <c r="B155" s="257" t="s">
        <v>111</v>
      </c>
      <c r="C155" s="257" t="s">
        <v>164</v>
      </c>
      <c r="D155" s="257" t="s">
        <v>113</v>
      </c>
      <c r="E155" s="335">
        <v>0.970156354</v>
      </c>
      <c r="G155" s="257" t="s">
        <v>114</v>
      </c>
      <c r="H155" s="257">
        <v>1</v>
      </c>
      <c r="I155" s="258">
        <v>47849</v>
      </c>
      <c r="J155" s="258"/>
      <c r="L155" s="257" t="s">
        <v>115</v>
      </c>
      <c r="O155" s="257" t="s">
        <v>190</v>
      </c>
      <c r="P155" s="257" t="s">
        <v>191</v>
      </c>
      <c r="S155" s="257">
        <f t="shared" si="3"/>
        <v>2031</v>
      </c>
    </row>
    <row r="156" spans="1:29">
      <c r="A156" s="257" t="s">
        <v>110</v>
      </c>
      <c r="B156" s="257" t="s">
        <v>111</v>
      </c>
      <c r="C156" s="257" t="s">
        <v>164</v>
      </c>
      <c r="D156" s="257" t="s">
        <v>113</v>
      </c>
      <c r="E156" s="335">
        <v>0.97690282699999997</v>
      </c>
      <c r="G156" s="257" t="s">
        <v>114</v>
      </c>
      <c r="H156" s="257">
        <v>1</v>
      </c>
      <c r="I156" s="258">
        <v>48214</v>
      </c>
      <c r="J156" s="258"/>
      <c r="L156" s="257" t="s">
        <v>115</v>
      </c>
      <c r="O156" s="257" t="s">
        <v>190</v>
      </c>
      <c r="P156" s="257" t="s">
        <v>191</v>
      </c>
      <c r="S156" s="257">
        <f t="shared" si="3"/>
        <v>2032</v>
      </c>
    </row>
    <row r="157" spans="1:29">
      <c r="A157" s="257" t="s">
        <v>110</v>
      </c>
      <c r="B157" s="257" t="s">
        <v>111</v>
      </c>
      <c r="C157" s="257" t="s">
        <v>164</v>
      </c>
      <c r="D157" s="257" t="s">
        <v>113</v>
      </c>
      <c r="E157" s="335">
        <v>0.98348286600000001</v>
      </c>
      <c r="G157" s="257" t="s">
        <v>114</v>
      </c>
      <c r="H157" s="257">
        <v>1</v>
      </c>
      <c r="I157" s="258">
        <v>48580</v>
      </c>
      <c r="J157" s="258"/>
      <c r="L157" s="257" t="s">
        <v>115</v>
      </c>
      <c r="O157" s="257" t="s">
        <v>190</v>
      </c>
      <c r="P157" s="257" t="s">
        <v>191</v>
      </c>
      <c r="S157" s="257">
        <f t="shared" si="3"/>
        <v>2033</v>
      </c>
    </row>
    <row r="158" spans="1:29">
      <c r="A158" s="257" t="s">
        <v>110</v>
      </c>
      <c r="B158" s="257" t="s">
        <v>111</v>
      </c>
      <c r="C158" s="257" t="s">
        <v>164</v>
      </c>
      <c r="D158" s="257" t="s">
        <v>113</v>
      </c>
      <c r="E158" s="335">
        <v>0.98988603799999997</v>
      </c>
      <c r="G158" s="257" t="s">
        <v>114</v>
      </c>
      <c r="H158" s="257">
        <v>1</v>
      </c>
      <c r="I158" s="258">
        <v>48945</v>
      </c>
      <c r="J158" s="258"/>
      <c r="L158" s="257" t="s">
        <v>115</v>
      </c>
      <c r="O158" s="257" t="s">
        <v>190</v>
      </c>
      <c r="P158" s="257" t="s">
        <v>191</v>
      </c>
      <c r="S158" s="257">
        <f t="shared" si="3"/>
        <v>2034</v>
      </c>
    </row>
    <row r="159" spans="1:29">
      <c r="A159" s="257" t="s">
        <v>110</v>
      </c>
      <c r="B159" s="257" t="s">
        <v>111</v>
      </c>
      <c r="C159" s="257" t="s">
        <v>164</v>
      </c>
      <c r="D159" s="257" t="s">
        <v>113</v>
      </c>
      <c r="E159" s="335">
        <v>0.99610153400000001</v>
      </c>
      <c r="G159" s="257" t="s">
        <v>114</v>
      </c>
      <c r="H159" s="257">
        <v>1</v>
      </c>
      <c r="I159" s="258">
        <v>49310</v>
      </c>
      <c r="J159" s="258"/>
      <c r="L159" s="257" t="s">
        <v>115</v>
      </c>
      <c r="O159" s="257" t="s">
        <v>190</v>
      </c>
      <c r="P159" s="257" t="s">
        <v>191</v>
      </c>
      <c r="S159" s="257">
        <f t="shared" si="3"/>
        <v>2035</v>
      </c>
    </row>
    <row r="160" spans="1:29">
      <c r="A160" s="257" t="s">
        <v>110</v>
      </c>
      <c r="B160" s="257" t="s">
        <v>111</v>
      </c>
      <c r="C160" s="257" t="s">
        <v>164</v>
      </c>
      <c r="D160" s="257" t="s">
        <v>113</v>
      </c>
      <c r="E160" s="335">
        <v>1.0021181649999999</v>
      </c>
      <c r="G160" s="257" t="s">
        <v>114</v>
      </c>
      <c r="H160" s="257">
        <v>1</v>
      </c>
      <c r="I160" s="258">
        <v>49675</v>
      </c>
      <c r="J160" s="258"/>
      <c r="L160" s="257" t="s">
        <v>115</v>
      </c>
      <c r="O160" s="257" t="s">
        <v>190</v>
      </c>
      <c r="P160" s="257" t="s">
        <v>191</v>
      </c>
      <c r="S160" s="257">
        <f t="shared" si="3"/>
        <v>2036</v>
      </c>
    </row>
    <row r="161" spans="1:19">
      <c r="A161" s="257" t="s">
        <v>110</v>
      </c>
      <c r="B161" s="257" t="s">
        <v>111</v>
      </c>
      <c r="C161" s="257" t="s">
        <v>164</v>
      </c>
      <c r="D161" s="257" t="s">
        <v>113</v>
      </c>
      <c r="E161" s="335">
        <v>1.0079243410000001</v>
      </c>
      <c r="G161" s="257" t="s">
        <v>114</v>
      </c>
      <c r="H161" s="257">
        <v>1</v>
      </c>
      <c r="I161" s="258">
        <v>50041</v>
      </c>
      <c r="J161" s="258"/>
      <c r="L161" s="257" t="s">
        <v>115</v>
      </c>
      <c r="O161" s="257" t="s">
        <v>190</v>
      </c>
      <c r="P161" s="257" t="s">
        <v>191</v>
      </c>
      <c r="S161" s="257">
        <f t="shared" si="3"/>
        <v>2037</v>
      </c>
    </row>
    <row r="162" spans="1:19">
      <c r="A162" s="257" t="s">
        <v>110</v>
      </c>
      <c r="B162" s="257" t="s">
        <v>111</v>
      </c>
      <c r="C162" s="257" t="s">
        <v>164</v>
      </c>
      <c r="D162" s="257" t="s">
        <v>113</v>
      </c>
      <c r="E162" s="335">
        <v>1.0135080670000001</v>
      </c>
      <c r="G162" s="257" t="s">
        <v>114</v>
      </c>
      <c r="H162" s="257">
        <v>1</v>
      </c>
      <c r="I162" s="258">
        <v>50406</v>
      </c>
      <c r="J162" s="258"/>
      <c r="L162" s="257" t="s">
        <v>115</v>
      </c>
      <c r="O162" s="257" t="s">
        <v>190</v>
      </c>
      <c r="P162" s="257" t="s">
        <v>191</v>
      </c>
      <c r="S162" s="257">
        <f t="shared" si="3"/>
        <v>2038</v>
      </c>
    </row>
    <row r="163" spans="1:19">
      <c r="A163" s="257" t="s">
        <v>110</v>
      </c>
      <c r="B163" s="257" t="s">
        <v>111</v>
      </c>
      <c r="C163" s="257" t="s">
        <v>164</v>
      </c>
      <c r="D163" s="257" t="s">
        <v>113</v>
      </c>
      <c r="E163" s="335">
        <v>1.0188569270000001</v>
      </c>
      <c r="G163" s="257" t="s">
        <v>114</v>
      </c>
      <c r="H163" s="257">
        <v>1</v>
      </c>
      <c r="I163" s="258">
        <v>50771</v>
      </c>
      <c r="J163" s="258"/>
      <c r="L163" s="257" t="s">
        <v>115</v>
      </c>
      <c r="O163" s="257" t="s">
        <v>190</v>
      </c>
      <c r="P163" s="257" t="s">
        <v>191</v>
      </c>
      <c r="S163" s="257">
        <f t="shared" si="3"/>
        <v>2039</v>
      </c>
    </row>
    <row r="164" spans="1:19">
      <c r="A164" s="257" t="s">
        <v>110</v>
      </c>
      <c r="B164" s="257" t="s">
        <v>111</v>
      </c>
      <c r="C164" s="257" t="s">
        <v>164</v>
      </c>
      <c r="D164" s="257" t="s">
        <v>113</v>
      </c>
      <c r="E164" s="335">
        <v>1.0239580720000001</v>
      </c>
      <c r="G164" s="257" t="s">
        <v>114</v>
      </c>
      <c r="H164" s="257">
        <v>1</v>
      </c>
      <c r="I164" s="258">
        <v>51136</v>
      </c>
      <c r="J164" s="258"/>
      <c r="L164" s="257" t="s">
        <v>115</v>
      </c>
      <c r="O164" s="257" t="s">
        <v>190</v>
      </c>
      <c r="P164" s="257" t="s">
        <v>191</v>
      </c>
      <c r="S164" s="257">
        <f t="shared" si="3"/>
        <v>2040</v>
      </c>
    </row>
    <row r="165" spans="1:19">
      <c r="A165" s="257" t="s">
        <v>110</v>
      </c>
      <c r="B165" s="257" t="s">
        <v>111</v>
      </c>
      <c r="C165" s="257" t="s">
        <v>164</v>
      </c>
      <c r="D165" s="257" t="s">
        <v>113</v>
      </c>
      <c r="E165" s="335">
        <v>1.028798208</v>
      </c>
      <c r="G165" s="257" t="s">
        <v>114</v>
      </c>
      <c r="H165" s="257">
        <v>1</v>
      </c>
      <c r="I165" s="258">
        <v>51502</v>
      </c>
      <c r="J165" s="258"/>
      <c r="L165" s="257" t="s">
        <v>115</v>
      </c>
      <c r="O165" s="257" t="s">
        <v>190</v>
      </c>
      <c r="P165" s="257" t="s">
        <v>191</v>
      </c>
      <c r="S165" s="257">
        <f t="shared" si="3"/>
        <v>2041</v>
      </c>
    </row>
    <row r="166" spans="1:19">
      <c r="A166" s="257" t="s">
        <v>110</v>
      </c>
      <c r="B166" s="257" t="s">
        <v>111</v>
      </c>
      <c r="C166" s="257" t="s">
        <v>164</v>
      </c>
      <c r="D166" s="257" t="s">
        <v>113</v>
      </c>
      <c r="E166" s="335">
        <v>1.0333635839999999</v>
      </c>
      <c r="G166" s="257" t="s">
        <v>114</v>
      </c>
      <c r="H166" s="257">
        <v>1</v>
      </c>
      <c r="I166" s="258">
        <v>51867</v>
      </c>
      <c r="J166" s="258"/>
      <c r="L166" s="257" t="s">
        <v>115</v>
      </c>
      <c r="O166" s="257" t="s">
        <v>190</v>
      </c>
      <c r="P166" s="257" t="s">
        <v>191</v>
      </c>
      <c r="S166" s="257">
        <f t="shared" si="3"/>
        <v>2042</v>
      </c>
    </row>
    <row r="167" spans="1:19">
      <c r="A167" s="257" t="s">
        <v>110</v>
      </c>
      <c r="B167" s="257" t="s">
        <v>111</v>
      </c>
      <c r="C167" s="257" t="s">
        <v>164</v>
      </c>
      <c r="D167" s="257" t="s">
        <v>113</v>
      </c>
      <c r="E167" s="335">
        <v>1.037639977</v>
      </c>
      <c r="G167" s="257" t="s">
        <v>114</v>
      </c>
      <c r="H167" s="257">
        <v>1</v>
      </c>
      <c r="I167" s="258">
        <v>52232</v>
      </c>
      <c r="J167" s="258"/>
      <c r="L167" s="257" t="s">
        <v>115</v>
      </c>
      <c r="O167" s="257" t="s">
        <v>190</v>
      </c>
      <c r="P167" s="257" t="s">
        <v>191</v>
      </c>
      <c r="S167" s="257">
        <f t="shared" si="3"/>
        <v>2043</v>
      </c>
    </row>
    <row r="168" spans="1:19">
      <c r="A168" s="257" t="s">
        <v>110</v>
      </c>
      <c r="B168" s="257" t="s">
        <v>111</v>
      </c>
      <c r="C168" s="257" t="s">
        <v>164</v>
      </c>
      <c r="D168" s="257" t="s">
        <v>113</v>
      </c>
      <c r="E168" s="335">
        <v>1.041612677</v>
      </c>
      <c r="G168" s="257" t="s">
        <v>114</v>
      </c>
      <c r="H168" s="257">
        <v>1</v>
      </c>
      <c r="I168" s="258">
        <v>52597</v>
      </c>
      <c r="J168" s="258"/>
      <c r="L168" s="257" t="s">
        <v>115</v>
      </c>
      <c r="O168" s="257" t="s">
        <v>190</v>
      </c>
      <c r="P168" s="257" t="s">
        <v>191</v>
      </c>
      <c r="S168" s="257">
        <f t="shared" si="3"/>
        <v>2044</v>
      </c>
    </row>
    <row r="169" spans="1:19">
      <c r="A169" s="257" t="s">
        <v>110</v>
      </c>
      <c r="B169" s="257" t="s">
        <v>111</v>
      </c>
      <c r="C169" s="257" t="s">
        <v>164</v>
      </c>
      <c r="D169" s="257" t="s">
        <v>113</v>
      </c>
      <c r="E169" s="335">
        <v>1.045266477</v>
      </c>
      <c r="G169" s="257" t="s">
        <v>114</v>
      </c>
      <c r="H169" s="257">
        <v>1</v>
      </c>
      <c r="I169" s="258">
        <v>52963</v>
      </c>
      <c r="J169" s="258"/>
      <c r="L169" s="257" t="s">
        <v>115</v>
      </c>
      <c r="O169" s="257" t="s">
        <v>190</v>
      </c>
      <c r="P169" s="257" t="s">
        <v>191</v>
      </c>
      <c r="S169" s="257">
        <f t="shared" si="3"/>
        <v>2045</v>
      </c>
    </row>
    <row r="171" spans="1:19" s="255" customFormat="1">
      <c r="A171" s="255" t="s">
        <v>94</v>
      </c>
      <c r="B171" s="255" t="s">
        <v>95</v>
      </c>
      <c r="C171" s="255" t="s">
        <v>96</v>
      </c>
      <c r="D171" s="255" t="s">
        <v>97</v>
      </c>
      <c r="E171" s="255" t="s">
        <v>98</v>
      </c>
      <c r="F171" s="255" t="s">
        <v>99</v>
      </c>
      <c r="G171" s="255" t="s">
        <v>100</v>
      </c>
      <c r="H171" s="255" t="s">
        <v>101</v>
      </c>
      <c r="I171" s="255" t="s">
        <v>102</v>
      </c>
      <c r="J171" s="255" t="s">
        <v>103</v>
      </c>
      <c r="K171" s="255" t="s">
        <v>104</v>
      </c>
      <c r="L171" s="255" t="s">
        <v>105</v>
      </c>
      <c r="M171" s="255" t="s">
        <v>106</v>
      </c>
      <c r="N171" s="255" t="s">
        <v>107</v>
      </c>
      <c r="O171" s="255" t="s">
        <v>108</v>
      </c>
      <c r="P171" s="255" t="s">
        <v>109</v>
      </c>
      <c r="S171" s="255" t="s">
        <v>0</v>
      </c>
    </row>
    <row r="172" spans="1:19">
      <c r="A172" s="257" t="s">
        <v>110</v>
      </c>
      <c r="B172" s="257" t="s">
        <v>111</v>
      </c>
      <c r="C172" s="257" t="s">
        <v>154</v>
      </c>
      <c r="D172" s="257" t="s">
        <v>113</v>
      </c>
      <c r="E172" s="335">
        <v>1.000535835</v>
      </c>
      <c r="G172" s="257" t="s">
        <v>114</v>
      </c>
      <c r="H172" s="257">
        <v>1</v>
      </c>
      <c r="I172" s="258">
        <v>45658</v>
      </c>
      <c r="J172" s="258"/>
      <c r="L172" s="257" t="s">
        <v>115</v>
      </c>
      <c r="O172" s="257" t="s">
        <v>190</v>
      </c>
      <c r="P172" s="257" t="s">
        <v>191</v>
      </c>
      <c r="S172" s="257">
        <f>YEAR(I172)</f>
        <v>2025</v>
      </c>
    </row>
    <row r="173" spans="1:19">
      <c r="A173" s="257" t="s">
        <v>110</v>
      </c>
      <c r="B173" s="257" t="s">
        <v>111</v>
      </c>
      <c r="C173" s="257" t="s">
        <v>154</v>
      </c>
      <c r="D173" s="257" t="s">
        <v>113</v>
      </c>
      <c r="E173" s="335">
        <v>1.0013485790000001</v>
      </c>
      <c r="G173" s="257" t="s">
        <v>114</v>
      </c>
      <c r="H173" s="257">
        <v>1</v>
      </c>
      <c r="I173" s="258">
        <v>46023</v>
      </c>
      <c r="J173" s="258"/>
      <c r="L173" s="257" t="s">
        <v>115</v>
      </c>
      <c r="O173" s="257" t="s">
        <v>190</v>
      </c>
      <c r="P173" s="257" t="s">
        <v>191</v>
      </c>
      <c r="S173" s="257">
        <f t="shared" ref="S173:S192" si="4">YEAR(I173)</f>
        <v>2026</v>
      </c>
    </row>
    <row r="174" spans="1:19">
      <c r="A174" s="257" t="s">
        <v>110</v>
      </c>
      <c r="B174" s="257" t="s">
        <v>111</v>
      </c>
      <c r="C174" s="257" t="s">
        <v>154</v>
      </c>
      <c r="D174" s="257" t="s">
        <v>113</v>
      </c>
      <c r="E174" s="335">
        <v>1.001721265</v>
      </c>
      <c r="G174" s="257" t="s">
        <v>114</v>
      </c>
      <c r="H174" s="257">
        <v>1</v>
      </c>
      <c r="I174" s="258">
        <v>46388</v>
      </c>
      <c r="J174" s="258"/>
      <c r="L174" s="257" t="s">
        <v>115</v>
      </c>
      <c r="O174" s="257" t="s">
        <v>190</v>
      </c>
      <c r="P174" s="257" t="s">
        <v>191</v>
      </c>
      <c r="S174" s="257">
        <f t="shared" si="4"/>
        <v>2027</v>
      </c>
    </row>
    <row r="175" spans="1:19">
      <c r="A175" s="257" t="s">
        <v>110</v>
      </c>
      <c r="B175" s="257" t="s">
        <v>111</v>
      </c>
      <c r="C175" s="257" t="s">
        <v>154</v>
      </c>
      <c r="D175" s="257" t="s">
        <v>113</v>
      </c>
      <c r="E175" s="335">
        <v>1.0016343190000001</v>
      </c>
      <c r="G175" s="257" t="s">
        <v>114</v>
      </c>
      <c r="H175" s="257">
        <v>1</v>
      </c>
      <c r="I175" s="258">
        <v>46753</v>
      </c>
      <c r="J175" s="258"/>
      <c r="L175" s="257" t="s">
        <v>115</v>
      </c>
      <c r="O175" s="257" t="s">
        <v>190</v>
      </c>
      <c r="P175" s="257" t="s">
        <v>191</v>
      </c>
      <c r="S175" s="257">
        <f t="shared" si="4"/>
        <v>2028</v>
      </c>
    </row>
    <row r="176" spans="1:19">
      <c r="A176" s="257" t="s">
        <v>110</v>
      </c>
      <c r="B176" s="257" t="s">
        <v>111</v>
      </c>
      <c r="C176" s="257" t="s">
        <v>154</v>
      </c>
      <c r="D176" s="257" t="s">
        <v>113</v>
      </c>
      <c r="E176" s="335">
        <v>1.001067524</v>
      </c>
      <c r="G176" s="257" t="s">
        <v>114</v>
      </c>
      <c r="H176" s="257">
        <v>1</v>
      </c>
      <c r="I176" s="258">
        <v>47119</v>
      </c>
      <c r="J176" s="258"/>
      <c r="L176" s="257" t="s">
        <v>115</v>
      </c>
      <c r="O176" s="257" t="s">
        <v>190</v>
      </c>
      <c r="P176" s="257" t="s">
        <v>191</v>
      </c>
      <c r="S176" s="257">
        <f t="shared" si="4"/>
        <v>2029</v>
      </c>
    </row>
    <row r="177" spans="1:19">
      <c r="A177" s="257" t="s">
        <v>110</v>
      </c>
      <c r="B177" s="257" t="s">
        <v>111</v>
      </c>
      <c r="C177" s="257" t="s">
        <v>154</v>
      </c>
      <c r="D177" s="257" t="s">
        <v>113</v>
      </c>
      <c r="E177" s="335">
        <v>1</v>
      </c>
      <c r="G177" s="257" t="s">
        <v>114</v>
      </c>
      <c r="H177" s="257">
        <v>1</v>
      </c>
      <c r="I177" s="258">
        <v>47484</v>
      </c>
      <c r="J177" s="258"/>
      <c r="L177" s="257" t="s">
        <v>115</v>
      </c>
      <c r="O177" s="257" t="s">
        <v>190</v>
      </c>
      <c r="P177" s="257" t="s">
        <v>191</v>
      </c>
      <c r="S177" s="257">
        <f t="shared" si="4"/>
        <v>2030</v>
      </c>
    </row>
    <row r="178" spans="1:19">
      <c r="A178" s="257" t="s">
        <v>110</v>
      </c>
      <c r="B178" s="257" t="s">
        <v>111</v>
      </c>
      <c r="C178" s="257" t="s">
        <v>154</v>
      </c>
      <c r="D178" s="257" t="s">
        <v>113</v>
      </c>
      <c r="E178" s="335">
        <v>1.0111663580000001</v>
      </c>
      <c r="G178" s="257" t="s">
        <v>114</v>
      </c>
      <c r="H178" s="257">
        <v>1</v>
      </c>
      <c r="I178" s="258">
        <v>47849</v>
      </c>
      <c r="J178" s="258"/>
      <c r="L178" s="257" t="s">
        <v>115</v>
      </c>
      <c r="O178" s="257" t="s">
        <v>190</v>
      </c>
      <c r="P178" s="257" t="s">
        <v>191</v>
      </c>
      <c r="S178" s="257">
        <f t="shared" si="4"/>
        <v>2031</v>
      </c>
    </row>
    <row r="179" spans="1:19">
      <c r="A179" s="257" t="s">
        <v>110</v>
      </c>
      <c r="B179" s="257" t="s">
        <v>111</v>
      </c>
      <c r="C179" s="257" t="s">
        <v>154</v>
      </c>
      <c r="D179" s="257" t="s">
        <v>113</v>
      </c>
      <c r="E179" s="335">
        <v>1.0223443299999999</v>
      </c>
      <c r="G179" s="257" t="s">
        <v>114</v>
      </c>
      <c r="H179" s="257">
        <v>1</v>
      </c>
      <c r="I179" s="258">
        <v>48214</v>
      </c>
      <c r="J179" s="258"/>
      <c r="L179" s="257" t="s">
        <v>115</v>
      </c>
      <c r="O179" s="257" t="s">
        <v>190</v>
      </c>
      <c r="P179" s="257" t="s">
        <v>191</v>
      </c>
      <c r="S179" s="257">
        <f t="shared" si="4"/>
        <v>2032</v>
      </c>
    </row>
    <row r="180" spans="1:19">
      <c r="A180" s="257" t="s">
        <v>110</v>
      </c>
      <c r="B180" s="257" t="s">
        <v>111</v>
      </c>
      <c r="C180" s="257" t="s">
        <v>154</v>
      </c>
      <c r="D180" s="257" t="s">
        <v>113</v>
      </c>
      <c r="E180" s="335">
        <v>1.033529114</v>
      </c>
      <c r="G180" s="257" t="s">
        <v>114</v>
      </c>
      <c r="H180" s="257">
        <v>1</v>
      </c>
      <c r="I180" s="258">
        <v>48580</v>
      </c>
      <c r="J180" s="258"/>
      <c r="L180" s="257" t="s">
        <v>115</v>
      </c>
      <c r="O180" s="257" t="s">
        <v>190</v>
      </c>
      <c r="P180" s="257" t="s">
        <v>191</v>
      </c>
      <c r="S180" s="257">
        <f t="shared" si="4"/>
        <v>2033</v>
      </c>
    </row>
    <row r="181" spans="1:19">
      <c r="A181" s="257" t="s">
        <v>110</v>
      </c>
      <c r="B181" s="257" t="s">
        <v>111</v>
      </c>
      <c r="C181" s="257" t="s">
        <v>154</v>
      </c>
      <c r="D181" s="257" t="s">
        <v>113</v>
      </c>
      <c r="E181" s="335">
        <v>1.0447156959999999</v>
      </c>
      <c r="G181" s="257" t="s">
        <v>114</v>
      </c>
      <c r="H181" s="257">
        <v>1</v>
      </c>
      <c r="I181" s="258">
        <v>48945</v>
      </c>
      <c r="J181" s="258"/>
      <c r="L181" s="257" t="s">
        <v>115</v>
      </c>
      <c r="O181" s="257" t="s">
        <v>190</v>
      </c>
      <c r="P181" s="257" t="s">
        <v>191</v>
      </c>
      <c r="S181" s="257">
        <f t="shared" si="4"/>
        <v>2034</v>
      </c>
    </row>
    <row r="182" spans="1:19">
      <c r="A182" s="257" t="s">
        <v>110</v>
      </c>
      <c r="B182" s="257" t="s">
        <v>111</v>
      </c>
      <c r="C182" s="257" t="s">
        <v>154</v>
      </c>
      <c r="D182" s="257" t="s">
        <v>113</v>
      </c>
      <c r="E182" s="335">
        <v>1.0558988380000001</v>
      </c>
      <c r="G182" s="257" t="s">
        <v>114</v>
      </c>
      <c r="H182" s="257">
        <v>1</v>
      </c>
      <c r="I182" s="258">
        <v>49310</v>
      </c>
      <c r="J182" s="258"/>
      <c r="L182" s="257" t="s">
        <v>115</v>
      </c>
      <c r="O182" s="257" t="s">
        <v>190</v>
      </c>
      <c r="P182" s="257" t="s">
        <v>191</v>
      </c>
      <c r="S182" s="257">
        <f t="shared" si="4"/>
        <v>2035</v>
      </c>
    </row>
    <row r="183" spans="1:19">
      <c r="A183" s="257" t="s">
        <v>110</v>
      </c>
      <c r="B183" s="257" t="s">
        <v>111</v>
      </c>
      <c r="C183" s="257" t="s">
        <v>154</v>
      </c>
      <c r="D183" s="257" t="s">
        <v>113</v>
      </c>
      <c r="E183" s="335">
        <v>1.0670730749999999</v>
      </c>
      <c r="G183" s="257" t="s">
        <v>114</v>
      </c>
      <c r="H183" s="257">
        <v>1</v>
      </c>
      <c r="I183" s="258">
        <v>49675</v>
      </c>
      <c r="J183" s="258"/>
      <c r="L183" s="257" t="s">
        <v>115</v>
      </c>
      <c r="O183" s="257" t="s">
        <v>190</v>
      </c>
      <c r="P183" s="257" t="s">
        <v>191</v>
      </c>
      <c r="S183" s="257">
        <f t="shared" si="4"/>
        <v>2036</v>
      </c>
    </row>
    <row r="184" spans="1:19">
      <c r="A184" s="257" t="s">
        <v>110</v>
      </c>
      <c r="B184" s="257" t="s">
        <v>111</v>
      </c>
      <c r="C184" s="257" t="s">
        <v>154</v>
      </c>
      <c r="D184" s="257" t="s">
        <v>113</v>
      </c>
      <c r="E184" s="335">
        <v>1.0782327039999999</v>
      </c>
      <c r="G184" s="257" t="s">
        <v>114</v>
      </c>
      <c r="H184" s="257">
        <v>1</v>
      </c>
      <c r="I184" s="258">
        <v>50041</v>
      </c>
      <c r="J184" s="258"/>
      <c r="L184" s="257" t="s">
        <v>115</v>
      </c>
      <c r="O184" s="257" t="s">
        <v>190</v>
      </c>
      <c r="P184" s="257" t="s">
        <v>191</v>
      </c>
      <c r="S184" s="257">
        <f t="shared" si="4"/>
        <v>2037</v>
      </c>
    </row>
    <row r="185" spans="1:19">
      <c r="A185" s="257" t="s">
        <v>110</v>
      </c>
      <c r="B185" s="257" t="s">
        <v>111</v>
      </c>
      <c r="C185" s="257" t="s">
        <v>154</v>
      </c>
      <c r="D185" s="257" t="s">
        <v>113</v>
      </c>
      <c r="E185" s="335">
        <v>1.0893717759999999</v>
      </c>
      <c r="G185" s="257" t="s">
        <v>114</v>
      </c>
      <c r="H185" s="257">
        <v>1</v>
      </c>
      <c r="I185" s="258">
        <v>50406</v>
      </c>
      <c r="J185" s="258"/>
      <c r="L185" s="257" t="s">
        <v>115</v>
      </c>
      <c r="O185" s="257" t="s">
        <v>190</v>
      </c>
      <c r="P185" s="257" t="s">
        <v>191</v>
      </c>
      <c r="S185" s="257">
        <f t="shared" si="4"/>
        <v>2038</v>
      </c>
    </row>
    <row r="186" spans="1:19">
      <c r="A186" s="257" t="s">
        <v>110</v>
      </c>
      <c r="B186" s="257" t="s">
        <v>111</v>
      </c>
      <c r="C186" s="257" t="s">
        <v>154</v>
      </c>
      <c r="D186" s="257" t="s">
        <v>113</v>
      </c>
      <c r="E186" s="335">
        <v>1.1004840920000001</v>
      </c>
      <c r="G186" s="257" t="s">
        <v>114</v>
      </c>
      <c r="H186" s="257">
        <v>1</v>
      </c>
      <c r="I186" s="258">
        <v>50771</v>
      </c>
      <c r="J186" s="258"/>
      <c r="L186" s="257" t="s">
        <v>115</v>
      </c>
      <c r="O186" s="257" t="s">
        <v>190</v>
      </c>
      <c r="P186" s="257" t="s">
        <v>191</v>
      </c>
      <c r="S186" s="257">
        <f t="shared" si="4"/>
        <v>2039</v>
      </c>
    </row>
    <row r="187" spans="1:19">
      <c r="A187" s="257" t="s">
        <v>110</v>
      </c>
      <c r="B187" s="257" t="s">
        <v>111</v>
      </c>
      <c r="C187" s="257" t="s">
        <v>154</v>
      </c>
      <c r="D187" s="257" t="s">
        <v>113</v>
      </c>
      <c r="E187" s="335">
        <v>1.1115631930000001</v>
      </c>
      <c r="G187" s="257" t="s">
        <v>114</v>
      </c>
      <c r="H187" s="257">
        <v>1</v>
      </c>
      <c r="I187" s="258">
        <v>51136</v>
      </c>
      <c r="J187" s="258"/>
      <c r="L187" s="257" t="s">
        <v>115</v>
      </c>
      <c r="O187" s="257" t="s">
        <v>190</v>
      </c>
      <c r="P187" s="257" t="s">
        <v>191</v>
      </c>
      <c r="S187" s="257">
        <f t="shared" si="4"/>
        <v>2040</v>
      </c>
    </row>
    <row r="188" spans="1:19">
      <c r="A188" s="257" t="s">
        <v>110</v>
      </c>
      <c r="B188" s="257" t="s">
        <v>111</v>
      </c>
      <c r="C188" s="257" t="s">
        <v>154</v>
      </c>
      <c r="D188" s="257" t="s">
        <v>113</v>
      </c>
      <c r="E188" s="335">
        <v>1.122602348</v>
      </c>
      <c r="G188" s="257" t="s">
        <v>114</v>
      </c>
      <c r="H188" s="257">
        <v>1</v>
      </c>
      <c r="I188" s="258">
        <v>51502</v>
      </c>
      <c r="J188" s="258"/>
      <c r="L188" s="257" t="s">
        <v>115</v>
      </c>
      <c r="O188" s="257" t="s">
        <v>190</v>
      </c>
      <c r="P188" s="257" t="s">
        <v>191</v>
      </c>
      <c r="S188" s="257">
        <f t="shared" si="4"/>
        <v>2041</v>
      </c>
    </row>
    <row r="189" spans="1:19">
      <c r="A189" s="257" t="s">
        <v>110</v>
      </c>
      <c r="B189" s="257" t="s">
        <v>111</v>
      </c>
      <c r="C189" s="257" t="s">
        <v>154</v>
      </c>
      <c r="D189" s="257" t="s">
        <v>113</v>
      </c>
      <c r="E189" s="335">
        <v>1.1335945510000001</v>
      </c>
      <c r="G189" s="257" t="s">
        <v>114</v>
      </c>
      <c r="H189" s="257">
        <v>1</v>
      </c>
      <c r="I189" s="258">
        <v>51867</v>
      </c>
      <c r="J189" s="258"/>
      <c r="L189" s="257" t="s">
        <v>115</v>
      </c>
      <c r="O189" s="257" t="s">
        <v>190</v>
      </c>
      <c r="P189" s="257" t="s">
        <v>191</v>
      </c>
      <c r="S189" s="257">
        <f t="shared" si="4"/>
        <v>2042</v>
      </c>
    </row>
    <row r="190" spans="1:19">
      <c r="A190" s="257" t="s">
        <v>110</v>
      </c>
      <c r="B190" s="257" t="s">
        <v>111</v>
      </c>
      <c r="C190" s="257" t="s">
        <v>154</v>
      </c>
      <c r="D190" s="257" t="s">
        <v>113</v>
      </c>
      <c r="E190" s="335">
        <v>1.1445325079999999</v>
      </c>
      <c r="G190" s="257" t="s">
        <v>114</v>
      </c>
      <c r="H190" s="257">
        <v>1</v>
      </c>
      <c r="I190" s="258">
        <v>52232</v>
      </c>
      <c r="J190" s="258"/>
      <c r="L190" s="257" t="s">
        <v>115</v>
      </c>
      <c r="O190" s="257" t="s">
        <v>190</v>
      </c>
      <c r="P190" s="257" t="s">
        <v>191</v>
      </c>
      <c r="S190" s="257">
        <f t="shared" si="4"/>
        <v>2043</v>
      </c>
    </row>
    <row r="191" spans="1:19">
      <c r="A191" s="257" t="s">
        <v>110</v>
      </c>
      <c r="B191" s="257" t="s">
        <v>111</v>
      </c>
      <c r="C191" s="257" t="s">
        <v>154</v>
      </c>
      <c r="D191" s="257" t="s">
        <v>113</v>
      </c>
      <c r="E191" s="335">
        <v>1.155408631</v>
      </c>
      <c r="G191" s="257" t="s">
        <v>114</v>
      </c>
      <c r="H191" s="257">
        <v>1</v>
      </c>
      <c r="I191" s="258">
        <v>52597</v>
      </c>
      <c r="J191" s="258"/>
      <c r="L191" s="257" t="s">
        <v>115</v>
      </c>
      <c r="O191" s="257" t="s">
        <v>190</v>
      </c>
      <c r="P191" s="257" t="s">
        <v>191</v>
      </c>
      <c r="S191" s="257">
        <f t="shared" si="4"/>
        <v>2044</v>
      </c>
    </row>
    <row r="192" spans="1:19">
      <c r="A192" s="257" t="s">
        <v>110</v>
      </c>
      <c r="B192" s="257" t="s">
        <v>111</v>
      </c>
      <c r="C192" s="257" t="s">
        <v>154</v>
      </c>
      <c r="D192" s="257" t="s">
        <v>113</v>
      </c>
      <c r="E192" s="335">
        <v>1.1662150259999999</v>
      </c>
      <c r="G192" s="257" t="s">
        <v>114</v>
      </c>
      <c r="H192" s="257">
        <v>1</v>
      </c>
      <c r="I192" s="258">
        <v>52963</v>
      </c>
      <c r="J192" s="258"/>
      <c r="L192" s="257" t="s">
        <v>115</v>
      </c>
      <c r="O192" s="257" t="s">
        <v>190</v>
      </c>
      <c r="P192" s="257" t="s">
        <v>191</v>
      </c>
      <c r="S192" s="257">
        <f t="shared" si="4"/>
        <v>2045</v>
      </c>
    </row>
    <row r="194" spans="1:19" s="255" customFormat="1">
      <c r="A194" s="255" t="s">
        <v>94</v>
      </c>
      <c r="B194" s="255" t="s">
        <v>95</v>
      </c>
      <c r="C194" s="255" t="s">
        <v>96</v>
      </c>
      <c r="D194" s="255" t="s">
        <v>97</v>
      </c>
      <c r="E194" s="255" t="s">
        <v>98</v>
      </c>
      <c r="F194" s="255" t="s">
        <v>99</v>
      </c>
      <c r="G194" s="255" t="s">
        <v>100</v>
      </c>
      <c r="H194" s="255" t="s">
        <v>101</v>
      </c>
      <c r="I194" s="255" t="s">
        <v>102</v>
      </c>
      <c r="J194" s="255" t="s">
        <v>103</v>
      </c>
      <c r="K194" s="255" t="s">
        <v>104</v>
      </c>
      <c r="L194" s="255" t="s">
        <v>105</v>
      </c>
      <c r="M194" s="255" t="s">
        <v>106</v>
      </c>
      <c r="N194" s="255" t="s">
        <v>107</v>
      </c>
      <c r="O194" s="255" t="s">
        <v>108</v>
      </c>
      <c r="P194" s="255" t="s">
        <v>109</v>
      </c>
      <c r="S194" s="255" t="s">
        <v>0</v>
      </c>
    </row>
    <row r="195" spans="1:19">
      <c r="A195" s="257" t="s">
        <v>110</v>
      </c>
      <c r="B195" s="257" t="s">
        <v>111</v>
      </c>
      <c r="C195" s="257" t="s">
        <v>193</v>
      </c>
      <c r="D195" s="257" t="s">
        <v>113</v>
      </c>
      <c r="E195" s="335">
        <v>1.02648937</v>
      </c>
      <c r="G195" s="257" t="s">
        <v>114</v>
      </c>
      <c r="H195" s="257">
        <v>1</v>
      </c>
      <c r="I195" s="258">
        <v>45658</v>
      </c>
      <c r="J195" s="258"/>
      <c r="L195" s="257" t="s">
        <v>115</v>
      </c>
      <c r="O195" s="257" t="s">
        <v>190</v>
      </c>
      <c r="P195" s="257" t="s">
        <v>191</v>
      </c>
      <c r="S195" s="257">
        <f>YEAR(I195)</f>
        <v>2025</v>
      </c>
    </row>
    <row r="196" spans="1:19">
      <c r="A196" s="257" t="s">
        <v>110</v>
      </c>
      <c r="B196" s="257" t="s">
        <v>111</v>
      </c>
      <c r="C196" s="257" t="s">
        <v>193</v>
      </c>
      <c r="D196" s="257" t="s">
        <v>113</v>
      </c>
      <c r="E196" s="335">
        <v>1.0185063519999999</v>
      </c>
      <c r="G196" s="257" t="s">
        <v>114</v>
      </c>
      <c r="H196" s="257">
        <v>1</v>
      </c>
      <c r="I196" s="258">
        <v>46023</v>
      </c>
      <c r="J196" s="258"/>
      <c r="L196" s="257" t="s">
        <v>115</v>
      </c>
      <c r="O196" s="257" t="s">
        <v>190</v>
      </c>
      <c r="P196" s="257" t="s">
        <v>191</v>
      </c>
      <c r="S196" s="257">
        <f t="shared" ref="S196:S215" si="5">YEAR(I196)</f>
        <v>2026</v>
      </c>
    </row>
    <row r="197" spans="1:19">
      <c r="A197" s="257" t="s">
        <v>110</v>
      </c>
      <c r="B197" s="257" t="s">
        <v>111</v>
      </c>
      <c r="C197" s="257" t="s">
        <v>193</v>
      </c>
      <c r="D197" s="257" t="s">
        <v>113</v>
      </c>
      <c r="E197" s="335">
        <v>1.009687446</v>
      </c>
      <c r="G197" s="257" t="s">
        <v>114</v>
      </c>
      <c r="H197" s="257">
        <v>1</v>
      </c>
      <c r="I197" s="258">
        <v>46388</v>
      </c>
      <c r="J197" s="258"/>
      <c r="L197" s="257" t="s">
        <v>115</v>
      </c>
      <c r="O197" s="257" t="s">
        <v>190</v>
      </c>
      <c r="P197" s="257" t="s">
        <v>191</v>
      </c>
      <c r="S197" s="257">
        <f t="shared" si="5"/>
        <v>2027</v>
      </c>
    </row>
    <row r="198" spans="1:19">
      <c r="A198" s="257" t="s">
        <v>110</v>
      </c>
      <c r="B198" s="257" t="s">
        <v>111</v>
      </c>
      <c r="C198" s="257" t="s">
        <v>193</v>
      </c>
      <c r="D198" s="257" t="s">
        <v>113</v>
      </c>
      <c r="E198" s="335">
        <v>1</v>
      </c>
      <c r="G198" s="257" t="s">
        <v>114</v>
      </c>
      <c r="H198" s="257">
        <v>1</v>
      </c>
      <c r="I198" s="258">
        <v>46753</v>
      </c>
      <c r="J198" s="258"/>
      <c r="L198" s="257" t="s">
        <v>115</v>
      </c>
      <c r="O198" s="257" t="s">
        <v>190</v>
      </c>
      <c r="P198" s="257" t="s">
        <v>191</v>
      </c>
      <c r="S198" s="257">
        <f t="shared" si="5"/>
        <v>2028</v>
      </c>
    </row>
    <row r="199" spans="1:19">
      <c r="A199" s="257" t="s">
        <v>110</v>
      </c>
      <c r="B199" s="257" t="s">
        <v>111</v>
      </c>
      <c r="C199" s="257" t="s">
        <v>193</v>
      </c>
      <c r="D199" s="257" t="s">
        <v>113</v>
      </c>
      <c r="E199" s="335">
        <v>0.989410338</v>
      </c>
      <c r="G199" s="257" t="s">
        <v>114</v>
      </c>
      <c r="H199" s="257">
        <v>1</v>
      </c>
      <c r="I199" s="258">
        <v>47119</v>
      </c>
      <c r="J199" s="258"/>
      <c r="L199" s="257" t="s">
        <v>115</v>
      </c>
      <c r="O199" s="257" t="s">
        <v>190</v>
      </c>
      <c r="P199" s="257" t="s">
        <v>191</v>
      </c>
      <c r="S199" s="257">
        <f t="shared" si="5"/>
        <v>2029</v>
      </c>
    </row>
    <row r="200" spans="1:19">
      <c r="A200" s="257" t="s">
        <v>110</v>
      </c>
      <c r="B200" s="257" t="s">
        <v>111</v>
      </c>
      <c r="C200" s="257" t="s">
        <v>193</v>
      </c>
      <c r="D200" s="257" t="s">
        <v>113</v>
      </c>
      <c r="E200" s="335">
        <v>0.97788372599999995</v>
      </c>
      <c r="G200" s="257" t="s">
        <v>114</v>
      </c>
      <c r="H200" s="257">
        <v>1</v>
      </c>
      <c r="I200" s="258">
        <v>47484</v>
      </c>
      <c r="J200" s="258"/>
      <c r="L200" s="257" t="s">
        <v>115</v>
      </c>
      <c r="O200" s="257" t="s">
        <v>190</v>
      </c>
      <c r="P200" s="257" t="s">
        <v>191</v>
      </c>
      <c r="S200" s="257">
        <f t="shared" si="5"/>
        <v>2030</v>
      </c>
    </row>
    <row r="201" spans="1:19">
      <c r="A201" s="257" t="s">
        <v>110</v>
      </c>
      <c r="B201" s="257" t="s">
        <v>111</v>
      </c>
      <c r="C201" s="257" t="s">
        <v>193</v>
      </c>
      <c r="D201" s="257" t="s">
        <v>113</v>
      </c>
      <c r="E201" s="335">
        <v>0.96538434699999998</v>
      </c>
      <c r="G201" s="257" t="s">
        <v>114</v>
      </c>
      <c r="H201" s="257">
        <v>1</v>
      </c>
      <c r="I201" s="258">
        <v>47849</v>
      </c>
      <c r="J201" s="258"/>
      <c r="L201" s="257" t="s">
        <v>115</v>
      </c>
      <c r="O201" s="257" t="s">
        <v>190</v>
      </c>
      <c r="P201" s="257" t="s">
        <v>191</v>
      </c>
      <c r="S201" s="257">
        <f t="shared" si="5"/>
        <v>2031</v>
      </c>
    </row>
    <row r="202" spans="1:19">
      <c r="A202" s="257" t="s">
        <v>110</v>
      </c>
      <c r="B202" s="257" t="s">
        <v>111</v>
      </c>
      <c r="C202" s="257" t="s">
        <v>193</v>
      </c>
      <c r="D202" s="257" t="s">
        <v>113</v>
      </c>
      <c r="E202" s="335">
        <v>0.95187526600000005</v>
      </c>
      <c r="G202" s="257" t="s">
        <v>114</v>
      </c>
      <c r="H202" s="257">
        <v>1</v>
      </c>
      <c r="I202" s="258">
        <v>48214</v>
      </c>
      <c r="J202" s="258"/>
      <c r="L202" s="257" t="s">
        <v>115</v>
      </c>
      <c r="O202" s="257" t="s">
        <v>190</v>
      </c>
      <c r="P202" s="257" t="s">
        <v>191</v>
      </c>
      <c r="S202" s="257">
        <f t="shared" si="5"/>
        <v>2032</v>
      </c>
    </row>
    <row r="203" spans="1:19">
      <c r="A203" s="257" t="s">
        <v>110</v>
      </c>
      <c r="B203" s="257" t="s">
        <v>111</v>
      </c>
      <c r="C203" s="257" t="s">
        <v>193</v>
      </c>
      <c r="D203" s="257" t="s">
        <v>113</v>
      </c>
      <c r="E203" s="335">
        <v>0.93731839900000002</v>
      </c>
      <c r="G203" s="257" t="s">
        <v>114</v>
      </c>
      <c r="H203" s="257">
        <v>1</v>
      </c>
      <c r="I203" s="258">
        <v>48580</v>
      </c>
      <c r="J203" s="258"/>
      <c r="L203" s="257" t="s">
        <v>115</v>
      </c>
      <c r="O203" s="257" t="s">
        <v>190</v>
      </c>
      <c r="P203" s="257" t="s">
        <v>191</v>
      </c>
      <c r="S203" s="257">
        <f t="shared" si="5"/>
        <v>2033</v>
      </c>
    </row>
    <row r="204" spans="1:19">
      <c r="A204" s="257" t="s">
        <v>110</v>
      </c>
      <c r="B204" s="257" t="s">
        <v>111</v>
      </c>
      <c r="C204" s="257" t="s">
        <v>193</v>
      </c>
      <c r="D204" s="257" t="s">
        <v>113</v>
      </c>
      <c r="E204" s="335">
        <v>0.92167448399999996</v>
      </c>
      <c r="G204" s="257" t="s">
        <v>114</v>
      </c>
      <c r="H204" s="257">
        <v>1</v>
      </c>
      <c r="I204" s="258">
        <v>48945</v>
      </c>
      <c r="J204" s="258"/>
      <c r="L204" s="257" t="s">
        <v>115</v>
      </c>
      <c r="O204" s="257" t="s">
        <v>190</v>
      </c>
      <c r="P204" s="257" t="s">
        <v>191</v>
      </c>
      <c r="S204" s="257">
        <f t="shared" si="5"/>
        <v>2034</v>
      </c>
    </row>
    <row r="205" spans="1:19">
      <c r="A205" s="257" t="s">
        <v>110</v>
      </c>
      <c r="B205" s="257" t="s">
        <v>111</v>
      </c>
      <c r="C205" s="257" t="s">
        <v>193</v>
      </c>
      <c r="D205" s="257" t="s">
        <v>113</v>
      </c>
      <c r="E205" s="335">
        <v>0.90490304300000002</v>
      </c>
      <c r="G205" s="257" t="s">
        <v>114</v>
      </c>
      <c r="H205" s="257">
        <v>1</v>
      </c>
      <c r="I205" s="258">
        <v>49310</v>
      </c>
      <c r="J205" s="258"/>
      <c r="L205" s="257" t="s">
        <v>115</v>
      </c>
      <c r="O205" s="257" t="s">
        <v>190</v>
      </c>
      <c r="P205" s="257" t="s">
        <v>191</v>
      </c>
      <c r="S205" s="257">
        <f t="shared" si="5"/>
        <v>2035</v>
      </c>
    </row>
    <row r="206" spans="1:19">
      <c r="A206" s="257" t="s">
        <v>110</v>
      </c>
      <c r="B206" s="257" t="s">
        <v>111</v>
      </c>
      <c r="C206" s="257" t="s">
        <v>193</v>
      </c>
      <c r="D206" s="257" t="s">
        <v>113</v>
      </c>
      <c r="E206" s="335">
        <v>0.90920414299999996</v>
      </c>
      <c r="G206" s="257" t="s">
        <v>114</v>
      </c>
      <c r="H206" s="257">
        <v>1</v>
      </c>
      <c r="I206" s="258">
        <v>49675</v>
      </c>
      <c r="J206" s="258"/>
      <c r="L206" s="257" t="s">
        <v>115</v>
      </c>
      <c r="O206" s="257" t="s">
        <v>190</v>
      </c>
      <c r="P206" s="257" t="s">
        <v>191</v>
      </c>
      <c r="S206" s="257">
        <f t="shared" si="5"/>
        <v>2036</v>
      </c>
    </row>
    <row r="207" spans="1:19">
      <c r="A207" s="257" t="s">
        <v>110</v>
      </c>
      <c r="B207" s="257" t="s">
        <v>111</v>
      </c>
      <c r="C207" s="257" t="s">
        <v>193</v>
      </c>
      <c r="D207" s="257" t="s">
        <v>113</v>
      </c>
      <c r="E207" s="335">
        <v>0.91326272500000005</v>
      </c>
      <c r="G207" s="257" t="s">
        <v>114</v>
      </c>
      <c r="H207" s="257">
        <v>1</v>
      </c>
      <c r="I207" s="258">
        <v>50041</v>
      </c>
      <c r="J207" s="258"/>
      <c r="L207" s="257" t="s">
        <v>115</v>
      </c>
      <c r="O207" s="257" t="s">
        <v>190</v>
      </c>
      <c r="P207" s="257" t="s">
        <v>191</v>
      </c>
      <c r="S207" s="257">
        <f t="shared" si="5"/>
        <v>2037</v>
      </c>
    </row>
    <row r="208" spans="1:19">
      <c r="A208" s="257" t="s">
        <v>110</v>
      </c>
      <c r="B208" s="257" t="s">
        <v>111</v>
      </c>
      <c r="C208" s="257" t="s">
        <v>193</v>
      </c>
      <c r="D208" s="257" t="s">
        <v>113</v>
      </c>
      <c r="E208" s="335">
        <v>0.91706617099999999</v>
      </c>
      <c r="G208" s="257" t="s">
        <v>114</v>
      </c>
      <c r="H208" s="257">
        <v>1</v>
      </c>
      <c r="I208" s="258">
        <v>50406</v>
      </c>
      <c r="J208" s="258"/>
      <c r="L208" s="257" t="s">
        <v>115</v>
      </c>
      <c r="O208" s="257" t="s">
        <v>190</v>
      </c>
      <c r="P208" s="257" t="s">
        <v>191</v>
      </c>
      <c r="S208" s="257">
        <f t="shared" si="5"/>
        <v>2038</v>
      </c>
    </row>
    <row r="209" spans="1:19">
      <c r="A209" s="257" t="s">
        <v>110</v>
      </c>
      <c r="B209" s="257" t="s">
        <v>111</v>
      </c>
      <c r="C209" s="257" t="s">
        <v>193</v>
      </c>
      <c r="D209" s="257" t="s">
        <v>113</v>
      </c>
      <c r="E209" s="335">
        <v>0.920601428</v>
      </c>
      <c r="G209" s="257" t="s">
        <v>114</v>
      </c>
      <c r="H209" s="257">
        <v>1</v>
      </c>
      <c r="I209" s="258">
        <v>50771</v>
      </c>
      <c r="J209" s="258"/>
      <c r="L209" s="257" t="s">
        <v>115</v>
      </c>
      <c r="O209" s="257" t="s">
        <v>190</v>
      </c>
      <c r="P209" s="257" t="s">
        <v>191</v>
      </c>
      <c r="S209" s="257">
        <f t="shared" si="5"/>
        <v>2039</v>
      </c>
    </row>
    <row r="210" spans="1:19">
      <c r="A210" s="257" t="s">
        <v>110</v>
      </c>
      <c r="B210" s="257" t="s">
        <v>111</v>
      </c>
      <c r="C210" s="257" t="s">
        <v>193</v>
      </c>
      <c r="D210" s="257" t="s">
        <v>113</v>
      </c>
      <c r="E210" s="335">
        <v>0.92385499500000001</v>
      </c>
      <c r="G210" s="257" t="s">
        <v>114</v>
      </c>
      <c r="H210" s="257">
        <v>1</v>
      </c>
      <c r="I210" s="258">
        <v>51136</v>
      </c>
      <c r="J210" s="258"/>
      <c r="L210" s="257" t="s">
        <v>115</v>
      </c>
      <c r="O210" s="257" t="s">
        <v>190</v>
      </c>
      <c r="P210" s="257" t="s">
        <v>191</v>
      </c>
      <c r="S210" s="257">
        <f t="shared" si="5"/>
        <v>2040</v>
      </c>
    </row>
    <row r="211" spans="1:19">
      <c r="A211" s="257" t="s">
        <v>110</v>
      </c>
      <c r="B211" s="257" t="s">
        <v>111</v>
      </c>
      <c r="C211" s="257" t="s">
        <v>193</v>
      </c>
      <c r="D211" s="257" t="s">
        <v>113</v>
      </c>
      <c r="E211" s="335">
        <v>0.92681291200000004</v>
      </c>
      <c r="G211" s="257" t="s">
        <v>114</v>
      </c>
      <c r="H211" s="257">
        <v>1</v>
      </c>
      <c r="I211" s="258">
        <v>51502</v>
      </c>
      <c r="J211" s="258"/>
      <c r="L211" s="257" t="s">
        <v>115</v>
      </c>
      <c r="O211" s="257" t="s">
        <v>190</v>
      </c>
      <c r="P211" s="257" t="s">
        <v>191</v>
      </c>
      <c r="S211" s="257">
        <f t="shared" si="5"/>
        <v>2041</v>
      </c>
    </row>
    <row r="212" spans="1:19">
      <c r="A212" s="257" t="s">
        <v>110</v>
      </c>
      <c r="B212" s="257" t="s">
        <v>111</v>
      </c>
      <c r="C212" s="257" t="s">
        <v>193</v>
      </c>
      <c r="D212" s="257" t="s">
        <v>113</v>
      </c>
      <c r="E212" s="335">
        <v>0.92946074099999998</v>
      </c>
      <c r="G212" s="257" t="s">
        <v>114</v>
      </c>
      <c r="H212" s="257">
        <v>1</v>
      </c>
      <c r="I212" s="258">
        <v>51867</v>
      </c>
      <c r="J212" s="258"/>
      <c r="L212" s="257" t="s">
        <v>115</v>
      </c>
      <c r="O212" s="257" t="s">
        <v>190</v>
      </c>
      <c r="P212" s="257" t="s">
        <v>191</v>
      </c>
      <c r="S212" s="257">
        <f t="shared" si="5"/>
        <v>2042</v>
      </c>
    </row>
    <row r="213" spans="1:19">
      <c r="A213" s="257" t="s">
        <v>110</v>
      </c>
      <c r="B213" s="257" t="s">
        <v>111</v>
      </c>
      <c r="C213" s="257" t="s">
        <v>193</v>
      </c>
      <c r="D213" s="257" t="s">
        <v>113</v>
      </c>
      <c r="E213" s="335">
        <v>0.93178355700000004</v>
      </c>
      <c r="G213" s="257" t="s">
        <v>114</v>
      </c>
      <c r="H213" s="257">
        <v>1</v>
      </c>
      <c r="I213" s="258">
        <v>52232</v>
      </c>
      <c r="J213" s="258"/>
      <c r="L213" s="257" t="s">
        <v>115</v>
      </c>
      <c r="O213" s="257" t="s">
        <v>190</v>
      </c>
      <c r="P213" s="257" t="s">
        <v>191</v>
      </c>
      <c r="S213" s="257">
        <f t="shared" si="5"/>
        <v>2043</v>
      </c>
    </row>
    <row r="214" spans="1:19">
      <c r="A214" s="257" t="s">
        <v>110</v>
      </c>
      <c r="B214" s="257" t="s">
        <v>111</v>
      </c>
      <c r="C214" s="257" t="s">
        <v>193</v>
      </c>
      <c r="D214" s="257" t="s">
        <v>113</v>
      </c>
      <c r="E214" s="335">
        <v>0.93376592999999997</v>
      </c>
      <c r="G214" s="257" t="s">
        <v>114</v>
      </c>
      <c r="H214" s="257">
        <v>1</v>
      </c>
      <c r="I214" s="258">
        <v>52597</v>
      </c>
      <c r="J214" s="258"/>
      <c r="L214" s="257" t="s">
        <v>115</v>
      </c>
      <c r="O214" s="257" t="s">
        <v>190</v>
      </c>
      <c r="P214" s="257" t="s">
        <v>191</v>
      </c>
      <c r="S214" s="257">
        <f t="shared" si="5"/>
        <v>2044</v>
      </c>
    </row>
    <row r="215" spans="1:19">
      <c r="A215" s="257" t="s">
        <v>110</v>
      </c>
      <c r="B215" s="257" t="s">
        <v>111</v>
      </c>
      <c r="C215" s="257" t="s">
        <v>193</v>
      </c>
      <c r="D215" s="257" t="s">
        <v>113</v>
      </c>
      <c r="E215" s="335">
        <v>0.93539191499999996</v>
      </c>
      <c r="G215" s="257" t="s">
        <v>114</v>
      </c>
      <c r="H215" s="257">
        <v>1</v>
      </c>
      <c r="I215" s="258">
        <v>52963</v>
      </c>
      <c r="J215" s="258"/>
      <c r="L215" s="257" t="s">
        <v>115</v>
      </c>
      <c r="O215" s="257" t="s">
        <v>190</v>
      </c>
      <c r="P215" s="257" t="s">
        <v>191</v>
      </c>
      <c r="S215" s="257">
        <f t="shared" si="5"/>
        <v>2045</v>
      </c>
    </row>
    <row r="217" spans="1:19">
      <c r="A217" s="257" t="s">
        <v>194</v>
      </c>
      <c r="C217" s="273">
        <v>6.3799999999999996E-2</v>
      </c>
    </row>
    <row r="219" spans="1:19" s="255" customFormat="1">
      <c r="A219" s="255" t="s">
        <v>94</v>
      </c>
      <c r="B219" s="255" t="s">
        <v>95</v>
      </c>
      <c r="C219" s="255" t="s">
        <v>96</v>
      </c>
      <c r="D219" s="255" t="s">
        <v>97</v>
      </c>
      <c r="E219" s="255" t="s">
        <v>98</v>
      </c>
      <c r="F219" s="255" t="s">
        <v>99</v>
      </c>
      <c r="G219" s="255" t="s">
        <v>100</v>
      </c>
      <c r="H219" s="255" t="s">
        <v>101</v>
      </c>
      <c r="I219" s="255" t="s">
        <v>102</v>
      </c>
      <c r="J219" s="255" t="s">
        <v>103</v>
      </c>
      <c r="K219" s="255" t="s">
        <v>104</v>
      </c>
      <c r="L219" s="255" t="s">
        <v>105</v>
      </c>
      <c r="M219" s="255" t="s">
        <v>106</v>
      </c>
      <c r="N219" s="255" t="s">
        <v>107</v>
      </c>
      <c r="O219" s="255" t="s">
        <v>108</v>
      </c>
      <c r="P219" s="255" t="s">
        <v>109</v>
      </c>
      <c r="S219" s="255" t="s">
        <v>0</v>
      </c>
    </row>
    <row r="220" spans="1:19">
      <c r="A220" s="257" t="s">
        <v>110</v>
      </c>
      <c r="B220" s="257" t="s">
        <v>111</v>
      </c>
      <c r="C220" s="257" t="s">
        <v>159</v>
      </c>
      <c r="D220" s="257" t="s">
        <v>113</v>
      </c>
      <c r="E220" s="335">
        <v>1.015349032</v>
      </c>
      <c r="G220" s="257" t="s">
        <v>114</v>
      </c>
      <c r="H220" s="257">
        <v>1</v>
      </c>
      <c r="I220" s="258">
        <v>45658</v>
      </c>
      <c r="J220" s="258"/>
      <c r="L220" s="257" t="s">
        <v>115</v>
      </c>
      <c r="O220" s="257" t="s">
        <v>190</v>
      </c>
      <c r="P220" s="257" t="s">
        <v>191</v>
      </c>
      <c r="S220" s="257">
        <f>YEAR(I220)</f>
        <v>2025</v>
      </c>
    </row>
    <row r="221" spans="1:19">
      <c r="A221" s="257" t="s">
        <v>110</v>
      </c>
      <c r="B221" s="257" t="s">
        <v>111</v>
      </c>
      <c r="C221" s="257" t="s">
        <v>159</v>
      </c>
      <c r="D221" s="257" t="s">
        <v>113</v>
      </c>
      <c r="E221" s="335">
        <v>1.0134574789999999</v>
      </c>
      <c r="G221" s="257" t="s">
        <v>114</v>
      </c>
      <c r="H221" s="257">
        <v>1</v>
      </c>
      <c r="I221" s="258">
        <v>46023</v>
      </c>
      <c r="J221" s="258"/>
      <c r="L221" s="257" t="s">
        <v>115</v>
      </c>
      <c r="O221" s="257" t="s">
        <v>190</v>
      </c>
      <c r="P221" s="257" t="s">
        <v>191</v>
      </c>
      <c r="S221" s="257">
        <f t="shared" ref="S221:S240" si="6">YEAR(I221)</f>
        <v>2026</v>
      </c>
    </row>
    <row r="222" spans="1:19">
      <c r="A222" s="257" t="s">
        <v>110</v>
      </c>
      <c r="B222" s="257" t="s">
        <v>111</v>
      </c>
      <c r="C222" s="257" t="s">
        <v>159</v>
      </c>
      <c r="D222" s="257" t="s">
        <v>113</v>
      </c>
      <c r="E222" s="335">
        <v>1.0110009200000001</v>
      </c>
      <c r="G222" s="257" t="s">
        <v>114</v>
      </c>
      <c r="H222" s="257">
        <v>1</v>
      </c>
      <c r="I222" s="258">
        <v>46388</v>
      </c>
      <c r="J222" s="258"/>
      <c r="L222" s="257" t="s">
        <v>115</v>
      </c>
      <c r="O222" s="257" t="s">
        <v>190</v>
      </c>
      <c r="P222" s="257" t="s">
        <v>191</v>
      </c>
      <c r="S222" s="257">
        <f t="shared" si="6"/>
        <v>2027</v>
      </c>
    </row>
    <row r="223" spans="1:19">
      <c r="A223" s="257" t="s">
        <v>110</v>
      </c>
      <c r="B223" s="257" t="s">
        <v>111</v>
      </c>
      <c r="C223" s="257" t="s">
        <v>159</v>
      </c>
      <c r="D223" s="257" t="s">
        <v>113</v>
      </c>
      <c r="E223" s="335">
        <v>1.0079556199999999</v>
      </c>
      <c r="G223" s="257" t="s">
        <v>114</v>
      </c>
      <c r="H223" s="257">
        <v>1</v>
      </c>
      <c r="I223" s="258">
        <v>46753</v>
      </c>
      <c r="J223" s="258"/>
      <c r="L223" s="257" t="s">
        <v>115</v>
      </c>
      <c r="O223" s="257" t="s">
        <v>190</v>
      </c>
      <c r="P223" s="257" t="s">
        <v>191</v>
      </c>
      <c r="S223" s="257">
        <f t="shared" si="6"/>
        <v>2028</v>
      </c>
    </row>
    <row r="224" spans="1:19">
      <c r="A224" s="257" t="s">
        <v>110</v>
      </c>
      <c r="B224" s="257" t="s">
        <v>111</v>
      </c>
      <c r="C224" s="257" t="s">
        <v>159</v>
      </c>
      <c r="D224" s="257" t="s">
        <v>113</v>
      </c>
      <c r="E224" s="335">
        <v>1.0042970769999999</v>
      </c>
      <c r="G224" s="257" t="s">
        <v>114</v>
      </c>
      <c r="H224" s="257">
        <v>1</v>
      </c>
      <c r="I224" s="258">
        <v>47119</v>
      </c>
      <c r="J224" s="258"/>
      <c r="L224" s="257" t="s">
        <v>115</v>
      </c>
      <c r="O224" s="257" t="s">
        <v>190</v>
      </c>
      <c r="P224" s="257" t="s">
        <v>191</v>
      </c>
      <c r="S224" s="257">
        <f t="shared" si="6"/>
        <v>2029</v>
      </c>
    </row>
    <row r="225" spans="1:19">
      <c r="A225" s="257" t="s">
        <v>110</v>
      </c>
      <c r="B225" s="257" t="s">
        <v>111</v>
      </c>
      <c r="C225" s="257" t="s">
        <v>159</v>
      </c>
      <c r="D225" s="257" t="s">
        <v>113</v>
      </c>
      <c r="E225" s="335">
        <v>1</v>
      </c>
      <c r="G225" s="257" t="s">
        <v>114</v>
      </c>
      <c r="H225" s="257">
        <v>1</v>
      </c>
      <c r="I225" s="258">
        <v>47484</v>
      </c>
      <c r="J225" s="258"/>
      <c r="L225" s="257" t="s">
        <v>115</v>
      </c>
      <c r="O225" s="257" t="s">
        <v>190</v>
      </c>
      <c r="P225" s="257" t="s">
        <v>191</v>
      </c>
      <c r="S225" s="257">
        <f t="shared" si="6"/>
        <v>2030</v>
      </c>
    </row>
    <row r="226" spans="1:19">
      <c r="A226" s="257" t="s">
        <v>110</v>
      </c>
      <c r="B226" s="257" t="s">
        <v>111</v>
      </c>
      <c r="C226" s="257" t="s">
        <v>159</v>
      </c>
      <c r="D226" s="257" t="s">
        <v>113</v>
      </c>
      <c r="E226" s="335">
        <v>0.99503828900000002</v>
      </c>
      <c r="G226" s="257" t="s">
        <v>114</v>
      </c>
      <c r="H226" s="257">
        <v>1</v>
      </c>
      <c r="I226" s="258">
        <v>47849</v>
      </c>
      <c r="J226" s="258"/>
      <c r="L226" s="257" t="s">
        <v>115</v>
      </c>
      <c r="O226" s="257" t="s">
        <v>190</v>
      </c>
      <c r="P226" s="257" t="s">
        <v>191</v>
      </c>
      <c r="S226" s="257">
        <f t="shared" si="6"/>
        <v>2031</v>
      </c>
    </row>
    <row r="227" spans="1:19">
      <c r="A227" s="257" t="s">
        <v>110</v>
      </c>
      <c r="B227" s="257" t="s">
        <v>111</v>
      </c>
      <c r="C227" s="257" t="s">
        <v>159</v>
      </c>
      <c r="D227" s="257" t="s">
        <v>113</v>
      </c>
      <c r="E227" s="335">
        <v>1.006562822</v>
      </c>
      <c r="G227" s="257" t="s">
        <v>114</v>
      </c>
      <c r="H227" s="257">
        <v>1</v>
      </c>
      <c r="I227" s="258">
        <v>48214</v>
      </c>
      <c r="J227" s="258"/>
      <c r="L227" s="257" t="s">
        <v>115</v>
      </c>
      <c r="O227" s="257" t="s">
        <v>190</v>
      </c>
      <c r="P227" s="257" t="s">
        <v>191</v>
      </c>
      <c r="S227" s="257">
        <f t="shared" si="6"/>
        <v>2032</v>
      </c>
    </row>
    <row r="228" spans="1:19">
      <c r="A228" s="257" t="s">
        <v>110</v>
      </c>
      <c r="B228" s="257" t="s">
        <v>111</v>
      </c>
      <c r="C228" s="257" t="s">
        <v>159</v>
      </c>
      <c r="D228" s="257" t="s">
        <v>113</v>
      </c>
      <c r="E228" s="335">
        <v>1.0181169430000001</v>
      </c>
      <c r="G228" s="257" t="s">
        <v>114</v>
      </c>
      <c r="H228" s="257">
        <v>1</v>
      </c>
      <c r="I228" s="258">
        <v>48580</v>
      </c>
      <c r="J228" s="258"/>
      <c r="L228" s="257" t="s">
        <v>115</v>
      </c>
      <c r="O228" s="257" t="s">
        <v>190</v>
      </c>
      <c r="P228" s="257" t="s">
        <v>191</v>
      </c>
      <c r="S228" s="257">
        <f t="shared" si="6"/>
        <v>2033</v>
      </c>
    </row>
    <row r="229" spans="1:19">
      <c r="A229" s="257" t="s">
        <v>110</v>
      </c>
      <c r="B229" s="257" t="s">
        <v>111</v>
      </c>
      <c r="C229" s="257" t="s">
        <v>159</v>
      </c>
      <c r="D229" s="257" t="s">
        <v>113</v>
      </c>
      <c r="E229" s="335">
        <v>1.029696465</v>
      </c>
      <c r="G229" s="257" t="s">
        <v>114</v>
      </c>
      <c r="H229" s="257">
        <v>1</v>
      </c>
      <c r="I229" s="258">
        <v>48945</v>
      </c>
      <c r="J229" s="258"/>
      <c r="L229" s="257" t="s">
        <v>115</v>
      </c>
      <c r="O229" s="257" t="s">
        <v>190</v>
      </c>
      <c r="P229" s="257" t="s">
        <v>191</v>
      </c>
      <c r="S229" s="257">
        <f t="shared" si="6"/>
        <v>2034</v>
      </c>
    </row>
    <row r="230" spans="1:19">
      <c r="A230" s="257" t="s">
        <v>110</v>
      </c>
      <c r="B230" s="257" t="s">
        <v>111</v>
      </c>
      <c r="C230" s="257" t="s">
        <v>159</v>
      </c>
      <c r="D230" s="257" t="s">
        <v>113</v>
      </c>
      <c r="E230" s="335">
        <v>1.041297004</v>
      </c>
      <c r="G230" s="257" t="s">
        <v>114</v>
      </c>
      <c r="H230" s="257">
        <v>1</v>
      </c>
      <c r="I230" s="258">
        <v>49310</v>
      </c>
      <c r="J230" s="258"/>
      <c r="L230" s="257" t="s">
        <v>115</v>
      </c>
      <c r="O230" s="257" t="s">
        <v>190</v>
      </c>
      <c r="P230" s="257" t="s">
        <v>191</v>
      </c>
      <c r="S230" s="257">
        <f t="shared" si="6"/>
        <v>2035</v>
      </c>
    </row>
    <row r="231" spans="1:19">
      <c r="A231" s="257" t="s">
        <v>110</v>
      </c>
      <c r="B231" s="257" t="s">
        <v>111</v>
      </c>
      <c r="C231" s="257" t="s">
        <v>159</v>
      </c>
      <c r="D231" s="257" t="s">
        <v>113</v>
      </c>
      <c r="E231" s="335">
        <v>1.052913974</v>
      </c>
      <c r="G231" s="257" t="s">
        <v>114</v>
      </c>
      <c r="H231" s="257">
        <v>1</v>
      </c>
      <c r="I231" s="258">
        <v>49675</v>
      </c>
      <c r="J231" s="258"/>
      <c r="L231" s="257" t="s">
        <v>115</v>
      </c>
      <c r="O231" s="257" t="s">
        <v>190</v>
      </c>
      <c r="P231" s="257" t="s">
        <v>191</v>
      </c>
      <c r="S231" s="257">
        <f t="shared" si="6"/>
        <v>2036</v>
      </c>
    </row>
    <row r="232" spans="1:19">
      <c r="A232" s="257" t="s">
        <v>110</v>
      </c>
      <c r="B232" s="257" t="s">
        <v>111</v>
      </c>
      <c r="C232" s="257" t="s">
        <v>159</v>
      </c>
      <c r="D232" s="257" t="s">
        <v>113</v>
      </c>
      <c r="E232" s="335">
        <v>1.064542578</v>
      </c>
      <c r="G232" s="257" t="s">
        <v>114</v>
      </c>
      <c r="H232" s="257">
        <v>1</v>
      </c>
      <c r="I232" s="258">
        <v>50041</v>
      </c>
      <c r="J232" s="258"/>
      <c r="L232" s="257" t="s">
        <v>115</v>
      </c>
      <c r="O232" s="257" t="s">
        <v>190</v>
      </c>
      <c r="P232" s="257" t="s">
        <v>191</v>
      </c>
      <c r="S232" s="257">
        <f t="shared" si="6"/>
        <v>2037</v>
      </c>
    </row>
    <row r="233" spans="1:19">
      <c r="A233" s="257" t="s">
        <v>110</v>
      </c>
      <c r="B233" s="257" t="s">
        <v>111</v>
      </c>
      <c r="C233" s="257" t="s">
        <v>159</v>
      </c>
      <c r="D233" s="257" t="s">
        <v>113</v>
      </c>
      <c r="E233" s="335">
        <v>1.076177801</v>
      </c>
      <c r="G233" s="257" t="s">
        <v>114</v>
      </c>
      <c r="H233" s="257">
        <v>1</v>
      </c>
      <c r="I233" s="258">
        <v>50406</v>
      </c>
      <c r="J233" s="258"/>
      <c r="L233" s="257" t="s">
        <v>115</v>
      </c>
      <c r="O233" s="257" t="s">
        <v>190</v>
      </c>
      <c r="P233" s="257" t="s">
        <v>191</v>
      </c>
      <c r="S233" s="257">
        <f t="shared" si="6"/>
        <v>2038</v>
      </c>
    </row>
    <row r="234" spans="1:19">
      <c r="A234" s="257" t="s">
        <v>110</v>
      </c>
      <c r="B234" s="257" t="s">
        <v>111</v>
      </c>
      <c r="C234" s="257" t="s">
        <v>159</v>
      </c>
      <c r="D234" s="257" t="s">
        <v>113</v>
      </c>
      <c r="E234" s="335">
        <v>1.0878144080000001</v>
      </c>
      <c r="G234" s="257" t="s">
        <v>114</v>
      </c>
      <c r="H234" s="257">
        <v>1</v>
      </c>
      <c r="I234" s="258">
        <v>50771</v>
      </c>
      <c r="J234" s="258"/>
      <c r="L234" s="257" t="s">
        <v>115</v>
      </c>
      <c r="O234" s="257" t="s">
        <v>190</v>
      </c>
      <c r="P234" s="257" t="s">
        <v>191</v>
      </c>
      <c r="S234" s="257">
        <f t="shared" si="6"/>
        <v>2039</v>
      </c>
    </row>
    <row r="235" spans="1:19">
      <c r="A235" s="257" t="s">
        <v>110</v>
      </c>
      <c r="B235" s="257" t="s">
        <v>111</v>
      </c>
      <c r="C235" s="257" t="s">
        <v>159</v>
      </c>
      <c r="D235" s="257" t="s">
        <v>113</v>
      </c>
      <c r="E235" s="335">
        <v>1.0994469280000001</v>
      </c>
      <c r="G235" s="257" t="s">
        <v>114</v>
      </c>
      <c r="H235" s="257">
        <v>1</v>
      </c>
      <c r="I235" s="258">
        <v>51136</v>
      </c>
      <c r="J235" s="258"/>
      <c r="L235" s="257" t="s">
        <v>115</v>
      </c>
      <c r="O235" s="257" t="s">
        <v>190</v>
      </c>
      <c r="P235" s="257" t="s">
        <v>191</v>
      </c>
      <c r="S235" s="257">
        <f t="shared" si="6"/>
        <v>2040</v>
      </c>
    </row>
    <row r="236" spans="1:19">
      <c r="A236" s="257" t="s">
        <v>110</v>
      </c>
      <c r="B236" s="257" t="s">
        <v>111</v>
      </c>
      <c r="C236" s="257" t="s">
        <v>159</v>
      </c>
      <c r="D236" s="257" t="s">
        <v>113</v>
      </c>
      <c r="E236" s="335">
        <v>1.1110696520000001</v>
      </c>
      <c r="G236" s="257" t="s">
        <v>114</v>
      </c>
      <c r="H236" s="257">
        <v>1</v>
      </c>
      <c r="I236" s="258">
        <v>51502</v>
      </c>
      <c r="J236" s="258"/>
      <c r="L236" s="257" t="s">
        <v>115</v>
      </c>
      <c r="O236" s="257" t="s">
        <v>190</v>
      </c>
      <c r="P236" s="257" t="s">
        <v>191</v>
      </c>
      <c r="S236" s="257">
        <f t="shared" si="6"/>
        <v>2041</v>
      </c>
    </row>
    <row r="237" spans="1:19">
      <c r="A237" s="257" t="s">
        <v>110</v>
      </c>
      <c r="B237" s="257" t="s">
        <v>111</v>
      </c>
      <c r="C237" s="257" t="s">
        <v>159</v>
      </c>
      <c r="D237" s="257" t="s">
        <v>113</v>
      </c>
      <c r="E237" s="335">
        <v>1.1226766260000001</v>
      </c>
      <c r="G237" s="257" t="s">
        <v>114</v>
      </c>
      <c r="H237" s="257">
        <v>1</v>
      </c>
      <c r="I237" s="258">
        <v>51867</v>
      </c>
      <c r="J237" s="258"/>
      <c r="L237" s="257" t="s">
        <v>115</v>
      </c>
      <c r="O237" s="257" t="s">
        <v>190</v>
      </c>
      <c r="P237" s="257" t="s">
        <v>191</v>
      </c>
      <c r="S237" s="257">
        <f t="shared" si="6"/>
        <v>2042</v>
      </c>
    </row>
    <row r="238" spans="1:19">
      <c r="A238" s="257" t="s">
        <v>110</v>
      </c>
      <c r="B238" s="257" t="s">
        <v>111</v>
      </c>
      <c r="C238" s="257" t="s">
        <v>159</v>
      </c>
      <c r="D238" s="257" t="s">
        <v>113</v>
      </c>
      <c r="E238" s="335">
        <v>1.1342616400000001</v>
      </c>
      <c r="G238" s="257" t="s">
        <v>114</v>
      </c>
      <c r="H238" s="257">
        <v>1</v>
      </c>
      <c r="I238" s="258">
        <v>52232</v>
      </c>
      <c r="J238" s="258"/>
      <c r="L238" s="257" t="s">
        <v>115</v>
      </c>
      <c r="O238" s="257" t="s">
        <v>190</v>
      </c>
      <c r="P238" s="257" t="s">
        <v>191</v>
      </c>
      <c r="S238" s="257">
        <f t="shared" si="6"/>
        <v>2043</v>
      </c>
    </row>
    <row r="239" spans="1:19">
      <c r="A239" s="257" t="s">
        <v>110</v>
      </c>
      <c r="B239" s="257" t="s">
        <v>111</v>
      </c>
      <c r="C239" s="257" t="s">
        <v>159</v>
      </c>
      <c r="D239" s="257" t="s">
        <v>113</v>
      </c>
      <c r="E239" s="335">
        <v>1.14581822</v>
      </c>
      <c r="G239" s="257" t="s">
        <v>114</v>
      </c>
      <c r="H239" s="257">
        <v>1</v>
      </c>
      <c r="I239" s="258">
        <v>52597</v>
      </c>
      <c r="J239" s="258"/>
      <c r="L239" s="257" t="s">
        <v>115</v>
      </c>
      <c r="O239" s="257" t="s">
        <v>190</v>
      </c>
      <c r="P239" s="257" t="s">
        <v>191</v>
      </c>
      <c r="S239" s="257">
        <f t="shared" si="6"/>
        <v>2044</v>
      </c>
    </row>
    <row r="240" spans="1:19">
      <c r="A240" s="257" t="s">
        <v>110</v>
      </c>
      <c r="B240" s="257" t="s">
        <v>111</v>
      </c>
      <c r="C240" s="257" t="s">
        <v>159</v>
      </c>
      <c r="D240" s="257" t="s">
        <v>113</v>
      </c>
      <c r="E240" s="335">
        <v>1.157339619</v>
      </c>
      <c r="G240" s="257" t="s">
        <v>114</v>
      </c>
      <c r="H240" s="257">
        <v>1</v>
      </c>
      <c r="I240" s="258">
        <v>52963</v>
      </c>
      <c r="J240" s="258"/>
      <c r="L240" s="257" t="s">
        <v>115</v>
      </c>
      <c r="O240" s="257" t="s">
        <v>190</v>
      </c>
      <c r="P240" s="257" t="s">
        <v>191</v>
      </c>
      <c r="S240" s="257">
        <f t="shared" si="6"/>
        <v>2045</v>
      </c>
    </row>
    <row r="242" spans="1:19">
      <c r="A242" s="255" t="s">
        <v>94</v>
      </c>
      <c r="B242" s="255" t="s">
        <v>95</v>
      </c>
      <c r="C242" s="255" t="s">
        <v>96</v>
      </c>
      <c r="D242" s="255" t="s">
        <v>97</v>
      </c>
      <c r="E242" s="255" t="s">
        <v>98</v>
      </c>
      <c r="F242" s="255" t="s">
        <v>99</v>
      </c>
      <c r="G242" s="255" t="s">
        <v>100</v>
      </c>
      <c r="H242" s="255" t="s">
        <v>101</v>
      </c>
      <c r="I242" s="255" t="s">
        <v>102</v>
      </c>
      <c r="J242" s="255" t="s">
        <v>103</v>
      </c>
      <c r="K242" s="255" t="s">
        <v>104</v>
      </c>
      <c r="L242" s="255" t="s">
        <v>105</v>
      </c>
      <c r="M242" s="255" t="s">
        <v>106</v>
      </c>
      <c r="N242" s="255" t="s">
        <v>107</v>
      </c>
      <c r="O242" s="255" t="s">
        <v>108</v>
      </c>
      <c r="P242" s="255" t="s">
        <v>109</v>
      </c>
      <c r="S242" s="255" t="s">
        <v>0</v>
      </c>
    </row>
    <row r="243" spans="1:19">
      <c r="A243" s="257" t="s">
        <v>110</v>
      </c>
      <c r="B243" s="257" t="s">
        <v>111</v>
      </c>
      <c r="C243" s="257" t="s">
        <v>117</v>
      </c>
      <c r="D243" s="257" t="s">
        <v>113</v>
      </c>
      <c r="E243" s="257">
        <v>39.78</v>
      </c>
      <c r="G243" s="257" t="s">
        <v>114</v>
      </c>
      <c r="H243" s="257">
        <v>1</v>
      </c>
      <c r="I243" s="258">
        <v>45658</v>
      </c>
      <c r="J243" s="258"/>
      <c r="L243" s="257" t="s">
        <v>115</v>
      </c>
      <c r="P243" s="257" t="s">
        <v>137</v>
      </c>
      <c r="S243" s="257">
        <f>YEAR(I243)</f>
        <v>2025</v>
      </c>
    </row>
    <row r="244" spans="1:19">
      <c r="A244" s="257" t="s">
        <v>110</v>
      </c>
      <c r="B244" s="257" t="s">
        <v>111</v>
      </c>
      <c r="C244" s="257" t="s">
        <v>117</v>
      </c>
      <c r="D244" s="257" t="s">
        <v>113</v>
      </c>
      <c r="E244" s="257">
        <v>39.78</v>
      </c>
      <c r="G244" s="257" t="s">
        <v>114</v>
      </c>
      <c r="H244" s="257">
        <v>1</v>
      </c>
      <c r="I244" s="258">
        <v>46023</v>
      </c>
      <c r="J244" s="258"/>
      <c r="L244" s="257" t="s">
        <v>115</v>
      </c>
      <c r="P244" s="257" t="s">
        <v>137</v>
      </c>
      <c r="S244" s="257">
        <f t="shared" ref="S244:S272" si="7">YEAR(I244)</f>
        <v>2026</v>
      </c>
    </row>
    <row r="245" spans="1:19">
      <c r="A245" s="257" t="s">
        <v>110</v>
      </c>
      <c r="B245" s="257" t="s">
        <v>111</v>
      </c>
      <c r="C245" s="257" t="s">
        <v>117</v>
      </c>
      <c r="D245" s="257" t="s">
        <v>113</v>
      </c>
      <c r="E245" s="257">
        <v>41.11</v>
      </c>
      <c r="G245" s="257" t="s">
        <v>114</v>
      </c>
      <c r="H245" s="257">
        <v>1</v>
      </c>
      <c r="I245" s="258">
        <v>46388</v>
      </c>
      <c r="J245" s="258"/>
      <c r="L245" s="257" t="s">
        <v>115</v>
      </c>
      <c r="P245" s="257" t="s">
        <v>137</v>
      </c>
      <c r="S245" s="257">
        <f t="shared" si="7"/>
        <v>2027</v>
      </c>
    </row>
    <row r="246" spans="1:19">
      <c r="A246" s="257" t="s">
        <v>110</v>
      </c>
      <c r="B246" s="257" t="s">
        <v>111</v>
      </c>
      <c r="C246" s="257" t="s">
        <v>117</v>
      </c>
      <c r="D246" s="257" t="s">
        <v>113</v>
      </c>
      <c r="E246" s="257">
        <v>42.43</v>
      </c>
      <c r="G246" s="257" t="s">
        <v>114</v>
      </c>
      <c r="H246" s="257">
        <v>1</v>
      </c>
      <c r="I246" s="258">
        <v>46753</v>
      </c>
      <c r="J246" s="258"/>
      <c r="L246" s="257" t="s">
        <v>115</v>
      </c>
      <c r="P246" s="257" t="s">
        <v>137</v>
      </c>
      <c r="S246" s="257">
        <f t="shared" si="7"/>
        <v>2028</v>
      </c>
    </row>
    <row r="247" spans="1:19">
      <c r="A247" s="257" t="s">
        <v>110</v>
      </c>
      <c r="B247" s="257" t="s">
        <v>111</v>
      </c>
      <c r="C247" s="257" t="s">
        <v>117</v>
      </c>
      <c r="D247" s="257" t="s">
        <v>113</v>
      </c>
      <c r="E247" s="257">
        <v>42.43</v>
      </c>
      <c r="G247" s="257" t="s">
        <v>114</v>
      </c>
      <c r="H247" s="257">
        <v>1</v>
      </c>
      <c r="I247" s="258">
        <v>47119</v>
      </c>
      <c r="J247" s="258"/>
      <c r="L247" s="257" t="s">
        <v>115</v>
      </c>
      <c r="P247" s="257" t="s">
        <v>137</v>
      </c>
      <c r="S247" s="257">
        <f t="shared" si="7"/>
        <v>2029</v>
      </c>
    </row>
    <row r="248" spans="1:19">
      <c r="A248" s="257" t="s">
        <v>110</v>
      </c>
      <c r="B248" s="257" t="s">
        <v>111</v>
      </c>
      <c r="C248" s="257" t="s">
        <v>117</v>
      </c>
      <c r="D248" s="257" t="s">
        <v>113</v>
      </c>
      <c r="E248" s="257">
        <v>43.76</v>
      </c>
      <c r="G248" s="257" t="s">
        <v>114</v>
      </c>
      <c r="H248" s="257">
        <v>1</v>
      </c>
      <c r="I248" s="258">
        <v>47484</v>
      </c>
      <c r="J248" s="258"/>
      <c r="L248" s="257" t="s">
        <v>115</v>
      </c>
      <c r="P248" s="257" t="s">
        <v>137</v>
      </c>
      <c r="S248" s="257">
        <f t="shared" si="7"/>
        <v>2030</v>
      </c>
    </row>
    <row r="249" spans="1:19">
      <c r="A249" s="257" t="s">
        <v>110</v>
      </c>
      <c r="B249" s="257" t="s">
        <v>111</v>
      </c>
      <c r="C249" s="257" t="s">
        <v>117</v>
      </c>
      <c r="D249" s="257" t="s">
        <v>113</v>
      </c>
      <c r="E249" s="257">
        <v>45.08</v>
      </c>
      <c r="G249" s="257" t="s">
        <v>114</v>
      </c>
      <c r="H249" s="257">
        <v>1</v>
      </c>
      <c r="I249" s="258">
        <v>47849</v>
      </c>
      <c r="J249" s="258"/>
      <c r="L249" s="257" t="s">
        <v>115</v>
      </c>
      <c r="P249" s="257" t="s">
        <v>137</v>
      </c>
      <c r="S249" s="257">
        <f t="shared" si="7"/>
        <v>2031</v>
      </c>
    </row>
    <row r="250" spans="1:19">
      <c r="A250" s="257" t="s">
        <v>110</v>
      </c>
      <c r="B250" s="257" t="s">
        <v>111</v>
      </c>
      <c r="C250" s="257" t="s">
        <v>117</v>
      </c>
      <c r="D250" s="257" t="s">
        <v>113</v>
      </c>
      <c r="E250" s="257">
        <v>45.08</v>
      </c>
      <c r="G250" s="257" t="s">
        <v>114</v>
      </c>
      <c r="H250" s="257">
        <v>1</v>
      </c>
      <c r="I250" s="258">
        <v>48214</v>
      </c>
      <c r="J250" s="258"/>
      <c r="L250" s="257" t="s">
        <v>115</v>
      </c>
      <c r="P250" s="257" t="s">
        <v>137</v>
      </c>
      <c r="S250" s="257">
        <f t="shared" si="7"/>
        <v>2032</v>
      </c>
    </row>
    <row r="251" spans="1:19">
      <c r="A251" s="257" t="s">
        <v>110</v>
      </c>
      <c r="B251" s="257" t="s">
        <v>111</v>
      </c>
      <c r="C251" s="257" t="s">
        <v>117</v>
      </c>
      <c r="D251" s="257" t="s">
        <v>113</v>
      </c>
      <c r="E251" s="257">
        <v>46.41</v>
      </c>
      <c r="G251" s="257" t="s">
        <v>114</v>
      </c>
      <c r="H251" s="257">
        <v>1</v>
      </c>
      <c r="I251" s="258">
        <v>48580</v>
      </c>
      <c r="J251" s="258"/>
      <c r="L251" s="257" t="s">
        <v>115</v>
      </c>
      <c r="P251" s="257" t="s">
        <v>137</v>
      </c>
      <c r="S251" s="257">
        <f t="shared" si="7"/>
        <v>2033</v>
      </c>
    </row>
    <row r="252" spans="1:19">
      <c r="A252" s="257" t="s">
        <v>110</v>
      </c>
      <c r="B252" s="257" t="s">
        <v>111</v>
      </c>
      <c r="C252" s="257" t="s">
        <v>117</v>
      </c>
      <c r="D252" s="257" t="s">
        <v>113</v>
      </c>
      <c r="E252" s="257">
        <v>47.74</v>
      </c>
      <c r="G252" s="257" t="s">
        <v>114</v>
      </c>
      <c r="H252" s="257">
        <v>1</v>
      </c>
      <c r="I252" s="258">
        <v>48945</v>
      </c>
      <c r="J252" s="258"/>
      <c r="L252" s="257" t="s">
        <v>115</v>
      </c>
      <c r="P252" s="257" t="s">
        <v>137</v>
      </c>
      <c r="S252" s="257">
        <f t="shared" si="7"/>
        <v>2034</v>
      </c>
    </row>
    <row r="253" spans="1:19">
      <c r="A253" s="257" t="s">
        <v>110</v>
      </c>
      <c r="B253" s="257" t="s">
        <v>111</v>
      </c>
      <c r="C253" s="257" t="s">
        <v>117</v>
      </c>
      <c r="D253" s="257" t="s">
        <v>113</v>
      </c>
      <c r="E253" s="257">
        <v>47.74</v>
      </c>
      <c r="G253" s="257" t="s">
        <v>114</v>
      </c>
      <c r="H253" s="257">
        <v>1</v>
      </c>
      <c r="I253" s="258">
        <v>49310</v>
      </c>
      <c r="J253" s="258"/>
      <c r="L253" s="257" t="s">
        <v>115</v>
      </c>
      <c r="P253" s="257" t="s">
        <v>137</v>
      </c>
      <c r="S253" s="257">
        <f t="shared" si="7"/>
        <v>2035</v>
      </c>
    </row>
    <row r="254" spans="1:19">
      <c r="A254" s="257" t="s">
        <v>110</v>
      </c>
      <c r="B254" s="257" t="s">
        <v>111</v>
      </c>
      <c r="C254" s="257" t="s">
        <v>117</v>
      </c>
      <c r="D254" s="257" t="s">
        <v>113</v>
      </c>
      <c r="E254" s="257">
        <v>49.06</v>
      </c>
      <c r="G254" s="257" t="s">
        <v>114</v>
      </c>
      <c r="H254" s="257">
        <v>1</v>
      </c>
      <c r="I254" s="258">
        <v>49675</v>
      </c>
      <c r="J254" s="258"/>
      <c r="L254" s="257" t="s">
        <v>115</v>
      </c>
      <c r="P254" s="257" t="s">
        <v>137</v>
      </c>
      <c r="S254" s="257">
        <f t="shared" si="7"/>
        <v>2036</v>
      </c>
    </row>
    <row r="255" spans="1:19">
      <c r="A255" s="257" t="s">
        <v>110</v>
      </c>
      <c r="B255" s="257" t="s">
        <v>111</v>
      </c>
      <c r="C255" s="257" t="s">
        <v>117</v>
      </c>
      <c r="D255" s="257" t="s">
        <v>113</v>
      </c>
      <c r="E255" s="257">
        <v>50.39</v>
      </c>
      <c r="G255" s="257" t="s">
        <v>114</v>
      </c>
      <c r="H255" s="257">
        <v>1</v>
      </c>
      <c r="I255" s="258">
        <v>50041</v>
      </c>
      <c r="J255" s="258"/>
      <c r="L255" s="257" t="s">
        <v>115</v>
      </c>
      <c r="P255" s="257" t="s">
        <v>137</v>
      </c>
      <c r="S255" s="257">
        <f t="shared" si="7"/>
        <v>2037</v>
      </c>
    </row>
    <row r="256" spans="1:19">
      <c r="A256" s="257" t="s">
        <v>110</v>
      </c>
      <c r="B256" s="257" t="s">
        <v>111</v>
      </c>
      <c r="C256" s="257" t="s">
        <v>117</v>
      </c>
      <c r="D256" s="257" t="s">
        <v>113</v>
      </c>
      <c r="E256" s="257">
        <v>51.71</v>
      </c>
      <c r="G256" s="257" t="s">
        <v>114</v>
      </c>
      <c r="H256" s="257">
        <v>1</v>
      </c>
      <c r="I256" s="258">
        <v>50406</v>
      </c>
      <c r="J256" s="258"/>
      <c r="L256" s="257" t="s">
        <v>115</v>
      </c>
      <c r="P256" s="257" t="s">
        <v>137</v>
      </c>
      <c r="S256" s="257">
        <f t="shared" si="7"/>
        <v>2038</v>
      </c>
    </row>
    <row r="257" spans="1:19">
      <c r="A257" s="257" t="s">
        <v>110</v>
      </c>
      <c r="B257" s="257" t="s">
        <v>111</v>
      </c>
      <c r="C257" s="257" t="s">
        <v>117</v>
      </c>
      <c r="D257" s="257" t="s">
        <v>113</v>
      </c>
      <c r="E257" s="257">
        <v>51.71</v>
      </c>
      <c r="G257" s="257" t="s">
        <v>114</v>
      </c>
      <c r="H257" s="257">
        <v>1</v>
      </c>
      <c r="I257" s="258">
        <v>50771</v>
      </c>
      <c r="J257" s="258"/>
      <c r="L257" s="257" t="s">
        <v>115</v>
      </c>
      <c r="P257" s="257" t="s">
        <v>137</v>
      </c>
      <c r="S257" s="257">
        <f t="shared" si="7"/>
        <v>2039</v>
      </c>
    </row>
    <row r="258" spans="1:19">
      <c r="A258" s="257" t="s">
        <v>110</v>
      </c>
      <c r="B258" s="257" t="s">
        <v>111</v>
      </c>
      <c r="C258" s="257" t="s">
        <v>117</v>
      </c>
      <c r="D258" s="257" t="s">
        <v>113</v>
      </c>
      <c r="E258" s="257">
        <v>53.04</v>
      </c>
      <c r="G258" s="257" t="s">
        <v>114</v>
      </c>
      <c r="H258" s="257">
        <v>1</v>
      </c>
      <c r="I258" s="258">
        <v>51136</v>
      </c>
      <c r="J258" s="258"/>
      <c r="L258" s="257" t="s">
        <v>115</v>
      </c>
      <c r="P258" s="257" t="s">
        <v>137</v>
      </c>
      <c r="S258" s="257">
        <f t="shared" si="7"/>
        <v>2040</v>
      </c>
    </row>
    <row r="259" spans="1:19">
      <c r="A259" s="257" t="s">
        <v>110</v>
      </c>
      <c r="B259" s="257" t="s">
        <v>111</v>
      </c>
      <c r="C259" s="257" t="s">
        <v>117</v>
      </c>
      <c r="D259" s="257" t="s">
        <v>113</v>
      </c>
      <c r="E259" s="257">
        <v>54.37</v>
      </c>
      <c r="G259" s="257" t="s">
        <v>114</v>
      </c>
      <c r="H259" s="257">
        <v>1</v>
      </c>
      <c r="I259" s="258">
        <v>51502</v>
      </c>
      <c r="J259" s="258"/>
      <c r="L259" s="257" t="s">
        <v>115</v>
      </c>
      <c r="P259" s="257" t="s">
        <v>137</v>
      </c>
      <c r="S259" s="257">
        <f t="shared" si="7"/>
        <v>2041</v>
      </c>
    </row>
    <row r="260" spans="1:19">
      <c r="A260" s="257" t="s">
        <v>110</v>
      </c>
      <c r="B260" s="257" t="s">
        <v>111</v>
      </c>
      <c r="C260" s="257" t="s">
        <v>117</v>
      </c>
      <c r="D260" s="257" t="s">
        <v>113</v>
      </c>
      <c r="E260" s="257">
        <v>55.69</v>
      </c>
      <c r="G260" s="257" t="s">
        <v>114</v>
      </c>
      <c r="H260" s="257">
        <v>1</v>
      </c>
      <c r="I260" s="258">
        <v>51867</v>
      </c>
      <c r="J260" s="258"/>
      <c r="L260" s="257" t="s">
        <v>115</v>
      </c>
      <c r="P260" s="257" t="s">
        <v>137</v>
      </c>
      <c r="S260" s="257">
        <f t="shared" si="7"/>
        <v>2042</v>
      </c>
    </row>
    <row r="261" spans="1:19">
      <c r="A261" s="257" t="s">
        <v>110</v>
      </c>
      <c r="B261" s="257" t="s">
        <v>111</v>
      </c>
      <c r="C261" s="257" t="s">
        <v>117</v>
      </c>
      <c r="D261" s="257" t="s">
        <v>113</v>
      </c>
      <c r="E261" s="257">
        <v>57.02</v>
      </c>
      <c r="G261" s="257" t="s">
        <v>114</v>
      </c>
      <c r="H261" s="257">
        <v>1</v>
      </c>
      <c r="I261" s="258">
        <v>52232</v>
      </c>
      <c r="J261" s="258"/>
      <c r="L261" s="257" t="s">
        <v>115</v>
      </c>
      <c r="P261" s="257" t="s">
        <v>137</v>
      </c>
      <c r="S261" s="257">
        <f t="shared" si="7"/>
        <v>2043</v>
      </c>
    </row>
    <row r="262" spans="1:19">
      <c r="A262" s="257" t="s">
        <v>110</v>
      </c>
      <c r="B262" s="257" t="s">
        <v>111</v>
      </c>
      <c r="C262" s="257" t="s">
        <v>117</v>
      </c>
      <c r="D262" s="257" t="s">
        <v>113</v>
      </c>
      <c r="E262" s="257">
        <v>57.02</v>
      </c>
      <c r="G262" s="257" t="s">
        <v>114</v>
      </c>
      <c r="H262" s="257">
        <v>1</v>
      </c>
      <c r="I262" s="258">
        <v>52597</v>
      </c>
      <c r="J262" s="258"/>
      <c r="L262" s="257" t="s">
        <v>115</v>
      </c>
      <c r="P262" s="257" t="s">
        <v>137</v>
      </c>
      <c r="S262" s="257">
        <f t="shared" si="7"/>
        <v>2044</v>
      </c>
    </row>
    <row r="263" spans="1:19">
      <c r="A263" s="257" t="s">
        <v>110</v>
      </c>
      <c r="B263" s="257" t="s">
        <v>111</v>
      </c>
      <c r="C263" s="257" t="s">
        <v>117</v>
      </c>
      <c r="D263" s="257" t="s">
        <v>113</v>
      </c>
      <c r="E263" s="257">
        <v>58.35</v>
      </c>
      <c r="G263" s="257" t="s">
        <v>114</v>
      </c>
      <c r="H263" s="257">
        <v>1</v>
      </c>
      <c r="I263" s="258">
        <v>52963</v>
      </c>
      <c r="J263" s="258"/>
      <c r="L263" s="257" t="s">
        <v>115</v>
      </c>
      <c r="P263" s="257" t="s">
        <v>137</v>
      </c>
      <c r="S263" s="257">
        <f t="shared" si="7"/>
        <v>2045</v>
      </c>
    </row>
    <row r="264" spans="1:19">
      <c r="A264" s="257" t="s">
        <v>110</v>
      </c>
      <c r="B264" s="257" t="s">
        <v>111</v>
      </c>
      <c r="C264" s="257" t="s">
        <v>117</v>
      </c>
      <c r="D264" s="257" t="s">
        <v>113</v>
      </c>
      <c r="E264" s="257">
        <v>59.67</v>
      </c>
      <c r="G264" s="257" t="s">
        <v>114</v>
      </c>
      <c r="H264" s="257">
        <v>1</v>
      </c>
      <c r="I264" s="258">
        <v>53328</v>
      </c>
      <c r="J264" s="258"/>
      <c r="L264" s="257" t="s">
        <v>115</v>
      </c>
      <c r="P264" s="257" t="s">
        <v>137</v>
      </c>
      <c r="S264" s="257">
        <f t="shared" si="7"/>
        <v>2046</v>
      </c>
    </row>
    <row r="265" spans="1:19">
      <c r="A265" s="257" t="s">
        <v>110</v>
      </c>
      <c r="B265" s="257" t="s">
        <v>111</v>
      </c>
      <c r="C265" s="257" t="s">
        <v>117</v>
      </c>
      <c r="D265" s="257" t="s">
        <v>113</v>
      </c>
      <c r="E265" s="257">
        <v>61</v>
      </c>
      <c r="G265" s="257" t="s">
        <v>114</v>
      </c>
      <c r="H265" s="257">
        <v>1</v>
      </c>
      <c r="I265" s="258">
        <v>53693</v>
      </c>
      <c r="J265" s="258"/>
      <c r="L265" s="257" t="s">
        <v>115</v>
      </c>
      <c r="P265" s="257" t="s">
        <v>137</v>
      </c>
      <c r="S265" s="257">
        <f t="shared" si="7"/>
        <v>2047</v>
      </c>
    </row>
    <row r="266" spans="1:19">
      <c r="A266" s="257" t="s">
        <v>110</v>
      </c>
      <c r="B266" s="257" t="s">
        <v>111</v>
      </c>
      <c r="C266" s="257" t="s">
        <v>117</v>
      </c>
      <c r="D266" s="257" t="s">
        <v>113</v>
      </c>
      <c r="E266" s="257">
        <v>61</v>
      </c>
      <c r="G266" s="257" t="s">
        <v>114</v>
      </c>
      <c r="H266" s="257">
        <v>1</v>
      </c>
      <c r="I266" s="258">
        <v>54058</v>
      </c>
      <c r="J266" s="258"/>
      <c r="L266" s="257" t="s">
        <v>115</v>
      </c>
      <c r="P266" s="257" t="s">
        <v>137</v>
      </c>
      <c r="S266" s="257">
        <f t="shared" si="7"/>
        <v>2048</v>
      </c>
    </row>
    <row r="267" spans="1:19">
      <c r="A267" s="257" t="s">
        <v>110</v>
      </c>
      <c r="B267" s="257" t="s">
        <v>111</v>
      </c>
      <c r="C267" s="257" t="s">
        <v>117</v>
      </c>
      <c r="D267" s="257" t="s">
        <v>113</v>
      </c>
      <c r="E267" s="257">
        <v>62.32</v>
      </c>
      <c r="G267" s="257" t="s">
        <v>114</v>
      </c>
      <c r="H267" s="257">
        <v>1</v>
      </c>
      <c r="I267" s="258">
        <v>54424</v>
      </c>
      <c r="J267" s="258"/>
      <c r="L267" s="257" t="s">
        <v>115</v>
      </c>
      <c r="P267" s="257" t="s">
        <v>137</v>
      </c>
      <c r="S267" s="257">
        <f t="shared" si="7"/>
        <v>2049</v>
      </c>
    </row>
    <row r="268" spans="1:19">
      <c r="A268" s="257" t="s">
        <v>110</v>
      </c>
      <c r="B268" s="257" t="s">
        <v>111</v>
      </c>
      <c r="C268" s="257" t="s">
        <v>117</v>
      </c>
      <c r="D268" s="257" t="s">
        <v>113</v>
      </c>
      <c r="E268" s="257">
        <v>63.65</v>
      </c>
      <c r="G268" s="257" t="s">
        <v>114</v>
      </c>
      <c r="H268" s="257">
        <v>1</v>
      </c>
      <c r="I268" s="258">
        <v>54789</v>
      </c>
      <c r="J268" s="258"/>
      <c r="L268" s="257" t="s">
        <v>115</v>
      </c>
      <c r="P268" s="257" t="s">
        <v>137</v>
      </c>
      <c r="S268" s="257">
        <f t="shared" si="7"/>
        <v>2050</v>
      </c>
    </row>
    <row r="269" spans="1:19">
      <c r="A269" s="257" t="s">
        <v>110</v>
      </c>
      <c r="B269" s="257" t="s">
        <v>111</v>
      </c>
      <c r="C269" s="257" t="s">
        <v>117</v>
      </c>
      <c r="D269" s="257" t="s">
        <v>113</v>
      </c>
      <c r="E269" s="257">
        <v>63.65</v>
      </c>
      <c r="G269" s="257" t="s">
        <v>114</v>
      </c>
      <c r="H269" s="257">
        <v>1</v>
      </c>
      <c r="I269" s="258">
        <v>55154</v>
      </c>
      <c r="J269" s="258"/>
      <c r="L269" s="257" t="s">
        <v>115</v>
      </c>
      <c r="P269" s="257" t="s">
        <v>137</v>
      </c>
      <c r="S269" s="257">
        <f t="shared" si="7"/>
        <v>2051</v>
      </c>
    </row>
    <row r="270" spans="1:19">
      <c r="A270" s="257" t="s">
        <v>110</v>
      </c>
      <c r="B270" s="257" t="s">
        <v>111</v>
      </c>
      <c r="C270" s="257" t="s">
        <v>117</v>
      </c>
      <c r="D270" s="257" t="s">
        <v>113</v>
      </c>
      <c r="E270" s="257">
        <v>64.98</v>
      </c>
      <c r="G270" s="257" t="s">
        <v>114</v>
      </c>
      <c r="H270" s="257">
        <v>1</v>
      </c>
      <c r="I270" s="258">
        <v>55519</v>
      </c>
      <c r="J270" s="258"/>
      <c r="L270" s="257" t="s">
        <v>115</v>
      </c>
      <c r="P270" s="257" t="s">
        <v>137</v>
      </c>
      <c r="S270" s="257">
        <f t="shared" si="7"/>
        <v>2052</v>
      </c>
    </row>
    <row r="271" spans="1:19">
      <c r="A271" s="257" t="s">
        <v>110</v>
      </c>
      <c r="B271" s="257" t="s">
        <v>111</v>
      </c>
      <c r="C271" s="257" t="s">
        <v>117</v>
      </c>
      <c r="D271" s="257" t="s">
        <v>113</v>
      </c>
      <c r="E271" s="257">
        <v>66.3</v>
      </c>
      <c r="G271" s="257" t="s">
        <v>114</v>
      </c>
      <c r="H271" s="257">
        <v>1</v>
      </c>
      <c r="I271" s="258">
        <v>55885</v>
      </c>
      <c r="J271" s="258"/>
      <c r="L271" s="257" t="s">
        <v>115</v>
      </c>
      <c r="P271" s="257" t="s">
        <v>137</v>
      </c>
      <c r="S271" s="257">
        <f t="shared" si="7"/>
        <v>2053</v>
      </c>
    </row>
    <row r="272" spans="1:19">
      <c r="A272" s="257" t="s">
        <v>110</v>
      </c>
      <c r="B272" s="257" t="s">
        <v>111</v>
      </c>
      <c r="C272" s="257" t="s">
        <v>117</v>
      </c>
      <c r="D272" s="257" t="s">
        <v>113</v>
      </c>
      <c r="E272" s="257">
        <v>67.63</v>
      </c>
      <c r="G272" s="257" t="s">
        <v>114</v>
      </c>
      <c r="H272" s="257">
        <v>1</v>
      </c>
      <c r="I272" s="258">
        <v>56250</v>
      </c>
      <c r="J272" s="258"/>
      <c r="L272" s="257" t="s">
        <v>115</v>
      </c>
      <c r="P272" s="257" t="s">
        <v>137</v>
      </c>
      <c r="S272" s="257">
        <f t="shared" si="7"/>
        <v>2054</v>
      </c>
    </row>
    <row r="274" spans="1:22" s="255" customFormat="1">
      <c r="A274" s="255" t="s">
        <v>94</v>
      </c>
      <c r="B274" s="255" t="s">
        <v>95</v>
      </c>
      <c r="C274" s="255" t="s">
        <v>96</v>
      </c>
      <c r="D274" s="255" t="s">
        <v>97</v>
      </c>
      <c r="E274" s="255" t="s">
        <v>98</v>
      </c>
      <c r="F274" s="255" t="s">
        <v>99</v>
      </c>
      <c r="G274" s="255" t="s">
        <v>100</v>
      </c>
      <c r="H274" s="255" t="s">
        <v>101</v>
      </c>
      <c r="I274" s="255" t="s">
        <v>102</v>
      </c>
      <c r="J274" s="255" t="s">
        <v>103</v>
      </c>
      <c r="K274" s="255" t="s">
        <v>104</v>
      </c>
      <c r="L274" s="255" t="s">
        <v>105</v>
      </c>
      <c r="M274" s="255" t="s">
        <v>106</v>
      </c>
      <c r="N274" s="255" t="s">
        <v>107</v>
      </c>
      <c r="O274" s="255" t="s">
        <v>108</v>
      </c>
      <c r="P274" s="255" t="s">
        <v>109</v>
      </c>
      <c r="S274" s="255" t="s">
        <v>0</v>
      </c>
    </row>
    <row r="275" spans="1:22">
      <c r="A275" s="257" t="s">
        <v>110</v>
      </c>
      <c r="B275" s="257" t="s">
        <v>111</v>
      </c>
      <c r="C275" s="257" t="s">
        <v>112</v>
      </c>
      <c r="D275" s="257" t="s">
        <v>113</v>
      </c>
      <c r="E275" s="257">
        <v>1</v>
      </c>
      <c r="G275" s="257" t="s">
        <v>114</v>
      </c>
      <c r="H275" s="257">
        <v>1</v>
      </c>
      <c r="I275" s="258">
        <v>45292</v>
      </c>
      <c r="J275" s="258"/>
      <c r="L275" s="257" t="s">
        <v>115</v>
      </c>
      <c r="O275" s="257" t="s">
        <v>192</v>
      </c>
      <c r="P275" s="257" t="s">
        <v>114</v>
      </c>
      <c r="S275" s="257">
        <f>YEAR(I275)</f>
        <v>2024</v>
      </c>
    </row>
    <row r="276" spans="1:22">
      <c r="A276" s="257" t="s">
        <v>110</v>
      </c>
      <c r="B276" s="257" t="s">
        <v>111</v>
      </c>
      <c r="C276" s="257" t="s">
        <v>112</v>
      </c>
      <c r="D276" s="257" t="s">
        <v>113</v>
      </c>
      <c r="E276" s="257">
        <v>1.0218</v>
      </c>
      <c r="G276" s="257" t="s">
        <v>114</v>
      </c>
      <c r="H276" s="257">
        <v>1</v>
      </c>
      <c r="I276" s="258">
        <v>45658</v>
      </c>
      <c r="J276" s="258"/>
      <c r="L276" s="257" t="s">
        <v>115</v>
      </c>
      <c r="O276" s="257" t="s">
        <v>192</v>
      </c>
      <c r="P276" s="257" t="s">
        <v>114</v>
      </c>
      <c r="S276" s="257">
        <f t="shared" ref="S276:S298" si="8">YEAR(I276)</f>
        <v>2025</v>
      </c>
      <c r="V276" s="257">
        <f>E276/E275-1</f>
        <v>2.1800000000000042E-2</v>
      </c>
    </row>
    <row r="277" spans="1:22">
      <c r="A277" s="257" t="s">
        <v>110</v>
      </c>
      <c r="B277" s="257" t="s">
        <v>111</v>
      </c>
      <c r="C277" s="257" t="s">
        <v>112</v>
      </c>
      <c r="D277" s="257" t="s">
        <v>113</v>
      </c>
      <c r="E277" s="257">
        <v>1.04407524</v>
      </c>
      <c r="G277" s="257" t="s">
        <v>114</v>
      </c>
      <c r="H277" s="257">
        <v>1</v>
      </c>
      <c r="I277" s="258">
        <v>46023</v>
      </c>
      <c r="J277" s="258"/>
      <c r="L277" s="257" t="s">
        <v>115</v>
      </c>
      <c r="O277" s="257" t="s">
        <v>192</v>
      </c>
      <c r="P277" s="257" t="s">
        <v>114</v>
      </c>
      <c r="S277" s="257">
        <f t="shared" si="8"/>
        <v>2026</v>
      </c>
      <c r="V277" s="257">
        <f>E277/E276-1</f>
        <v>2.179999999999982E-2</v>
      </c>
    </row>
    <row r="278" spans="1:22">
      <c r="A278" s="257" t="s">
        <v>110</v>
      </c>
      <c r="B278" s="257" t="s">
        <v>111</v>
      </c>
      <c r="C278" s="257" t="s">
        <v>112</v>
      </c>
      <c r="D278" s="257" t="s">
        <v>113</v>
      </c>
      <c r="E278" s="257">
        <v>1.0668360800000001</v>
      </c>
      <c r="G278" s="257" t="s">
        <v>114</v>
      </c>
      <c r="H278" s="257">
        <v>1</v>
      </c>
      <c r="I278" s="258">
        <v>46388</v>
      </c>
      <c r="J278" s="258"/>
      <c r="L278" s="257" t="s">
        <v>115</v>
      </c>
      <c r="O278" s="257" t="s">
        <v>192</v>
      </c>
      <c r="P278" s="257" t="s">
        <v>114</v>
      </c>
      <c r="S278" s="257">
        <f t="shared" si="8"/>
        <v>2027</v>
      </c>
      <c r="V278" s="257">
        <f t="shared" ref="V278:V298" si="9">E278/E277-1</f>
        <v>2.179999977779401E-2</v>
      </c>
    </row>
    <row r="279" spans="1:22">
      <c r="A279" s="257" t="s">
        <v>110</v>
      </c>
      <c r="B279" s="257" t="s">
        <v>111</v>
      </c>
      <c r="C279" s="257" t="s">
        <v>112</v>
      </c>
      <c r="D279" s="257" t="s">
        <v>113</v>
      </c>
      <c r="E279" s="257">
        <v>1.090093107</v>
      </c>
      <c r="G279" s="257" t="s">
        <v>114</v>
      </c>
      <c r="H279" s="257">
        <v>1</v>
      </c>
      <c r="I279" s="258">
        <v>46753</v>
      </c>
      <c r="J279" s="258"/>
      <c r="L279" s="257" t="s">
        <v>115</v>
      </c>
      <c r="O279" s="257" t="s">
        <v>192</v>
      </c>
      <c r="P279" s="257" t="s">
        <v>114</v>
      </c>
      <c r="S279" s="257">
        <f t="shared" si="8"/>
        <v>2028</v>
      </c>
      <c r="V279" s="257">
        <f t="shared" si="9"/>
        <v>2.1800000427431909E-2</v>
      </c>
    </row>
    <row r="280" spans="1:22">
      <c r="A280" s="257" t="s">
        <v>110</v>
      </c>
      <c r="B280" s="257" t="s">
        <v>111</v>
      </c>
      <c r="C280" s="257" t="s">
        <v>112</v>
      </c>
      <c r="D280" s="257" t="s">
        <v>113</v>
      </c>
      <c r="E280" s="257">
        <v>1.1138571370000001</v>
      </c>
      <c r="G280" s="257" t="s">
        <v>114</v>
      </c>
      <c r="H280" s="257">
        <v>1</v>
      </c>
      <c r="I280" s="258">
        <v>47119</v>
      </c>
      <c r="J280" s="258"/>
      <c r="L280" s="257" t="s">
        <v>115</v>
      </c>
      <c r="O280" s="257" t="s">
        <v>192</v>
      </c>
      <c r="P280" s="257" t="s">
        <v>114</v>
      </c>
      <c r="S280" s="257">
        <f t="shared" si="8"/>
        <v>2029</v>
      </c>
      <c r="V280" s="257">
        <f t="shared" si="9"/>
        <v>2.1800000245300266E-2</v>
      </c>
    </row>
    <row r="281" spans="1:22">
      <c r="A281" s="257" t="s">
        <v>110</v>
      </c>
      <c r="B281" s="257" t="s">
        <v>111</v>
      </c>
      <c r="C281" s="257" t="s">
        <v>112</v>
      </c>
      <c r="D281" s="257" t="s">
        <v>113</v>
      </c>
      <c r="E281" s="257">
        <v>1.138139222</v>
      </c>
      <c r="G281" s="257" t="s">
        <v>114</v>
      </c>
      <c r="H281" s="257">
        <v>1</v>
      </c>
      <c r="I281" s="258">
        <v>47484</v>
      </c>
      <c r="J281" s="258"/>
      <c r="L281" s="257" t="s">
        <v>115</v>
      </c>
      <c r="O281" s="257" t="s">
        <v>192</v>
      </c>
      <c r="P281" s="257" t="s">
        <v>114</v>
      </c>
      <c r="S281" s="257">
        <f t="shared" si="8"/>
        <v>2030</v>
      </c>
      <c r="V281" s="257">
        <f t="shared" si="9"/>
        <v>2.1799999473361309E-2</v>
      </c>
    </row>
    <row r="282" spans="1:22">
      <c r="A282" s="257" t="s">
        <v>110</v>
      </c>
      <c r="B282" s="257" t="s">
        <v>111</v>
      </c>
      <c r="C282" s="257" t="s">
        <v>112</v>
      </c>
      <c r="D282" s="257" t="s">
        <v>113</v>
      </c>
      <c r="E282" s="257">
        <v>1.1629506570000001</v>
      </c>
      <c r="G282" s="257" t="s">
        <v>114</v>
      </c>
      <c r="H282" s="257">
        <v>1</v>
      </c>
      <c r="I282" s="258">
        <v>47849</v>
      </c>
      <c r="J282" s="258"/>
      <c r="L282" s="257" t="s">
        <v>115</v>
      </c>
      <c r="O282" s="257" t="s">
        <v>192</v>
      </c>
      <c r="P282" s="257" t="s">
        <v>114</v>
      </c>
      <c r="S282" s="257">
        <f t="shared" si="8"/>
        <v>2031</v>
      </c>
      <c r="V282" s="257">
        <f t="shared" si="9"/>
        <v>2.179999996520654E-2</v>
      </c>
    </row>
    <row r="283" spans="1:22">
      <c r="A283" s="257" t="s">
        <v>110</v>
      </c>
      <c r="B283" s="257" t="s">
        <v>111</v>
      </c>
      <c r="C283" s="257" t="s">
        <v>112</v>
      </c>
      <c r="D283" s="257" t="s">
        <v>113</v>
      </c>
      <c r="E283" s="257">
        <v>1.1883029810000001</v>
      </c>
      <c r="G283" s="257" t="s">
        <v>114</v>
      </c>
      <c r="H283" s="257">
        <v>1</v>
      </c>
      <c r="I283" s="258">
        <v>48214</v>
      </c>
      <c r="J283" s="258"/>
      <c r="L283" s="257" t="s">
        <v>115</v>
      </c>
      <c r="O283" s="257" t="s">
        <v>192</v>
      </c>
      <c r="P283" s="257" t="s">
        <v>114</v>
      </c>
      <c r="S283" s="257">
        <f t="shared" si="8"/>
        <v>2032</v>
      </c>
      <c r="V283" s="257">
        <f t="shared" si="9"/>
        <v>2.1799999722602159E-2</v>
      </c>
    </row>
    <row r="284" spans="1:22">
      <c r="A284" s="257" t="s">
        <v>110</v>
      </c>
      <c r="B284" s="257" t="s">
        <v>111</v>
      </c>
      <c r="C284" s="257" t="s">
        <v>112</v>
      </c>
      <c r="D284" s="257" t="s">
        <v>113</v>
      </c>
      <c r="E284" s="257">
        <v>1.2142079859999999</v>
      </c>
      <c r="G284" s="257" t="s">
        <v>114</v>
      </c>
      <c r="H284" s="257">
        <v>1</v>
      </c>
      <c r="I284" s="258">
        <v>48580</v>
      </c>
      <c r="J284" s="258"/>
      <c r="L284" s="257" t="s">
        <v>115</v>
      </c>
      <c r="O284" s="257" t="s">
        <v>192</v>
      </c>
      <c r="P284" s="257" t="s">
        <v>114</v>
      </c>
      <c r="S284" s="257">
        <f t="shared" si="8"/>
        <v>2033</v>
      </c>
      <c r="V284" s="257">
        <f t="shared" si="9"/>
        <v>2.1800000011949594E-2</v>
      </c>
    </row>
    <row r="285" spans="1:22">
      <c r="A285" s="257" t="s">
        <v>110</v>
      </c>
      <c r="B285" s="257" t="s">
        <v>111</v>
      </c>
      <c r="C285" s="257" t="s">
        <v>112</v>
      </c>
      <c r="D285" s="257" t="s">
        <v>113</v>
      </c>
      <c r="E285" s="257">
        <v>1.240677721</v>
      </c>
      <c r="G285" s="257" t="s">
        <v>114</v>
      </c>
      <c r="H285" s="257">
        <v>1</v>
      </c>
      <c r="I285" s="258">
        <v>48945</v>
      </c>
      <c r="J285" s="258"/>
      <c r="L285" s="257" t="s">
        <v>115</v>
      </c>
      <c r="O285" s="257" t="s">
        <v>192</v>
      </c>
      <c r="P285" s="257" t="s">
        <v>114</v>
      </c>
      <c r="S285" s="257">
        <f t="shared" si="8"/>
        <v>2034</v>
      </c>
      <c r="V285" s="257">
        <f t="shared" si="9"/>
        <v>2.1800000745506587E-2</v>
      </c>
    </row>
    <row r="286" spans="1:22">
      <c r="A286" s="257" t="s">
        <v>110</v>
      </c>
      <c r="B286" s="257" t="s">
        <v>111</v>
      </c>
      <c r="C286" s="257" t="s">
        <v>112</v>
      </c>
      <c r="D286" s="257" t="s">
        <v>113</v>
      </c>
      <c r="E286" s="257">
        <v>1.267724495</v>
      </c>
      <c r="G286" s="257" t="s">
        <v>114</v>
      </c>
      <c r="H286" s="257">
        <v>1</v>
      </c>
      <c r="I286" s="258">
        <v>49310</v>
      </c>
      <c r="J286" s="258"/>
      <c r="L286" s="257" t="s">
        <v>115</v>
      </c>
      <c r="O286" s="257" t="s">
        <v>192</v>
      </c>
      <c r="P286" s="257" t="s">
        <v>114</v>
      </c>
      <c r="S286" s="257">
        <f t="shared" si="8"/>
        <v>2035</v>
      </c>
      <c r="V286" s="257">
        <f t="shared" si="9"/>
        <v>2.1799999743849607E-2</v>
      </c>
    </row>
    <row r="287" spans="1:22">
      <c r="A287" s="257" t="s">
        <v>110</v>
      </c>
      <c r="B287" s="257" t="s">
        <v>111</v>
      </c>
      <c r="C287" s="257" t="s">
        <v>112</v>
      </c>
      <c r="D287" s="257" t="s">
        <v>113</v>
      </c>
      <c r="E287" s="257">
        <v>1.2953608889999999</v>
      </c>
      <c r="G287" s="257" t="s">
        <v>114</v>
      </c>
      <c r="H287" s="257">
        <v>1</v>
      </c>
      <c r="I287" s="258">
        <v>49675</v>
      </c>
      <c r="J287" s="258"/>
      <c r="L287" s="257" t="s">
        <v>115</v>
      </c>
      <c r="O287" s="257" t="s">
        <v>192</v>
      </c>
      <c r="P287" s="257" t="s">
        <v>114</v>
      </c>
      <c r="S287" s="257">
        <f t="shared" si="8"/>
        <v>2036</v>
      </c>
      <c r="V287" s="257">
        <f t="shared" si="9"/>
        <v>2.1800000007099252E-2</v>
      </c>
    </row>
    <row r="288" spans="1:22">
      <c r="A288" s="257" t="s">
        <v>110</v>
      </c>
      <c r="B288" s="257" t="s">
        <v>111</v>
      </c>
      <c r="C288" s="257" t="s">
        <v>112</v>
      </c>
      <c r="D288" s="257" t="s">
        <v>113</v>
      </c>
      <c r="E288" s="257">
        <v>1.3235997559999999</v>
      </c>
      <c r="G288" s="257" t="s">
        <v>114</v>
      </c>
      <c r="H288" s="257">
        <v>1</v>
      </c>
      <c r="I288" s="258">
        <v>50041</v>
      </c>
      <c r="J288" s="258"/>
      <c r="L288" s="257" t="s">
        <v>115</v>
      </c>
      <c r="O288" s="257" t="s">
        <v>192</v>
      </c>
      <c r="P288" s="257" t="s">
        <v>114</v>
      </c>
      <c r="S288" s="257">
        <f t="shared" si="8"/>
        <v>2037</v>
      </c>
      <c r="V288" s="257">
        <f t="shared" si="9"/>
        <v>2.1799999706491047E-2</v>
      </c>
    </row>
    <row r="289" spans="1:22">
      <c r="A289" s="257" t="s">
        <v>110</v>
      </c>
      <c r="B289" s="257" t="s">
        <v>111</v>
      </c>
      <c r="C289" s="257" t="s">
        <v>112</v>
      </c>
      <c r="D289" s="257" t="s">
        <v>113</v>
      </c>
      <c r="E289" s="257">
        <v>1.3524542310000001</v>
      </c>
      <c r="G289" s="257" t="s">
        <v>114</v>
      </c>
      <c r="H289" s="257">
        <v>1</v>
      </c>
      <c r="I289" s="258">
        <v>50406</v>
      </c>
      <c r="J289" s="258"/>
      <c r="L289" s="257" t="s">
        <v>115</v>
      </c>
      <c r="O289" s="257" t="s">
        <v>192</v>
      </c>
      <c r="P289" s="257" t="s">
        <v>114</v>
      </c>
      <c r="S289" s="257">
        <f t="shared" si="8"/>
        <v>2038</v>
      </c>
      <c r="V289" s="257">
        <f t="shared" si="9"/>
        <v>2.1800000241160689E-2</v>
      </c>
    </row>
    <row r="290" spans="1:22">
      <c r="A290" s="257" t="s">
        <v>110</v>
      </c>
      <c r="B290" s="257" t="s">
        <v>111</v>
      </c>
      <c r="C290" s="257" t="s">
        <v>112</v>
      </c>
      <c r="D290" s="257" t="s">
        <v>113</v>
      </c>
      <c r="E290" s="257">
        <v>1.381937733</v>
      </c>
      <c r="G290" s="257" t="s">
        <v>114</v>
      </c>
      <c r="H290" s="257">
        <v>1</v>
      </c>
      <c r="I290" s="258">
        <v>50771</v>
      </c>
      <c r="J290" s="258"/>
      <c r="L290" s="257" t="s">
        <v>115</v>
      </c>
      <c r="O290" s="257" t="s">
        <v>192</v>
      </c>
      <c r="P290" s="257" t="s">
        <v>114</v>
      </c>
      <c r="S290" s="257">
        <f t="shared" si="8"/>
        <v>2039</v>
      </c>
      <c r="V290" s="257">
        <f t="shared" si="9"/>
        <v>2.1799999825650174E-2</v>
      </c>
    </row>
    <row r="291" spans="1:22">
      <c r="A291" s="257" t="s">
        <v>110</v>
      </c>
      <c r="B291" s="257" t="s">
        <v>111</v>
      </c>
      <c r="C291" s="257" t="s">
        <v>112</v>
      </c>
      <c r="D291" s="257" t="s">
        <v>113</v>
      </c>
      <c r="E291" s="257">
        <v>1.412063976</v>
      </c>
      <c r="G291" s="257" t="s">
        <v>114</v>
      </c>
      <c r="H291" s="257">
        <v>1</v>
      </c>
      <c r="I291" s="258">
        <v>51136</v>
      </c>
      <c r="J291" s="258"/>
      <c r="L291" s="257" t="s">
        <v>115</v>
      </c>
      <c r="O291" s="257" t="s">
        <v>192</v>
      </c>
      <c r="P291" s="257" t="s">
        <v>114</v>
      </c>
      <c r="S291" s="257">
        <f t="shared" si="8"/>
        <v>2040</v>
      </c>
      <c r="V291" s="257">
        <f t="shared" si="9"/>
        <v>2.1800000304355249E-2</v>
      </c>
    </row>
    <row r="292" spans="1:22">
      <c r="A292" s="257" t="s">
        <v>110</v>
      </c>
      <c r="B292" s="257" t="s">
        <v>111</v>
      </c>
      <c r="C292" s="257" t="s">
        <v>112</v>
      </c>
      <c r="D292" s="257" t="s">
        <v>113</v>
      </c>
      <c r="E292" s="257">
        <v>1.44284697</v>
      </c>
      <c r="G292" s="257" t="s">
        <v>114</v>
      </c>
      <c r="H292" s="257">
        <v>1</v>
      </c>
      <c r="I292" s="258">
        <v>51502</v>
      </c>
      <c r="J292" s="258"/>
      <c r="L292" s="257" t="s">
        <v>115</v>
      </c>
      <c r="O292" s="257" t="s">
        <v>192</v>
      </c>
      <c r="P292" s="257" t="s">
        <v>114</v>
      </c>
      <c r="S292" s="257">
        <f t="shared" si="8"/>
        <v>2041</v>
      </c>
      <c r="V292" s="257">
        <f t="shared" si="9"/>
        <v>2.1799999520701663E-2</v>
      </c>
    </row>
    <row r="293" spans="1:22">
      <c r="A293" s="257" t="s">
        <v>110</v>
      </c>
      <c r="B293" s="257" t="s">
        <v>111</v>
      </c>
      <c r="C293" s="257" t="s">
        <v>112</v>
      </c>
      <c r="D293" s="257" t="s">
        <v>113</v>
      </c>
      <c r="E293" s="257">
        <v>1.474301034</v>
      </c>
      <c r="G293" s="257" t="s">
        <v>114</v>
      </c>
      <c r="H293" s="257">
        <v>1</v>
      </c>
      <c r="I293" s="258">
        <v>51867</v>
      </c>
      <c r="J293" s="258"/>
      <c r="L293" s="257" t="s">
        <v>115</v>
      </c>
      <c r="O293" s="257" t="s">
        <v>192</v>
      </c>
      <c r="P293" s="257" t="s">
        <v>114</v>
      </c>
      <c r="S293" s="257">
        <f t="shared" si="8"/>
        <v>2042</v>
      </c>
      <c r="V293" s="257">
        <f t="shared" si="9"/>
        <v>2.1800000037426104E-2</v>
      </c>
    </row>
    <row r="294" spans="1:22">
      <c r="A294" s="257" t="s">
        <v>110</v>
      </c>
      <c r="B294" s="257" t="s">
        <v>111</v>
      </c>
      <c r="C294" s="257" t="s">
        <v>112</v>
      </c>
      <c r="D294" s="257" t="s">
        <v>113</v>
      </c>
      <c r="E294" s="257">
        <v>1.506440797</v>
      </c>
      <c r="G294" s="257" t="s">
        <v>114</v>
      </c>
      <c r="H294" s="257">
        <v>1</v>
      </c>
      <c r="I294" s="258">
        <v>52232</v>
      </c>
      <c r="J294" s="258"/>
      <c r="L294" s="257" t="s">
        <v>115</v>
      </c>
      <c r="O294" s="257" t="s">
        <v>192</v>
      </c>
      <c r="P294" s="257" t="s">
        <v>114</v>
      </c>
      <c r="S294" s="257">
        <f t="shared" si="8"/>
        <v>2043</v>
      </c>
      <c r="V294" s="257">
        <f t="shared" si="9"/>
        <v>2.180000031119822E-2</v>
      </c>
    </row>
    <row r="295" spans="1:22">
      <c r="A295" s="257" t="s">
        <v>110</v>
      </c>
      <c r="B295" s="257" t="s">
        <v>111</v>
      </c>
      <c r="C295" s="257" t="s">
        <v>112</v>
      </c>
      <c r="D295" s="257" t="s">
        <v>113</v>
      </c>
      <c r="E295" s="257">
        <v>1.5392812060000001</v>
      </c>
      <c r="G295" s="257" t="s">
        <v>114</v>
      </c>
      <c r="H295" s="257">
        <v>1</v>
      </c>
      <c r="I295" s="258">
        <v>52597</v>
      </c>
      <c r="J295" s="258"/>
      <c r="L295" s="257" t="s">
        <v>115</v>
      </c>
      <c r="O295" s="257" t="s">
        <v>192</v>
      </c>
      <c r="P295" s="257" t="s">
        <v>114</v>
      </c>
      <c r="S295" s="257">
        <f t="shared" si="8"/>
        <v>2044</v>
      </c>
      <c r="V295" s="257">
        <f t="shared" si="9"/>
        <v>2.1799999751334509E-2</v>
      </c>
    </row>
    <row r="296" spans="1:22">
      <c r="A296" s="257" t="s">
        <v>110</v>
      </c>
      <c r="B296" s="257" t="s">
        <v>111</v>
      </c>
      <c r="C296" s="257" t="s">
        <v>112</v>
      </c>
      <c r="D296" s="257" t="s">
        <v>113</v>
      </c>
      <c r="E296" s="257">
        <v>1.5728375370000001</v>
      </c>
      <c r="G296" s="257" t="s">
        <v>114</v>
      </c>
      <c r="H296" s="257">
        <v>1</v>
      </c>
      <c r="I296" s="258">
        <v>52963</v>
      </c>
      <c r="J296" s="258"/>
      <c r="L296" s="257" t="s">
        <v>115</v>
      </c>
      <c r="O296" s="257" t="s">
        <v>192</v>
      </c>
      <c r="P296" s="257" t="s">
        <v>114</v>
      </c>
      <c r="S296" s="257">
        <f t="shared" si="8"/>
        <v>2045</v>
      </c>
      <c r="V296" s="257">
        <f t="shared" si="9"/>
        <v>2.1800000460734603E-2</v>
      </c>
    </row>
    <row r="297" spans="1:22">
      <c r="A297" s="257" t="s">
        <v>110</v>
      </c>
      <c r="B297" s="257" t="s">
        <v>111</v>
      </c>
      <c r="C297" s="257" t="s">
        <v>112</v>
      </c>
      <c r="D297" s="257" t="s">
        <v>113</v>
      </c>
      <c r="E297" s="257">
        <v>1.607125395</v>
      </c>
      <c r="G297" s="257" t="s">
        <v>114</v>
      </c>
      <c r="H297" s="257">
        <v>1</v>
      </c>
      <c r="I297" s="258">
        <v>53328</v>
      </c>
      <c r="J297" s="258"/>
      <c r="L297" s="257" t="s">
        <v>115</v>
      </c>
      <c r="O297" s="257" t="s">
        <v>192</v>
      </c>
      <c r="P297" s="257" t="s">
        <v>114</v>
      </c>
      <c r="S297" s="257">
        <f t="shared" si="8"/>
        <v>2046</v>
      </c>
      <c r="V297" s="257">
        <f t="shared" si="9"/>
        <v>2.1799999805065529E-2</v>
      </c>
    </row>
    <row r="298" spans="1:22">
      <c r="A298" s="257" t="s">
        <v>110</v>
      </c>
      <c r="B298" s="257" t="s">
        <v>111</v>
      </c>
      <c r="C298" s="257" t="s">
        <v>112</v>
      </c>
      <c r="D298" s="257" t="s">
        <v>113</v>
      </c>
      <c r="E298" s="257">
        <v>1.6421607279999999</v>
      </c>
      <c r="G298" s="257" t="s">
        <v>114</v>
      </c>
      <c r="H298" s="257">
        <v>1</v>
      </c>
      <c r="I298" s="258">
        <v>53693</v>
      </c>
      <c r="J298" s="258"/>
      <c r="L298" s="257" t="s">
        <v>115</v>
      </c>
      <c r="O298" s="257" t="s">
        <v>192</v>
      </c>
      <c r="P298" s="257" t="s">
        <v>114</v>
      </c>
      <c r="S298" s="257">
        <f t="shared" si="8"/>
        <v>2047</v>
      </c>
      <c r="V298" s="257">
        <f t="shared" si="9"/>
        <v>2.1799999619818156E-2</v>
      </c>
    </row>
    <row r="301" spans="1:22">
      <c r="A301" t="s">
        <v>194</v>
      </c>
      <c r="B301"/>
      <c r="C301" s="278">
        <v>6.3799999999999996E-2</v>
      </c>
    </row>
    <row r="303" spans="1:22" s="255" customFormat="1">
      <c r="A303" s="255" t="s">
        <v>94</v>
      </c>
      <c r="B303" s="255" t="s">
        <v>95</v>
      </c>
      <c r="C303" s="255" t="s">
        <v>96</v>
      </c>
      <c r="D303" s="255" t="s">
        <v>97</v>
      </c>
      <c r="E303" s="255" t="s">
        <v>98</v>
      </c>
      <c r="F303" s="255" t="s">
        <v>99</v>
      </c>
      <c r="G303" s="255" t="s">
        <v>100</v>
      </c>
      <c r="H303" s="255" t="s">
        <v>101</v>
      </c>
      <c r="I303" s="255" t="s">
        <v>102</v>
      </c>
      <c r="J303" s="255" t="s">
        <v>103</v>
      </c>
      <c r="K303" s="255" t="s">
        <v>104</v>
      </c>
      <c r="L303" s="255" t="s">
        <v>105</v>
      </c>
      <c r="M303" s="255" t="s">
        <v>106</v>
      </c>
      <c r="N303" s="255" t="s">
        <v>107</v>
      </c>
      <c r="O303" s="255" t="s">
        <v>108</v>
      </c>
      <c r="P303" s="255" t="s">
        <v>109</v>
      </c>
    </row>
    <row r="304" spans="1:22">
      <c r="A304" s="257" t="s">
        <v>142</v>
      </c>
      <c r="B304" s="257" t="s">
        <v>111</v>
      </c>
      <c r="C304" s="257" t="s">
        <v>197</v>
      </c>
      <c r="D304" s="257" t="s">
        <v>198</v>
      </c>
      <c r="E304" s="257">
        <v>0</v>
      </c>
      <c r="G304" s="257" t="s">
        <v>31</v>
      </c>
      <c r="H304" s="257">
        <v>1</v>
      </c>
      <c r="L304" s="257" t="s">
        <v>145</v>
      </c>
      <c r="M304" s="257" t="s">
        <v>112</v>
      </c>
      <c r="P304" s="257" t="s">
        <v>199</v>
      </c>
    </row>
    <row r="305" spans="1:16">
      <c r="A305" s="257" t="s">
        <v>142</v>
      </c>
      <c r="B305" s="257" t="s">
        <v>111</v>
      </c>
      <c r="C305" s="257" t="s">
        <v>200</v>
      </c>
      <c r="D305" s="257" t="s">
        <v>198</v>
      </c>
      <c r="E305" s="257">
        <v>0</v>
      </c>
      <c r="G305" s="257" t="s">
        <v>31</v>
      </c>
      <c r="H305" s="257">
        <v>1</v>
      </c>
      <c r="L305" s="257" t="s">
        <v>114</v>
      </c>
      <c r="M305" s="257" t="s">
        <v>118</v>
      </c>
      <c r="P305" s="257" t="s">
        <v>199</v>
      </c>
    </row>
    <row r="306" spans="1:16">
      <c r="A306" s="257" t="s">
        <v>142</v>
      </c>
      <c r="B306" s="257" t="s">
        <v>111</v>
      </c>
      <c r="C306" s="257" t="s">
        <v>201</v>
      </c>
      <c r="D306" s="257" t="s">
        <v>198</v>
      </c>
      <c r="E306" s="257">
        <v>0</v>
      </c>
      <c r="G306" s="257" t="s">
        <v>31</v>
      </c>
      <c r="H306" s="257">
        <v>1</v>
      </c>
      <c r="L306" s="257" t="s">
        <v>145</v>
      </c>
      <c r="M306" s="257" t="s">
        <v>112</v>
      </c>
      <c r="P306" s="257" t="s">
        <v>147</v>
      </c>
    </row>
    <row r="307" spans="1:16">
      <c r="A307" s="257" t="s">
        <v>142</v>
      </c>
      <c r="B307" s="257" t="s">
        <v>111</v>
      </c>
      <c r="C307" s="257" t="s">
        <v>143</v>
      </c>
      <c r="D307" s="257" t="s">
        <v>198</v>
      </c>
      <c r="E307" s="257">
        <v>0</v>
      </c>
      <c r="G307" s="257" t="s">
        <v>31</v>
      </c>
      <c r="H307" s="257">
        <v>1</v>
      </c>
      <c r="L307" s="257" t="s">
        <v>114</v>
      </c>
      <c r="M307" s="257" t="s">
        <v>117</v>
      </c>
      <c r="P307" s="257" t="s">
        <v>147</v>
      </c>
    </row>
    <row r="308" spans="1:16">
      <c r="A308" s="257" t="s">
        <v>142</v>
      </c>
      <c r="B308" s="257" t="s">
        <v>111</v>
      </c>
      <c r="C308" s="257" t="s">
        <v>148</v>
      </c>
      <c r="D308" s="257" t="s">
        <v>198</v>
      </c>
      <c r="E308" s="257">
        <v>0</v>
      </c>
      <c r="G308" s="257" t="s">
        <v>31</v>
      </c>
      <c r="H308" s="257">
        <v>1</v>
      </c>
      <c r="L308" s="257" t="s">
        <v>114</v>
      </c>
      <c r="M308" s="257" t="s">
        <v>117</v>
      </c>
      <c r="P308" s="257" t="s">
        <v>147</v>
      </c>
    </row>
    <row r="309" spans="1:16">
      <c r="A309" s="257" t="s">
        <v>142</v>
      </c>
      <c r="B309" s="257" t="s">
        <v>111</v>
      </c>
      <c r="C309" s="257" t="s">
        <v>202</v>
      </c>
      <c r="D309" s="257" t="s">
        <v>198</v>
      </c>
      <c r="E309" s="257">
        <v>0</v>
      </c>
      <c r="G309" s="257" t="s">
        <v>31</v>
      </c>
      <c r="H309" s="257">
        <v>1</v>
      </c>
      <c r="L309" s="257" t="s">
        <v>145</v>
      </c>
      <c r="M309" s="257" t="s">
        <v>112</v>
      </c>
      <c r="P309" s="257" t="s">
        <v>147</v>
      </c>
    </row>
    <row r="310" spans="1:16">
      <c r="A310" s="257" t="s">
        <v>142</v>
      </c>
      <c r="B310" s="257" t="s">
        <v>111</v>
      </c>
      <c r="C310" s="257" t="s">
        <v>149</v>
      </c>
      <c r="D310" s="257" t="s">
        <v>198</v>
      </c>
      <c r="E310" s="257">
        <v>0</v>
      </c>
      <c r="G310" s="257" t="s">
        <v>31</v>
      </c>
      <c r="H310" s="257">
        <v>1</v>
      </c>
      <c r="L310" s="257" t="s">
        <v>114</v>
      </c>
      <c r="M310" s="257" t="s">
        <v>117</v>
      </c>
      <c r="P310" s="257" t="s">
        <v>147</v>
      </c>
    </row>
    <row r="311" spans="1:16">
      <c r="A311" s="257" t="s">
        <v>142</v>
      </c>
      <c r="B311" s="257" t="s">
        <v>111</v>
      </c>
      <c r="C311" s="257" t="s">
        <v>150</v>
      </c>
      <c r="D311" s="257" t="s">
        <v>198</v>
      </c>
      <c r="E311" s="257">
        <v>0</v>
      </c>
      <c r="G311" s="257" t="s">
        <v>31</v>
      </c>
      <c r="H311" s="257">
        <v>1</v>
      </c>
      <c r="L311" s="257" t="s">
        <v>114</v>
      </c>
      <c r="M311" s="257" t="s">
        <v>118</v>
      </c>
      <c r="P311" s="257" t="s">
        <v>147</v>
      </c>
    </row>
    <row r="312" spans="1:16">
      <c r="A312" s="257" t="s">
        <v>142</v>
      </c>
      <c r="B312" s="257" t="s">
        <v>111</v>
      </c>
      <c r="C312" s="257" t="s">
        <v>203</v>
      </c>
      <c r="D312" s="257" t="s">
        <v>198</v>
      </c>
      <c r="E312" s="257">
        <v>0</v>
      </c>
      <c r="G312" s="257" t="s">
        <v>31</v>
      </c>
      <c r="H312" s="257">
        <v>1</v>
      </c>
      <c r="L312" s="257" t="s">
        <v>145</v>
      </c>
      <c r="M312" s="257" t="s">
        <v>112</v>
      </c>
      <c r="P312" s="257" t="s">
        <v>147</v>
      </c>
    </row>
    <row r="313" spans="1:16">
      <c r="A313" s="257" t="s">
        <v>142</v>
      </c>
      <c r="B313" s="257" t="s">
        <v>111</v>
      </c>
      <c r="C313" s="257" t="s">
        <v>151</v>
      </c>
      <c r="D313" s="257" t="s">
        <v>198</v>
      </c>
      <c r="E313" s="257">
        <v>0</v>
      </c>
      <c r="G313" s="257" t="s">
        <v>31</v>
      </c>
      <c r="H313" s="257">
        <v>1</v>
      </c>
      <c r="L313" s="257" t="s">
        <v>114</v>
      </c>
      <c r="M313" s="257" t="s">
        <v>117</v>
      </c>
      <c r="P313" s="257" t="s">
        <v>147</v>
      </c>
    </row>
    <row r="314" spans="1:16">
      <c r="A314" s="257" t="s">
        <v>142</v>
      </c>
      <c r="B314" s="257" t="s">
        <v>111</v>
      </c>
      <c r="C314" s="257" t="s">
        <v>204</v>
      </c>
      <c r="D314" s="257" t="s">
        <v>198</v>
      </c>
      <c r="E314" s="257">
        <v>0</v>
      </c>
      <c r="G314" s="257" t="s">
        <v>31</v>
      </c>
      <c r="H314" s="257">
        <v>1</v>
      </c>
      <c r="L314" s="257" t="s">
        <v>145</v>
      </c>
      <c r="M314" s="257" t="s">
        <v>112</v>
      </c>
      <c r="P314" s="257" t="s">
        <v>147</v>
      </c>
    </row>
    <row r="315" spans="1:16">
      <c r="A315" s="257" t="s">
        <v>142</v>
      </c>
      <c r="B315" s="257" t="s">
        <v>111</v>
      </c>
      <c r="C315" s="257" t="s">
        <v>205</v>
      </c>
      <c r="D315" s="257" t="s">
        <v>198</v>
      </c>
      <c r="E315" s="257">
        <v>0</v>
      </c>
      <c r="G315" s="257" t="s">
        <v>31</v>
      </c>
      <c r="H315" s="257">
        <v>1</v>
      </c>
      <c r="L315" s="257" t="s">
        <v>114</v>
      </c>
      <c r="M315" s="257" t="s">
        <v>117</v>
      </c>
      <c r="P315" s="257" t="s">
        <v>147</v>
      </c>
    </row>
    <row r="316" spans="1:16">
      <c r="A316" s="257" t="s">
        <v>142</v>
      </c>
      <c r="B316" s="257" t="s">
        <v>111</v>
      </c>
      <c r="C316" s="257" t="s">
        <v>206</v>
      </c>
      <c r="D316" s="257" t="s">
        <v>198</v>
      </c>
      <c r="E316" s="257">
        <v>0</v>
      </c>
      <c r="G316" s="257" t="s">
        <v>31</v>
      </c>
      <c r="H316" s="257">
        <v>1</v>
      </c>
      <c r="L316" s="257" t="s">
        <v>145</v>
      </c>
      <c r="M316" s="257" t="s">
        <v>112</v>
      </c>
      <c r="P316" s="257" t="s">
        <v>147</v>
      </c>
    </row>
    <row r="317" spans="1:16">
      <c r="A317" s="257" t="s">
        <v>142</v>
      </c>
      <c r="B317" s="257" t="s">
        <v>111</v>
      </c>
      <c r="C317" s="257" t="s">
        <v>152</v>
      </c>
      <c r="D317" s="257" t="s">
        <v>198</v>
      </c>
      <c r="E317" s="257">
        <v>0</v>
      </c>
      <c r="G317" s="257" t="s">
        <v>31</v>
      </c>
      <c r="H317" s="257">
        <v>1</v>
      </c>
      <c r="L317" s="257" t="s">
        <v>114</v>
      </c>
      <c r="M317" s="257" t="s">
        <v>117</v>
      </c>
      <c r="P317" s="257" t="s">
        <v>147</v>
      </c>
    </row>
    <row r="318" spans="1:16">
      <c r="A318" s="257" t="s">
        <v>142</v>
      </c>
      <c r="B318" s="257" t="s">
        <v>111</v>
      </c>
      <c r="C318" s="257" t="s">
        <v>153</v>
      </c>
      <c r="D318" s="257" t="s">
        <v>198</v>
      </c>
      <c r="E318" s="257">
        <v>1</v>
      </c>
      <c r="G318" s="257" t="s">
        <v>31</v>
      </c>
      <c r="H318" s="257">
        <v>1</v>
      </c>
      <c r="L318" s="257" t="s">
        <v>114</v>
      </c>
      <c r="M318" s="257" t="s">
        <v>118</v>
      </c>
      <c r="P318" s="257" t="s">
        <v>155</v>
      </c>
    </row>
    <row r="319" spans="1:16">
      <c r="A319" s="257" t="s">
        <v>142</v>
      </c>
      <c r="B319" s="257" t="s">
        <v>111</v>
      </c>
      <c r="C319" s="257" t="s">
        <v>207</v>
      </c>
      <c r="D319" s="257" t="s">
        <v>198</v>
      </c>
      <c r="E319" s="257">
        <v>0</v>
      </c>
      <c r="G319" s="257" t="s">
        <v>31</v>
      </c>
      <c r="H319" s="257">
        <v>1</v>
      </c>
      <c r="L319" s="257" t="s">
        <v>145</v>
      </c>
      <c r="M319" s="257" t="s">
        <v>112</v>
      </c>
      <c r="P319" s="257" t="s">
        <v>155</v>
      </c>
    </row>
    <row r="320" spans="1:16">
      <c r="A320" s="257" t="s">
        <v>142</v>
      </c>
      <c r="B320" s="257" t="s">
        <v>111</v>
      </c>
      <c r="C320" s="257" t="s">
        <v>156</v>
      </c>
      <c r="D320" s="257" t="s">
        <v>198</v>
      </c>
      <c r="E320" s="257">
        <v>0</v>
      </c>
      <c r="G320" s="257" t="s">
        <v>31</v>
      </c>
      <c r="H320" s="257">
        <v>1</v>
      </c>
      <c r="L320" s="257" t="s">
        <v>114</v>
      </c>
      <c r="M320" s="257" t="s">
        <v>118</v>
      </c>
      <c r="P320" s="257" t="s">
        <v>155</v>
      </c>
    </row>
    <row r="321" spans="1:16">
      <c r="A321" s="257" t="s">
        <v>142</v>
      </c>
      <c r="B321" s="257" t="s">
        <v>111</v>
      </c>
      <c r="C321" s="257" t="s">
        <v>208</v>
      </c>
      <c r="D321" s="257" t="s">
        <v>198</v>
      </c>
      <c r="E321" s="257">
        <v>0</v>
      </c>
      <c r="G321" s="257" t="s">
        <v>31</v>
      </c>
      <c r="H321" s="257">
        <v>1</v>
      </c>
      <c r="L321" s="257" t="s">
        <v>145</v>
      </c>
      <c r="M321" s="257" t="s">
        <v>112</v>
      </c>
      <c r="P321" s="257" t="s">
        <v>155</v>
      </c>
    </row>
    <row r="322" spans="1:16">
      <c r="A322" s="257" t="s">
        <v>142</v>
      </c>
      <c r="B322" s="257" t="s">
        <v>111</v>
      </c>
      <c r="C322" s="257" t="s">
        <v>157</v>
      </c>
      <c r="D322" s="257" t="s">
        <v>198</v>
      </c>
      <c r="E322" s="257">
        <v>0</v>
      </c>
      <c r="G322" s="257" t="s">
        <v>31</v>
      </c>
      <c r="H322" s="257">
        <v>1</v>
      </c>
      <c r="L322" s="257" t="s">
        <v>114</v>
      </c>
      <c r="M322" s="257" t="s">
        <v>117</v>
      </c>
      <c r="P322" s="257" t="s">
        <v>155</v>
      </c>
    </row>
    <row r="323" spans="1:16">
      <c r="A323" s="257" t="s">
        <v>142</v>
      </c>
      <c r="B323" s="257" t="s">
        <v>111</v>
      </c>
      <c r="C323" s="257" t="s">
        <v>209</v>
      </c>
      <c r="D323" s="257" t="s">
        <v>198</v>
      </c>
      <c r="E323" s="257">
        <v>1</v>
      </c>
      <c r="G323" s="257" t="s">
        <v>31</v>
      </c>
      <c r="H323" s="257">
        <v>1</v>
      </c>
      <c r="L323" s="257" t="s">
        <v>145</v>
      </c>
      <c r="M323" s="257" t="s">
        <v>112</v>
      </c>
      <c r="P323" s="257" t="s">
        <v>155</v>
      </c>
    </row>
    <row r="324" spans="1:16">
      <c r="A324" s="257" t="s">
        <v>142</v>
      </c>
      <c r="B324" s="257" t="s">
        <v>111</v>
      </c>
      <c r="C324" s="257" t="s">
        <v>158</v>
      </c>
      <c r="D324" s="257" t="s">
        <v>198</v>
      </c>
      <c r="E324" s="257">
        <v>1</v>
      </c>
      <c r="G324" s="257" t="s">
        <v>31</v>
      </c>
      <c r="H324" s="257">
        <v>1</v>
      </c>
      <c r="L324" s="257" t="s">
        <v>114</v>
      </c>
      <c r="M324" s="257" t="s">
        <v>117</v>
      </c>
      <c r="P324" s="257" t="s">
        <v>155</v>
      </c>
    </row>
    <row r="325" spans="1:16">
      <c r="A325" s="257" t="s">
        <v>142</v>
      </c>
      <c r="B325" s="257" t="s">
        <v>111</v>
      </c>
      <c r="C325" s="257" t="s">
        <v>210</v>
      </c>
      <c r="D325" s="257" t="s">
        <v>198</v>
      </c>
      <c r="E325" s="257">
        <v>1</v>
      </c>
      <c r="G325" s="257" t="s">
        <v>31</v>
      </c>
      <c r="H325" s="257">
        <v>1</v>
      </c>
      <c r="L325" s="257" t="s">
        <v>115</v>
      </c>
      <c r="P325" s="257" t="s">
        <v>155</v>
      </c>
    </row>
    <row r="326" spans="1:16">
      <c r="A326" s="257" t="s">
        <v>142</v>
      </c>
      <c r="B326" s="257" t="s">
        <v>111</v>
      </c>
      <c r="C326" s="257" t="s">
        <v>211</v>
      </c>
      <c r="D326" s="257" t="s">
        <v>198</v>
      </c>
      <c r="E326" s="257">
        <v>1</v>
      </c>
      <c r="G326" s="257" t="s">
        <v>31</v>
      </c>
      <c r="H326" s="257">
        <v>1</v>
      </c>
      <c r="L326" s="257" t="s">
        <v>145</v>
      </c>
      <c r="M326" s="257" t="s">
        <v>112</v>
      </c>
      <c r="P326" s="257" t="s">
        <v>155</v>
      </c>
    </row>
    <row r="327" spans="1:16">
      <c r="A327" s="257" t="s">
        <v>142</v>
      </c>
      <c r="B327" s="257" t="s">
        <v>111</v>
      </c>
      <c r="C327" s="257" t="s">
        <v>160</v>
      </c>
      <c r="D327" s="257" t="s">
        <v>198</v>
      </c>
      <c r="E327" s="257">
        <v>1</v>
      </c>
      <c r="G327" s="257" t="s">
        <v>31</v>
      </c>
      <c r="H327" s="257">
        <v>1</v>
      </c>
      <c r="L327" s="257" t="s">
        <v>114</v>
      </c>
      <c r="M327" s="257" t="s">
        <v>118</v>
      </c>
      <c r="P327" s="257" t="s">
        <v>155</v>
      </c>
    </row>
    <row r="328" spans="1:16">
      <c r="A328" s="257" t="s">
        <v>142</v>
      </c>
      <c r="B328" s="257" t="s">
        <v>111</v>
      </c>
      <c r="C328" s="257" t="s">
        <v>161</v>
      </c>
      <c r="D328" s="257" t="s">
        <v>198</v>
      </c>
      <c r="E328" s="257">
        <v>1</v>
      </c>
      <c r="G328" s="257" t="s">
        <v>31</v>
      </c>
      <c r="H328" s="257">
        <v>1</v>
      </c>
      <c r="L328" s="257" t="s">
        <v>114</v>
      </c>
      <c r="M328" s="257" t="s">
        <v>118</v>
      </c>
      <c r="P328" s="257" t="s">
        <v>155</v>
      </c>
    </row>
    <row r="329" spans="1:16">
      <c r="A329" s="257" t="s">
        <v>162</v>
      </c>
      <c r="B329" s="257" t="s">
        <v>111</v>
      </c>
      <c r="C329" s="257" t="s">
        <v>166</v>
      </c>
      <c r="D329" s="257" t="s">
        <v>198</v>
      </c>
      <c r="E329" s="257">
        <v>0</v>
      </c>
      <c r="G329" s="257" t="s">
        <v>31</v>
      </c>
      <c r="H329" s="257">
        <v>1</v>
      </c>
      <c r="L329" s="257" t="s">
        <v>145</v>
      </c>
      <c r="M329" s="257" t="s">
        <v>112</v>
      </c>
      <c r="P329" s="257" t="s">
        <v>165</v>
      </c>
    </row>
    <row r="330" spans="1:16">
      <c r="A330" s="257" t="s">
        <v>162</v>
      </c>
      <c r="B330" s="257" t="s">
        <v>111</v>
      </c>
      <c r="C330" s="257" t="s">
        <v>167</v>
      </c>
      <c r="D330" s="257" t="s">
        <v>198</v>
      </c>
      <c r="E330" s="257">
        <v>0</v>
      </c>
      <c r="G330" s="257" t="s">
        <v>31</v>
      </c>
      <c r="H330" s="257">
        <v>1</v>
      </c>
      <c r="L330" s="257" t="s">
        <v>145</v>
      </c>
      <c r="M330" s="257" t="s">
        <v>112</v>
      </c>
      <c r="P330" s="257" t="s">
        <v>165</v>
      </c>
    </row>
    <row r="331" spans="1:16">
      <c r="A331" s="257" t="s">
        <v>162</v>
      </c>
      <c r="B331" s="257" t="s">
        <v>111</v>
      </c>
      <c r="C331" s="257" t="s">
        <v>168</v>
      </c>
      <c r="D331" s="257" t="s">
        <v>198</v>
      </c>
      <c r="E331" s="257">
        <v>0</v>
      </c>
      <c r="G331" s="257" t="s">
        <v>31</v>
      </c>
      <c r="H331" s="257">
        <v>1</v>
      </c>
      <c r="L331" s="257" t="s">
        <v>145</v>
      </c>
      <c r="M331" s="257" t="s">
        <v>112</v>
      </c>
      <c r="P331" s="257" t="s">
        <v>165</v>
      </c>
    </row>
    <row r="332" spans="1:16">
      <c r="A332" s="257" t="s">
        <v>162</v>
      </c>
      <c r="B332" s="257" t="s">
        <v>111</v>
      </c>
      <c r="C332" s="257" t="s">
        <v>169</v>
      </c>
      <c r="D332" s="257" t="s">
        <v>198</v>
      </c>
      <c r="E332" s="257">
        <v>0</v>
      </c>
      <c r="G332" s="257" t="s">
        <v>31</v>
      </c>
      <c r="H332" s="257">
        <v>1</v>
      </c>
      <c r="L332" s="257" t="s">
        <v>145</v>
      </c>
      <c r="M332" s="257" t="s">
        <v>112</v>
      </c>
      <c r="P332" s="257" t="s">
        <v>165</v>
      </c>
    </row>
    <row r="333" spans="1:16">
      <c r="A333" s="257" t="s">
        <v>162</v>
      </c>
      <c r="B333" s="257" t="s">
        <v>111</v>
      </c>
      <c r="C333" s="257" t="s">
        <v>170</v>
      </c>
      <c r="D333" s="257" t="s">
        <v>198</v>
      </c>
      <c r="E333" s="257">
        <v>0</v>
      </c>
      <c r="G333" s="257" t="s">
        <v>31</v>
      </c>
      <c r="H333" s="257">
        <v>1</v>
      </c>
      <c r="L333" s="257" t="s">
        <v>145</v>
      </c>
      <c r="M333" s="257" t="s">
        <v>112</v>
      </c>
      <c r="P333" s="257" t="s">
        <v>165</v>
      </c>
    </row>
    <row r="334" spans="1:16">
      <c r="A334" s="257" t="s">
        <v>162</v>
      </c>
      <c r="B334" s="257" t="s">
        <v>111</v>
      </c>
      <c r="C334" s="257" t="s">
        <v>171</v>
      </c>
      <c r="D334" s="257" t="s">
        <v>198</v>
      </c>
      <c r="E334" s="257">
        <v>0</v>
      </c>
      <c r="G334" s="257" t="s">
        <v>31</v>
      </c>
      <c r="H334" s="257">
        <v>1</v>
      </c>
      <c r="L334" s="257" t="s">
        <v>145</v>
      </c>
      <c r="M334" s="257" t="s">
        <v>112</v>
      </c>
      <c r="P334" s="257" t="s">
        <v>165</v>
      </c>
    </row>
    <row r="335" spans="1:16">
      <c r="A335" s="257" t="s">
        <v>162</v>
      </c>
      <c r="B335" s="257" t="s">
        <v>111</v>
      </c>
      <c r="C335" s="257" t="s">
        <v>163</v>
      </c>
      <c r="D335" s="257" t="s">
        <v>198</v>
      </c>
      <c r="E335" s="257">
        <v>0</v>
      </c>
      <c r="G335" s="257" t="s">
        <v>31</v>
      </c>
      <c r="H335" s="257">
        <v>1</v>
      </c>
      <c r="L335" s="257" t="s">
        <v>145</v>
      </c>
      <c r="M335" s="257" t="s">
        <v>112</v>
      </c>
      <c r="P335" s="257" t="s">
        <v>165</v>
      </c>
    </row>
    <row r="336" spans="1:16">
      <c r="A336" s="257" t="s">
        <v>162</v>
      </c>
      <c r="B336" s="257" t="s">
        <v>111</v>
      </c>
      <c r="C336" s="257" t="s">
        <v>172</v>
      </c>
      <c r="D336" s="257" t="s">
        <v>198</v>
      </c>
      <c r="E336" s="257">
        <v>0</v>
      </c>
      <c r="G336" s="257" t="s">
        <v>31</v>
      </c>
      <c r="H336" s="257">
        <v>1</v>
      </c>
      <c r="L336" s="257" t="s">
        <v>145</v>
      </c>
      <c r="M336" s="257" t="s">
        <v>112</v>
      </c>
      <c r="P336" s="257" t="s">
        <v>165</v>
      </c>
    </row>
    <row r="337" spans="1:16">
      <c r="A337" s="257" t="s">
        <v>162</v>
      </c>
      <c r="B337" s="257" t="s">
        <v>111</v>
      </c>
      <c r="C337" s="257" t="s">
        <v>173</v>
      </c>
      <c r="D337" s="257" t="s">
        <v>198</v>
      </c>
      <c r="E337" s="257">
        <v>0</v>
      </c>
      <c r="G337" s="257" t="s">
        <v>31</v>
      </c>
      <c r="H337" s="257">
        <v>1</v>
      </c>
      <c r="L337" s="257" t="s">
        <v>145</v>
      </c>
      <c r="M337" s="257" t="s">
        <v>112</v>
      </c>
      <c r="P337" s="257" t="s">
        <v>165</v>
      </c>
    </row>
    <row r="338" spans="1:16">
      <c r="A338" s="257" t="s">
        <v>162</v>
      </c>
      <c r="B338" s="257" t="s">
        <v>111</v>
      </c>
      <c r="C338" s="257" t="s">
        <v>174</v>
      </c>
      <c r="D338" s="257" t="s">
        <v>198</v>
      </c>
      <c r="E338" s="257">
        <v>0</v>
      </c>
      <c r="G338" s="257" t="s">
        <v>31</v>
      </c>
      <c r="H338" s="257">
        <v>1</v>
      </c>
      <c r="L338" s="257" t="s">
        <v>145</v>
      </c>
      <c r="M338" s="257" t="s">
        <v>112</v>
      </c>
      <c r="P338" s="257" t="s">
        <v>165</v>
      </c>
    </row>
    <row r="339" spans="1:16">
      <c r="A339" s="257" t="s">
        <v>162</v>
      </c>
      <c r="B339" s="257" t="s">
        <v>111</v>
      </c>
      <c r="C339" s="257" t="s">
        <v>175</v>
      </c>
      <c r="D339" s="257" t="s">
        <v>198</v>
      </c>
      <c r="E339" s="257">
        <v>0</v>
      </c>
      <c r="G339" s="257" t="s">
        <v>31</v>
      </c>
      <c r="H339" s="257">
        <v>1</v>
      </c>
      <c r="L339" s="257" t="s">
        <v>145</v>
      </c>
      <c r="M339" s="257" t="s">
        <v>112</v>
      </c>
      <c r="P339" s="257" t="s">
        <v>165</v>
      </c>
    </row>
    <row r="340" spans="1:16">
      <c r="A340" s="257" t="s">
        <v>162</v>
      </c>
      <c r="B340" s="257" t="s">
        <v>111</v>
      </c>
      <c r="C340" s="257" t="s">
        <v>176</v>
      </c>
      <c r="D340" s="257" t="s">
        <v>198</v>
      </c>
      <c r="E340" s="257">
        <v>0</v>
      </c>
      <c r="G340" s="257" t="s">
        <v>31</v>
      </c>
      <c r="H340" s="257">
        <v>1</v>
      </c>
      <c r="L340" s="257" t="s">
        <v>145</v>
      </c>
      <c r="M340" s="257" t="s">
        <v>112</v>
      </c>
      <c r="P340" s="257" t="s">
        <v>165</v>
      </c>
    </row>
    <row r="341" spans="1:16">
      <c r="A341" s="257" t="s">
        <v>162</v>
      </c>
      <c r="B341" s="257" t="s">
        <v>111</v>
      </c>
      <c r="C341" s="257" t="s">
        <v>177</v>
      </c>
      <c r="D341" s="257" t="s">
        <v>198</v>
      </c>
      <c r="E341" s="257">
        <v>0</v>
      </c>
      <c r="G341" s="257" t="s">
        <v>31</v>
      </c>
      <c r="H341" s="257">
        <v>1</v>
      </c>
      <c r="L341" s="257" t="s">
        <v>145</v>
      </c>
      <c r="M341" s="257" t="s">
        <v>112</v>
      </c>
      <c r="P341" s="257" t="s">
        <v>178</v>
      </c>
    </row>
    <row r="342" spans="1:16">
      <c r="A342" s="257" t="s">
        <v>162</v>
      </c>
      <c r="B342" s="257" t="s">
        <v>111</v>
      </c>
      <c r="C342" s="257" t="s">
        <v>179</v>
      </c>
      <c r="D342" s="257" t="s">
        <v>198</v>
      </c>
      <c r="E342" s="257">
        <v>0</v>
      </c>
      <c r="G342" s="257" t="s">
        <v>31</v>
      </c>
      <c r="H342" s="257">
        <v>1</v>
      </c>
      <c r="L342" s="257" t="s">
        <v>145</v>
      </c>
      <c r="M342" s="257" t="s">
        <v>112</v>
      </c>
      <c r="P342" s="257" t="s">
        <v>178</v>
      </c>
    </row>
    <row r="343" spans="1:16">
      <c r="A343" s="257" t="s">
        <v>162</v>
      </c>
      <c r="B343" s="257" t="s">
        <v>111</v>
      </c>
      <c r="C343" s="257" t="s">
        <v>212</v>
      </c>
      <c r="D343" s="257" t="s">
        <v>198</v>
      </c>
      <c r="E343" s="257">
        <v>0</v>
      </c>
      <c r="G343" s="257" t="s">
        <v>31</v>
      </c>
      <c r="H343" s="257">
        <v>1</v>
      </c>
      <c r="L343" s="257" t="s">
        <v>145</v>
      </c>
      <c r="M343" s="257" t="s">
        <v>112</v>
      </c>
      <c r="P343" s="257" t="s">
        <v>213</v>
      </c>
    </row>
    <row r="346" spans="1:16" s="255" customFormat="1">
      <c r="A346" s="255" t="s">
        <v>94</v>
      </c>
      <c r="B346" s="255" t="s">
        <v>95</v>
      </c>
      <c r="C346" s="255" t="s">
        <v>96</v>
      </c>
      <c r="D346" s="255" t="s">
        <v>97</v>
      </c>
      <c r="E346" s="255" t="s">
        <v>98</v>
      </c>
      <c r="F346" s="255" t="s">
        <v>99</v>
      </c>
      <c r="G346" s="255" t="s">
        <v>100</v>
      </c>
      <c r="H346" s="255" t="s">
        <v>101</v>
      </c>
      <c r="I346" s="255" t="s">
        <v>102</v>
      </c>
      <c r="J346" s="255" t="s">
        <v>103</v>
      </c>
      <c r="K346" s="255" t="s">
        <v>104</v>
      </c>
      <c r="L346" s="255" t="s">
        <v>105</v>
      </c>
      <c r="M346" s="255" t="s">
        <v>106</v>
      </c>
      <c r="N346" s="255" t="s">
        <v>107</v>
      </c>
      <c r="O346" s="255" t="s">
        <v>108</v>
      </c>
      <c r="P346" s="255" t="s">
        <v>109</v>
      </c>
    </row>
    <row r="347" spans="1:16">
      <c r="A347" s="257" t="s">
        <v>216</v>
      </c>
      <c r="B347" s="257" t="s">
        <v>111</v>
      </c>
      <c r="C347" s="257" t="s">
        <v>219</v>
      </c>
      <c r="D347" s="257" t="s">
        <v>138</v>
      </c>
      <c r="E347" s="257">
        <v>136.00324119999999</v>
      </c>
      <c r="G347" s="257">
        <v>0</v>
      </c>
      <c r="H347" s="257">
        <v>1</v>
      </c>
      <c r="L347" s="257" t="s">
        <v>145</v>
      </c>
      <c r="M347" s="257" t="s">
        <v>112</v>
      </c>
      <c r="O347" s="257" t="s">
        <v>217</v>
      </c>
      <c r="P347" s="257" t="s">
        <v>218</v>
      </c>
    </row>
    <row r="348" spans="1:16">
      <c r="A348" s="257" t="s">
        <v>216</v>
      </c>
      <c r="B348" s="257" t="s">
        <v>111</v>
      </c>
      <c r="C348" s="257" t="s">
        <v>220</v>
      </c>
      <c r="D348" s="257" t="s">
        <v>138</v>
      </c>
      <c r="E348" s="257">
        <v>12763.36414</v>
      </c>
      <c r="G348" s="257">
        <v>0</v>
      </c>
      <c r="H348" s="257">
        <v>1</v>
      </c>
      <c r="L348" s="257" t="s">
        <v>145</v>
      </c>
      <c r="M348" s="257" t="s">
        <v>112</v>
      </c>
      <c r="O348" s="257" t="s">
        <v>217</v>
      </c>
      <c r="P348" s="257" t="s">
        <v>218</v>
      </c>
    </row>
    <row r="349" spans="1:16">
      <c r="A349" s="257" t="s">
        <v>216</v>
      </c>
      <c r="B349" s="257" t="s">
        <v>111</v>
      </c>
      <c r="C349" s="257" t="s">
        <v>221</v>
      </c>
      <c r="D349" s="257" t="s">
        <v>138</v>
      </c>
      <c r="E349" s="257">
        <v>3438.6520989999999</v>
      </c>
      <c r="G349" s="257">
        <v>0</v>
      </c>
      <c r="H349" s="257">
        <v>1</v>
      </c>
      <c r="L349" s="257" t="s">
        <v>145</v>
      </c>
      <c r="M349" s="257" t="s">
        <v>112</v>
      </c>
      <c r="O349" s="257" t="s">
        <v>217</v>
      </c>
      <c r="P349" s="257" t="s">
        <v>218</v>
      </c>
    </row>
    <row r="350" spans="1:16">
      <c r="A350" s="257" t="s">
        <v>216</v>
      </c>
      <c r="B350" s="257" t="s">
        <v>111</v>
      </c>
      <c r="C350" s="257" t="s">
        <v>222</v>
      </c>
      <c r="D350" s="257" t="s">
        <v>138</v>
      </c>
      <c r="E350" s="257">
        <v>27914.641329999999</v>
      </c>
      <c r="G350" s="257">
        <v>0</v>
      </c>
      <c r="H350" s="257">
        <v>1</v>
      </c>
      <c r="L350" s="257" t="s">
        <v>145</v>
      </c>
      <c r="M350" s="257" t="s">
        <v>112</v>
      </c>
      <c r="O350" s="257" t="s">
        <v>217</v>
      </c>
      <c r="P350" s="257" t="s">
        <v>218</v>
      </c>
    </row>
    <row r="351" spans="1:16">
      <c r="A351" s="257" t="s">
        <v>216</v>
      </c>
      <c r="B351" s="257" t="s">
        <v>111</v>
      </c>
      <c r="C351" s="257" t="s">
        <v>223</v>
      </c>
      <c r="D351" s="257" t="s">
        <v>138</v>
      </c>
      <c r="E351" s="257">
        <v>10609.05229</v>
      </c>
      <c r="G351" s="257">
        <v>0</v>
      </c>
      <c r="H351" s="257">
        <v>1</v>
      </c>
      <c r="L351" s="257" t="s">
        <v>145</v>
      </c>
      <c r="M351" s="257" t="s">
        <v>112</v>
      </c>
      <c r="O351" s="257" t="s">
        <v>217</v>
      </c>
      <c r="P351" s="257" t="s">
        <v>218</v>
      </c>
    </row>
    <row r="352" spans="1:16">
      <c r="A352" s="257" t="s">
        <v>216</v>
      </c>
      <c r="B352" s="257" t="s">
        <v>111</v>
      </c>
      <c r="C352" s="257" t="s">
        <v>224</v>
      </c>
      <c r="D352" s="257" t="s">
        <v>138</v>
      </c>
      <c r="E352" s="257">
        <v>1503.4898229999999</v>
      </c>
      <c r="G352" s="257">
        <v>0</v>
      </c>
      <c r="H352" s="257">
        <v>1</v>
      </c>
      <c r="L352" s="257" t="s">
        <v>145</v>
      </c>
      <c r="M352" s="257" t="s">
        <v>112</v>
      </c>
      <c r="O352" s="257" t="s">
        <v>217</v>
      </c>
      <c r="P352" s="257" t="s">
        <v>218</v>
      </c>
    </row>
    <row r="353" spans="1:16">
      <c r="A353" s="257" t="s">
        <v>216</v>
      </c>
      <c r="B353" s="257" t="s">
        <v>111</v>
      </c>
      <c r="C353" s="257" t="s">
        <v>225</v>
      </c>
      <c r="D353" s="257" t="s">
        <v>138</v>
      </c>
      <c r="E353" s="257">
        <v>78833.74437</v>
      </c>
      <c r="G353" s="257">
        <v>0</v>
      </c>
      <c r="H353" s="257">
        <v>1</v>
      </c>
      <c r="L353" s="257" t="s">
        <v>145</v>
      </c>
      <c r="M353" s="257" t="s">
        <v>112</v>
      </c>
      <c r="O353" s="257" t="s">
        <v>217</v>
      </c>
      <c r="P353" s="257" t="s">
        <v>218</v>
      </c>
    </row>
    <row r="354" spans="1:16">
      <c r="A354" s="257" t="s">
        <v>216</v>
      </c>
      <c r="B354" s="257" t="s">
        <v>111</v>
      </c>
      <c r="C354" s="257" t="s">
        <v>226</v>
      </c>
      <c r="D354" s="257" t="s">
        <v>138</v>
      </c>
      <c r="E354" s="257">
        <v>60939.694660000001</v>
      </c>
      <c r="G354" s="257">
        <v>0</v>
      </c>
      <c r="H354" s="257">
        <v>1</v>
      </c>
      <c r="L354" s="257" t="s">
        <v>145</v>
      </c>
      <c r="M354" s="257" t="s">
        <v>112</v>
      </c>
      <c r="O354" s="257" t="s">
        <v>217</v>
      </c>
      <c r="P354" s="257" t="s">
        <v>218</v>
      </c>
    </row>
    <row r="355" spans="1:16">
      <c r="A355" s="257" t="s">
        <v>216</v>
      </c>
      <c r="B355" s="257" t="s">
        <v>111</v>
      </c>
      <c r="C355" s="257" t="s">
        <v>227</v>
      </c>
      <c r="D355" s="257" t="s">
        <v>138</v>
      </c>
      <c r="E355" s="257">
        <v>12477.61988</v>
      </c>
      <c r="G355" s="257">
        <v>0</v>
      </c>
      <c r="H355" s="257">
        <v>1</v>
      </c>
      <c r="L355" s="257" t="s">
        <v>145</v>
      </c>
      <c r="M355" s="257" t="s">
        <v>112</v>
      </c>
      <c r="O355" s="257" t="s">
        <v>217</v>
      </c>
      <c r="P355" s="257" t="s">
        <v>218</v>
      </c>
    </row>
    <row r="356" spans="1:16">
      <c r="A356" s="257" t="s">
        <v>216</v>
      </c>
      <c r="B356" s="257" t="s">
        <v>111</v>
      </c>
      <c r="C356" s="257" t="s">
        <v>215</v>
      </c>
      <c r="D356" s="257" t="s">
        <v>138</v>
      </c>
      <c r="E356" s="257">
        <v>519.81201610000005</v>
      </c>
      <c r="G356" s="257">
        <v>0</v>
      </c>
      <c r="H356" s="257">
        <v>1</v>
      </c>
      <c r="L356" s="257" t="s">
        <v>145</v>
      </c>
      <c r="M356" s="257" t="s">
        <v>112</v>
      </c>
      <c r="O356" s="257" t="s">
        <v>217</v>
      </c>
      <c r="P356" s="257" t="s">
        <v>218</v>
      </c>
    </row>
    <row r="357" spans="1:16">
      <c r="A357" s="257" t="s">
        <v>216</v>
      </c>
      <c r="B357" s="257" t="s">
        <v>111</v>
      </c>
      <c r="C357" s="257" t="s">
        <v>228</v>
      </c>
      <c r="D357" s="257" t="s">
        <v>138</v>
      </c>
      <c r="E357" s="257">
        <v>82.695050910000006</v>
      </c>
      <c r="G357" s="257">
        <v>0</v>
      </c>
      <c r="H357" s="257">
        <v>1</v>
      </c>
      <c r="L357" s="257" t="s">
        <v>145</v>
      </c>
      <c r="M357" s="257" t="s">
        <v>112</v>
      </c>
      <c r="O357" s="257" t="s">
        <v>217</v>
      </c>
      <c r="P357" s="257" t="s">
        <v>218</v>
      </c>
    </row>
    <row r="358" spans="1:16">
      <c r="A358" s="257" t="s">
        <v>216</v>
      </c>
      <c r="B358" s="257" t="s">
        <v>111</v>
      </c>
      <c r="C358" s="257" t="s">
        <v>229</v>
      </c>
      <c r="D358" s="257" t="s">
        <v>138</v>
      </c>
      <c r="E358" s="257">
        <v>27914.641339999998</v>
      </c>
      <c r="G358" s="257">
        <v>0</v>
      </c>
      <c r="H358" s="257">
        <v>1</v>
      </c>
      <c r="L358" s="257" t="s">
        <v>145</v>
      </c>
      <c r="M358" s="257" t="s">
        <v>112</v>
      </c>
      <c r="O358" s="257" t="s">
        <v>217</v>
      </c>
      <c r="P358" s="257" t="s">
        <v>218</v>
      </c>
    </row>
    <row r="359" spans="1:16">
      <c r="A359" s="257" t="s">
        <v>216</v>
      </c>
      <c r="B359" s="257" t="s">
        <v>111</v>
      </c>
      <c r="C359" s="257" t="s">
        <v>230</v>
      </c>
      <c r="D359" s="257" t="s">
        <v>138</v>
      </c>
      <c r="E359" s="257">
        <v>2435.5018089999999</v>
      </c>
      <c r="G359" s="257">
        <v>0</v>
      </c>
      <c r="H359" s="257">
        <v>1</v>
      </c>
      <c r="L359" s="257" t="s">
        <v>145</v>
      </c>
      <c r="M359" s="257" t="s">
        <v>112</v>
      </c>
      <c r="O359" s="257" t="s">
        <v>217</v>
      </c>
      <c r="P359" s="257" t="s">
        <v>218</v>
      </c>
    </row>
    <row r="360" spans="1:16">
      <c r="A360" s="257" t="s">
        <v>216</v>
      </c>
      <c r="B360" s="257" t="s">
        <v>111</v>
      </c>
      <c r="C360" s="257" t="s">
        <v>231</v>
      </c>
      <c r="D360" s="257" t="s">
        <v>138</v>
      </c>
      <c r="E360" s="257">
        <v>115635.45699999999</v>
      </c>
      <c r="G360" s="257">
        <v>0</v>
      </c>
      <c r="H360" s="257">
        <v>1</v>
      </c>
      <c r="L360" s="257" t="s">
        <v>145</v>
      </c>
      <c r="M360" s="257" t="s">
        <v>112</v>
      </c>
      <c r="O360" s="257" t="s">
        <v>217</v>
      </c>
      <c r="P360" s="257" t="s">
        <v>218</v>
      </c>
    </row>
    <row r="361" spans="1:16">
      <c r="A361" s="257" t="s">
        <v>216</v>
      </c>
      <c r="B361" s="257" t="s">
        <v>111</v>
      </c>
      <c r="C361" s="257" t="s">
        <v>233</v>
      </c>
      <c r="D361" s="257" t="s">
        <v>138</v>
      </c>
      <c r="E361" s="257">
        <v>680548</v>
      </c>
      <c r="G361" s="257">
        <v>0</v>
      </c>
      <c r="H361" s="257">
        <v>1</v>
      </c>
      <c r="L361" s="257" t="s">
        <v>145</v>
      </c>
      <c r="M361" s="257" t="s">
        <v>112</v>
      </c>
      <c r="P361" s="257" t="s">
        <v>232</v>
      </c>
    </row>
    <row r="362" spans="1:16">
      <c r="A362" s="257" t="s">
        <v>216</v>
      </c>
      <c r="B362" s="257" t="s">
        <v>111</v>
      </c>
      <c r="C362" s="257" t="s">
        <v>234</v>
      </c>
      <c r="D362" s="257" t="s">
        <v>138</v>
      </c>
      <c r="E362" s="257">
        <v>64803.034099999997</v>
      </c>
      <c r="G362" s="257">
        <v>0</v>
      </c>
      <c r="H362" s="257">
        <v>1</v>
      </c>
      <c r="L362" s="257" t="s">
        <v>145</v>
      </c>
      <c r="M362" s="257" t="s">
        <v>112</v>
      </c>
      <c r="O362" s="257" t="s">
        <v>217</v>
      </c>
      <c r="P362" s="257" t="s">
        <v>232</v>
      </c>
    </row>
    <row r="363" spans="1:16">
      <c r="A363" s="257" t="s">
        <v>216</v>
      </c>
      <c r="B363" s="257" t="s">
        <v>111</v>
      </c>
      <c r="C363" s="257" t="s">
        <v>235</v>
      </c>
      <c r="D363" s="257" t="s">
        <v>138</v>
      </c>
      <c r="E363" s="257">
        <v>45344.59188</v>
      </c>
      <c r="G363" s="257">
        <v>0</v>
      </c>
      <c r="H363" s="257">
        <v>1</v>
      </c>
      <c r="L363" s="257" t="s">
        <v>145</v>
      </c>
      <c r="M363" s="257" t="s">
        <v>112</v>
      </c>
      <c r="O363" s="257" t="s">
        <v>217</v>
      </c>
      <c r="P363" s="257" t="s">
        <v>232</v>
      </c>
    </row>
    <row r="364" spans="1:16">
      <c r="A364" s="257" t="s">
        <v>216</v>
      </c>
      <c r="B364" s="257" t="s">
        <v>111</v>
      </c>
      <c r="C364" s="257" t="s">
        <v>236</v>
      </c>
      <c r="D364" s="257" t="s">
        <v>138</v>
      </c>
      <c r="E364" s="257">
        <v>76531.999209999994</v>
      </c>
      <c r="G364" s="257">
        <v>0</v>
      </c>
      <c r="H364" s="257">
        <v>1</v>
      </c>
      <c r="L364" s="257" t="s">
        <v>145</v>
      </c>
      <c r="M364" s="257" t="s">
        <v>112</v>
      </c>
      <c r="O364" s="257" t="s">
        <v>217</v>
      </c>
      <c r="P364" s="257" t="s">
        <v>232</v>
      </c>
    </row>
    <row r="365" spans="1:16">
      <c r="A365" s="257" t="s">
        <v>216</v>
      </c>
      <c r="B365" s="257" t="s">
        <v>111</v>
      </c>
      <c r="C365" s="257" t="s">
        <v>237</v>
      </c>
      <c r="D365" s="257" t="s">
        <v>138</v>
      </c>
      <c r="E365" s="257">
        <v>23876.148000000001</v>
      </c>
      <c r="G365" s="257">
        <v>0</v>
      </c>
      <c r="H365" s="257">
        <v>1</v>
      </c>
      <c r="L365" s="257" t="s">
        <v>145</v>
      </c>
      <c r="M365" s="257" t="s">
        <v>112</v>
      </c>
      <c r="O365" s="257" t="s">
        <v>217</v>
      </c>
      <c r="P365" s="257" t="s">
        <v>232</v>
      </c>
    </row>
    <row r="366" spans="1:16">
      <c r="A366" s="257" t="s">
        <v>216</v>
      </c>
      <c r="B366" s="257" t="s">
        <v>111</v>
      </c>
      <c r="C366" s="257" t="s">
        <v>238</v>
      </c>
      <c r="D366" s="257" t="s">
        <v>138</v>
      </c>
      <c r="E366" s="257">
        <v>82890.406780000005</v>
      </c>
      <c r="G366" s="257">
        <v>0</v>
      </c>
      <c r="H366" s="257">
        <v>1</v>
      </c>
      <c r="L366" s="257" t="s">
        <v>145</v>
      </c>
      <c r="M366" s="257" t="s">
        <v>112</v>
      </c>
      <c r="O366" s="257" t="s">
        <v>217</v>
      </c>
      <c r="P366" s="257" t="s">
        <v>232</v>
      </c>
    </row>
    <row r="367" spans="1:16">
      <c r="A367" s="257" t="s">
        <v>216</v>
      </c>
      <c r="B367" s="257" t="s">
        <v>111</v>
      </c>
      <c r="C367" s="257" t="s">
        <v>239</v>
      </c>
      <c r="D367" s="257" t="s">
        <v>138</v>
      </c>
      <c r="E367" s="257">
        <v>1412.1109240000001</v>
      </c>
      <c r="G367" s="257">
        <v>0</v>
      </c>
      <c r="H367" s="257">
        <v>1</v>
      </c>
      <c r="L367" s="257" t="s">
        <v>145</v>
      </c>
      <c r="M367" s="257" t="s">
        <v>112</v>
      </c>
      <c r="O367" s="257" t="s">
        <v>217</v>
      </c>
      <c r="P367" s="257" t="s">
        <v>232</v>
      </c>
    </row>
    <row r="368" spans="1:16">
      <c r="A368" s="257" t="s">
        <v>216</v>
      </c>
      <c r="B368" s="257" t="s">
        <v>111</v>
      </c>
      <c r="C368" s="257" t="s">
        <v>240</v>
      </c>
      <c r="D368" s="257" t="s">
        <v>138</v>
      </c>
      <c r="E368" s="257">
        <v>41848.54666</v>
      </c>
      <c r="G368" s="257">
        <v>0</v>
      </c>
      <c r="H368" s="257">
        <v>1</v>
      </c>
      <c r="L368" s="257" t="s">
        <v>145</v>
      </c>
      <c r="M368" s="257" t="s">
        <v>112</v>
      </c>
      <c r="O368" s="257" t="s">
        <v>217</v>
      </c>
      <c r="P368" s="257" t="s">
        <v>232</v>
      </c>
    </row>
    <row r="369" spans="1:16">
      <c r="A369" s="257" t="s">
        <v>216</v>
      </c>
      <c r="B369" s="257" t="s">
        <v>111</v>
      </c>
      <c r="C369" s="257" t="s">
        <v>241</v>
      </c>
      <c r="D369" s="257" t="s">
        <v>138</v>
      </c>
      <c r="E369" s="257">
        <v>6554.9731840000004</v>
      </c>
      <c r="G369" s="257">
        <v>0</v>
      </c>
      <c r="H369" s="257">
        <v>1</v>
      </c>
      <c r="L369" s="257" t="s">
        <v>145</v>
      </c>
      <c r="M369" s="257" t="s">
        <v>112</v>
      </c>
      <c r="O369" s="257" t="s">
        <v>217</v>
      </c>
      <c r="P369" s="257" t="s">
        <v>232</v>
      </c>
    </row>
    <row r="370" spans="1:16">
      <c r="A370" s="257" t="s">
        <v>216</v>
      </c>
      <c r="B370" s="257" t="s">
        <v>111</v>
      </c>
      <c r="C370" s="257" t="s">
        <v>242</v>
      </c>
      <c r="D370" s="257" t="s">
        <v>138</v>
      </c>
      <c r="E370" s="257">
        <v>2268.9974830000001</v>
      </c>
      <c r="G370" s="257">
        <v>0</v>
      </c>
      <c r="H370" s="257">
        <v>1</v>
      </c>
      <c r="L370" s="257" t="s">
        <v>145</v>
      </c>
      <c r="M370" s="257" t="s">
        <v>112</v>
      </c>
      <c r="O370" s="257" t="s">
        <v>217</v>
      </c>
      <c r="P370" s="257" t="s">
        <v>232</v>
      </c>
    </row>
    <row r="371" spans="1:16">
      <c r="A371" s="257" t="s">
        <v>216</v>
      </c>
      <c r="B371" s="257" t="s">
        <v>111</v>
      </c>
      <c r="C371" s="257" t="s">
        <v>243</v>
      </c>
      <c r="D371" s="257" t="s">
        <v>138</v>
      </c>
      <c r="E371" s="257">
        <v>22147.919170000001</v>
      </c>
      <c r="G371" s="257">
        <v>0</v>
      </c>
      <c r="H371" s="257">
        <v>1</v>
      </c>
      <c r="L371" s="257" t="s">
        <v>145</v>
      </c>
      <c r="M371" s="257" t="s">
        <v>112</v>
      </c>
      <c r="O371" s="257" t="s">
        <v>217</v>
      </c>
      <c r="P371" s="257" t="s">
        <v>232</v>
      </c>
    </row>
    <row r="372" spans="1:16">
      <c r="A372" s="257" t="s">
        <v>216</v>
      </c>
      <c r="B372" s="257" t="s">
        <v>111</v>
      </c>
      <c r="C372" s="257" t="s">
        <v>244</v>
      </c>
      <c r="D372" s="257" t="s">
        <v>138</v>
      </c>
      <c r="E372" s="257">
        <v>75967.362739999997</v>
      </c>
      <c r="G372" s="257">
        <v>0</v>
      </c>
      <c r="H372" s="257">
        <v>1</v>
      </c>
      <c r="L372" s="257" t="s">
        <v>145</v>
      </c>
      <c r="M372" s="257" t="s">
        <v>112</v>
      </c>
      <c r="O372" s="257" t="s">
        <v>217</v>
      </c>
      <c r="P372" s="257" t="s">
        <v>232</v>
      </c>
    </row>
    <row r="373" spans="1:16">
      <c r="A373" s="257" t="s">
        <v>216</v>
      </c>
      <c r="B373" s="257" t="s">
        <v>111</v>
      </c>
      <c r="C373" s="257" t="s">
        <v>245</v>
      </c>
      <c r="D373" s="257" t="s">
        <v>138</v>
      </c>
      <c r="E373" s="257">
        <v>19341.712009999999</v>
      </c>
      <c r="G373" s="257">
        <v>0</v>
      </c>
      <c r="H373" s="257">
        <v>1</v>
      </c>
      <c r="L373" s="257" t="s">
        <v>145</v>
      </c>
      <c r="M373" s="257" t="s">
        <v>112</v>
      </c>
      <c r="O373" s="257" t="s">
        <v>217</v>
      </c>
      <c r="P373" s="257" t="s">
        <v>232</v>
      </c>
    </row>
    <row r="374" spans="1:16">
      <c r="A374" s="257" t="s">
        <v>216</v>
      </c>
      <c r="B374" s="257" t="s">
        <v>111</v>
      </c>
      <c r="C374" s="257" t="s">
        <v>246</v>
      </c>
      <c r="D374" s="257" t="s">
        <v>138</v>
      </c>
      <c r="E374" s="257">
        <v>44040.87831</v>
      </c>
      <c r="G374" s="257">
        <v>0</v>
      </c>
      <c r="H374" s="257">
        <v>1</v>
      </c>
      <c r="L374" s="257" t="s">
        <v>145</v>
      </c>
      <c r="M374" s="257" t="s">
        <v>112</v>
      </c>
      <c r="O374" s="257" t="s">
        <v>217</v>
      </c>
      <c r="P374" s="257" t="s">
        <v>232</v>
      </c>
    </row>
    <row r="375" spans="1:16">
      <c r="A375" s="257" t="s">
        <v>216</v>
      </c>
      <c r="B375" s="257" t="s">
        <v>111</v>
      </c>
      <c r="C375" s="257" t="s">
        <v>247</v>
      </c>
      <c r="D375" s="257" t="s">
        <v>138</v>
      </c>
      <c r="E375" s="257">
        <v>25227.520260000001</v>
      </c>
      <c r="G375" s="257">
        <v>0</v>
      </c>
      <c r="H375" s="257">
        <v>1</v>
      </c>
      <c r="L375" s="257" t="s">
        <v>145</v>
      </c>
      <c r="M375" s="257" t="s">
        <v>112</v>
      </c>
      <c r="O375" s="257" t="s">
        <v>217</v>
      </c>
      <c r="P375" s="257" t="s">
        <v>232</v>
      </c>
    </row>
    <row r="376" spans="1:16">
      <c r="A376" s="257" t="s">
        <v>216</v>
      </c>
      <c r="B376" s="257" t="s">
        <v>111</v>
      </c>
      <c r="C376" s="257" t="s">
        <v>248</v>
      </c>
      <c r="D376" s="257" t="s">
        <v>138</v>
      </c>
      <c r="E376" s="257">
        <v>56418.58597</v>
      </c>
      <c r="G376" s="257">
        <v>0</v>
      </c>
      <c r="H376" s="257">
        <v>1</v>
      </c>
      <c r="L376" s="257" t="s">
        <v>145</v>
      </c>
      <c r="M376" s="257" t="s">
        <v>112</v>
      </c>
      <c r="O376" s="257" t="s">
        <v>217</v>
      </c>
      <c r="P376" s="257" t="s">
        <v>232</v>
      </c>
    </row>
    <row r="377" spans="1:16">
      <c r="A377" s="257" t="s">
        <v>216</v>
      </c>
      <c r="B377" s="257" t="s">
        <v>111</v>
      </c>
      <c r="C377" s="257" t="s">
        <v>249</v>
      </c>
      <c r="D377" s="257" t="s">
        <v>138</v>
      </c>
      <c r="E377" s="257">
        <v>46996.524319999997</v>
      </c>
      <c r="G377" s="257">
        <v>0</v>
      </c>
      <c r="H377" s="257">
        <v>1</v>
      </c>
      <c r="L377" s="257" t="s">
        <v>145</v>
      </c>
      <c r="M377" s="257" t="s">
        <v>112</v>
      </c>
      <c r="O377" s="257" t="s">
        <v>217</v>
      </c>
      <c r="P377" s="257" t="s">
        <v>232</v>
      </c>
    </row>
    <row r="378" spans="1:16">
      <c r="A378" s="257" t="s">
        <v>216</v>
      </c>
      <c r="B378" s="257" t="s">
        <v>111</v>
      </c>
      <c r="C378" s="257" t="s">
        <v>250</v>
      </c>
      <c r="D378" s="257" t="s">
        <v>138</v>
      </c>
      <c r="E378" s="257">
        <v>4210.3949590000002</v>
      </c>
      <c r="G378" s="257">
        <v>0</v>
      </c>
      <c r="H378" s="257">
        <v>1</v>
      </c>
      <c r="L378" s="257" t="s">
        <v>145</v>
      </c>
      <c r="M378" s="257" t="s">
        <v>112</v>
      </c>
      <c r="O378" s="257" t="s">
        <v>217</v>
      </c>
      <c r="P378" s="257" t="s">
        <v>232</v>
      </c>
    </row>
    <row r="379" spans="1:16">
      <c r="A379" s="257" t="s">
        <v>216</v>
      </c>
      <c r="B379" s="257" t="s">
        <v>111</v>
      </c>
      <c r="C379" s="257" t="s">
        <v>251</v>
      </c>
      <c r="D379" s="257" t="s">
        <v>138</v>
      </c>
      <c r="E379" s="257">
        <v>1173.4492680000001</v>
      </c>
      <c r="G379" s="257">
        <v>0</v>
      </c>
      <c r="H379" s="257">
        <v>1</v>
      </c>
      <c r="L379" s="257" t="s">
        <v>145</v>
      </c>
      <c r="M379" s="257" t="s">
        <v>112</v>
      </c>
      <c r="O379" s="257" t="s">
        <v>217</v>
      </c>
      <c r="P379" s="257" t="s">
        <v>232</v>
      </c>
    </row>
    <row r="380" spans="1:16">
      <c r="A380" s="257" t="s">
        <v>216</v>
      </c>
      <c r="B380" s="257" t="s">
        <v>111</v>
      </c>
      <c r="C380" s="257" t="s">
        <v>252</v>
      </c>
      <c r="D380" s="257" t="s">
        <v>138</v>
      </c>
      <c r="E380" s="257">
        <v>458.50308769999998</v>
      </c>
      <c r="G380" s="257">
        <v>0</v>
      </c>
      <c r="H380" s="257">
        <v>1</v>
      </c>
      <c r="L380" s="257" t="s">
        <v>145</v>
      </c>
      <c r="M380" s="257" t="s">
        <v>112</v>
      </c>
      <c r="O380" s="257" t="s">
        <v>217</v>
      </c>
      <c r="P380" s="257" t="s">
        <v>232</v>
      </c>
    </row>
    <row r="381" spans="1:16">
      <c r="A381" s="257" t="s">
        <v>216</v>
      </c>
      <c r="B381" s="257" t="s">
        <v>111</v>
      </c>
      <c r="C381" s="257" t="s">
        <v>253</v>
      </c>
      <c r="D381" s="257" t="s">
        <v>138</v>
      </c>
      <c r="E381" s="257">
        <v>4909.7807409999996</v>
      </c>
      <c r="G381" s="257">
        <v>0</v>
      </c>
      <c r="H381" s="257">
        <v>1</v>
      </c>
      <c r="L381" s="257" t="s">
        <v>145</v>
      </c>
      <c r="M381" s="257" t="s">
        <v>112</v>
      </c>
      <c r="O381" s="257" t="s">
        <v>217</v>
      </c>
      <c r="P381" s="257" t="s">
        <v>232</v>
      </c>
    </row>
    <row r="382" spans="1:16">
      <c r="A382" s="257" t="s">
        <v>216</v>
      </c>
      <c r="B382" s="257" t="s">
        <v>111</v>
      </c>
      <c r="C382" s="257" t="s">
        <v>254</v>
      </c>
      <c r="D382" s="257" t="s">
        <v>138</v>
      </c>
      <c r="E382" s="257">
        <v>12161.910190000001</v>
      </c>
      <c r="G382" s="257">
        <v>0</v>
      </c>
      <c r="H382" s="257">
        <v>1</v>
      </c>
      <c r="L382" s="257" t="s">
        <v>145</v>
      </c>
      <c r="M382" s="257" t="s">
        <v>112</v>
      </c>
      <c r="O382" s="257" t="s">
        <v>217</v>
      </c>
      <c r="P382" s="257" t="s">
        <v>232</v>
      </c>
    </row>
    <row r="383" spans="1:16">
      <c r="A383" s="257" t="s">
        <v>216</v>
      </c>
      <c r="B383" s="257" t="s">
        <v>111</v>
      </c>
      <c r="C383" s="257" t="s">
        <v>255</v>
      </c>
      <c r="D383" s="257" t="s">
        <v>138</v>
      </c>
      <c r="E383" s="257">
        <v>8477.1225149999991</v>
      </c>
      <c r="G383" s="257">
        <v>0</v>
      </c>
      <c r="H383" s="257">
        <v>1</v>
      </c>
      <c r="L383" s="257" t="s">
        <v>145</v>
      </c>
      <c r="M383" s="257" t="s">
        <v>112</v>
      </c>
      <c r="O383" s="257" t="s">
        <v>217</v>
      </c>
      <c r="P383" s="257" t="s">
        <v>232</v>
      </c>
    </row>
    <row r="384" spans="1:16">
      <c r="A384" s="257" t="s">
        <v>216</v>
      </c>
      <c r="B384" s="257" t="s">
        <v>111</v>
      </c>
      <c r="C384" s="257" t="s">
        <v>256</v>
      </c>
      <c r="D384" s="257" t="s">
        <v>138</v>
      </c>
      <c r="E384" s="257">
        <v>44151.632810000003</v>
      </c>
      <c r="G384" s="257">
        <v>0</v>
      </c>
      <c r="H384" s="257">
        <v>1</v>
      </c>
      <c r="L384" s="257" t="s">
        <v>145</v>
      </c>
      <c r="M384" s="257" t="s">
        <v>112</v>
      </c>
      <c r="O384" s="257" t="s">
        <v>217</v>
      </c>
      <c r="P384" s="257" t="s">
        <v>232</v>
      </c>
    </row>
    <row r="385" spans="1:16">
      <c r="A385" s="257" t="s">
        <v>216</v>
      </c>
      <c r="B385" s="257" t="s">
        <v>111</v>
      </c>
      <c r="C385" s="257" t="s">
        <v>139</v>
      </c>
      <c r="D385" s="257" t="s">
        <v>138</v>
      </c>
      <c r="E385" s="257">
        <v>5183.9126459999998</v>
      </c>
      <c r="G385" s="257">
        <v>0</v>
      </c>
      <c r="H385" s="257">
        <v>1</v>
      </c>
      <c r="L385" s="257" t="s">
        <v>145</v>
      </c>
      <c r="M385" s="257" t="s">
        <v>112</v>
      </c>
      <c r="O385" s="257" t="s">
        <v>217</v>
      </c>
      <c r="P385" s="257" t="s">
        <v>232</v>
      </c>
    </row>
    <row r="386" spans="1:16">
      <c r="A386" s="257" t="s">
        <v>216</v>
      </c>
      <c r="B386" s="257" t="s">
        <v>111</v>
      </c>
      <c r="C386" s="257" t="s">
        <v>257</v>
      </c>
      <c r="D386" s="257" t="s">
        <v>138</v>
      </c>
      <c r="E386" s="257">
        <v>14427.87175</v>
      </c>
      <c r="G386" s="257">
        <v>0</v>
      </c>
      <c r="H386" s="257">
        <v>1</v>
      </c>
      <c r="L386" s="257" t="s">
        <v>145</v>
      </c>
      <c r="M386" s="257" t="s">
        <v>112</v>
      </c>
      <c r="O386" s="257" t="s">
        <v>217</v>
      </c>
      <c r="P386" s="257" t="s">
        <v>232</v>
      </c>
    </row>
    <row r="387" spans="1:16">
      <c r="A387" s="257" t="s">
        <v>216</v>
      </c>
      <c r="B387" s="257" t="s">
        <v>111</v>
      </c>
      <c r="C387" s="257" t="s">
        <v>258</v>
      </c>
      <c r="D387" s="257" t="s">
        <v>138</v>
      </c>
      <c r="E387" s="257">
        <v>35836.700320000004</v>
      </c>
      <c r="G387" s="257">
        <v>0</v>
      </c>
      <c r="H387" s="257">
        <v>1</v>
      </c>
      <c r="L387" s="257" t="s">
        <v>145</v>
      </c>
      <c r="M387" s="257" t="s">
        <v>112</v>
      </c>
      <c r="O387" s="257" t="s">
        <v>217</v>
      </c>
      <c r="P387" s="257" t="s">
        <v>232</v>
      </c>
    </row>
    <row r="388" spans="1:16">
      <c r="A388" s="257" t="s">
        <v>216</v>
      </c>
      <c r="B388" s="257" t="s">
        <v>111</v>
      </c>
      <c r="C388" s="257" t="s">
        <v>259</v>
      </c>
      <c r="D388" s="257" t="s">
        <v>138</v>
      </c>
      <c r="E388" s="257">
        <v>105011.4648</v>
      </c>
      <c r="G388" s="257">
        <v>0</v>
      </c>
      <c r="H388" s="257">
        <v>1</v>
      </c>
      <c r="L388" s="257" t="s">
        <v>145</v>
      </c>
      <c r="M388" s="257" t="s">
        <v>112</v>
      </c>
      <c r="O388" s="257" t="s">
        <v>217</v>
      </c>
      <c r="P388" s="257" t="s">
        <v>232</v>
      </c>
    </row>
    <row r="389" spans="1:16">
      <c r="A389" s="257" t="s">
        <v>216</v>
      </c>
      <c r="B389" s="257" t="s">
        <v>111</v>
      </c>
      <c r="C389" s="257" t="s">
        <v>260</v>
      </c>
      <c r="D389" s="257" t="s">
        <v>138</v>
      </c>
      <c r="E389" s="257">
        <v>1257.4950980000001</v>
      </c>
      <c r="G389" s="257">
        <v>0</v>
      </c>
      <c r="H389" s="257">
        <v>1</v>
      </c>
      <c r="L389" s="257" t="s">
        <v>145</v>
      </c>
      <c r="M389" s="257" t="s">
        <v>112</v>
      </c>
      <c r="O389" s="257" t="s">
        <v>217</v>
      </c>
      <c r="P389" s="257" t="s">
        <v>232</v>
      </c>
    </row>
    <row r="390" spans="1:16">
      <c r="A390" s="257" t="s">
        <v>216</v>
      </c>
      <c r="B390" s="257" t="s">
        <v>111</v>
      </c>
      <c r="C390" s="257" t="s">
        <v>261</v>
      </c>
      <c r="D390" s="257" t="s">
        <v>138</v>
      </c>
      <c r="E390" s="257">
        <v>58116.396180000003</v>
      </c>
      <c r="G390" s="257">
        <v>0</v>
      </c>
      <c r="H390" s="257">
        <v>1</v>
      </c>
      <c r="L390" s="257" t="s">
        <v>145</v>
      </c>
      <c r="M390" s="257" t="s">
        <v>112</v>
      </c>
      <c r="O390" s="257" t="s">
        <v>217</v>
      </c>
      <c r="P390" s="257" t="s">
        <v>232</v>
      </c>
    </row>
    <row r="391" spans="1:16">
      <c r="A391" s="257" t="s">
        <v>216</v>
      </c>
      <c r="B391" s="257" t="s">
        <v>111</v>
      </c>
      <c r="C391" s="257" t="s">
        <v>262</v>
      </c>
      <c r="D391" s="257" t="s">
        <v>138</v>
      </c>
      <c r="E391" s="257">
        <v>48614.912040000003</v>
      </c>
      <c r="G391" s="257">
        <v>0</v>
      </c>
      <c r="H391" s="257">
        <v>1</v>
      </c>
      <c r="L391" s="257" t="s">
        <v>145</v>
      </c>
      <c r="M391" s="257" t="s">
        <v>112</v>
      </c>
      <c r="O391" s="257" t="s">
        <v>217</v>
      </c>
      <c r="P391" s="257" t="s">
        <v>232</v>
      </c>
    </row>
    <row r="394" spans="1:16">
      <c r="A394"/>
      <c r="B394"/>
      <c r="C394"/>
      <c r="D394"/>
      <c r="E394"/>
      <c r="F394"/>
      <c r="G394"/>
      <c r="H394"/>
      <c r="I394"/>
    </row>
    <row r="395" spans="1:16">
      <c r="A395"/>
      <c r="B395"/>
      <c r="C395"/>
      <c r="D395"/>
      <c r="E395"/>
      <c r="F395"/>
      <c r="G395"/>
      <c r="H395" s="284"/>
      <c r="I395" s="284"/>
    </row>
    <row r="396" spans="1:16" ht="51.75">
      <c r="A396"/>
      <c r="B396"/>
      <c r="C396" s="196" t="s">
        <v>302</v>
      </c>
      <c r="D396" s="196" t="s">
        <v>303</v>
      </c>
      <c r="E396" s="196" t="s">
        <v>140</v>
      </c>
      <c r="F396" s="196" t="s">
        <v>304</v>
      </c>
      <c r="G396" s="196" t="s">
        <v>305</v>
      </c>
      <c r="H396" s="285" t="s">
        <v>265</v>
      </c>
      <c r="I396" s="285" t="s">
        <v>266</v>
      </c>
      <c r="J396" s="196" t="s">
        <v>267</v>
      </c>
      <c r="K396" s="196" t="s">
        <v>271</v>
      </c>
    </row>
    <row r="397" spans="1:16">
      <c r="A397" s="158">
        <v>2026</v>
      </c>
      <c r="B397" s="297" t="s">
        <v>306</v>
      </c>
      <c r="C397">
        <v>250</v>
      </c>
      <c r="D397">
        <v>250</v>
      </c>
      <c r="E397" s="297">
        <v>250</v>
      </c>
      <c r="F397" s="297">
        <v>29.5</v>
      </c>
      <c r="G397">
        <v>1</v>
      </c>
      <c r="H397" t="s">
        <v>307</v>
      </c>
      <c r="I397" t="s">
        <v>308</v>
      </c>
      <c r="J397" s="300">
        <v>4.921083799999999</v>
      </c>
      <c r="K397" s="301">
        <v>1230.2709499999999</v>
      </c>
    </row>
    <row r="398" spans="1:16">
      <c r="A398" s="158">
        <v>2027</v>
      </c>
      <c r="B398" s="163" t="s">
        <v>309</v>
      </c>
      <c r="C398">
        <v>0</v>
      </c>
      <c r="D398">
        <v>0</v>
      </c>
      <c r="E398" s="163">
        <v>199</v>
      </c>
      <c r="F398" s="163">
        <v>13.36</v>
      </c>
      <c r="G398">
        <v>1</v>
      </c>
      <c r="H398" t="s">
        <v>310</v>
      </c>
      <c r="I398" t="s">
        <v>310</v>
      </c>
      <c r="J398" s="302">
        <v>2.7998330452261304</v>
      </c>
      <c r="K398" s="303">
        <v>557.16677599999991</v>
      </c>
    </row>
    <row r="399" spans="1:16">
      <c r="A399" s="158">
        <v>0</v>
      </c>
      <c r="B399" s="295" t="s">
        <v>311</v>
      </c>
      <c r="C399">
        <v>0</v>
      </c>
      <c r="D399">
        <v>0</v>
      </c>
      <c r="E399" s="295">
        <v>152</v>
      </c>
      <c r="F399" s="295">
        <v>3.48</v>
      </c>
      <c r="G399">
        <v>1</v>
      </c>
      <c r="H399" t="s">
        <v>310</v>
      </c>
      <c r="I399" t="s">
        <v>310</v>
      </c>
      <c r="J399" s="319">
        <v>0.95480439473684209</v>
      </c>
      <c r="K399" s="320">
        <v>145.130268</v>
      </c>
    </row>
    <row r="400" spans="1:16">
      <c r="A400" s="158">
        <v>2028</v>
      </c>
      <c r="B400" t="s">
        <v>312</v>
      </c>
      <c r="C400">
        <v>818</v>
      </c>
      <c r="D400">
        <v>300</v>
      </c>
      <c r="E400">
        <v>0</v>
      </c>
      <c r="F400">
        <v>0</v>
      </c>
      <c r="G400">
        <v>1</v>
      </c>
      <c r="H400" t="s">
        <v>313</v>
      </c>
      <c r="I400" t="s">
        <v>314</v>
      </c>
      <c r="J400" s="290">
        <v>0</v>
      </c>
      <c r="K400" s="292">
        <v>0</v>
      </c>
    </row>
    <row r="401" spans="1:11">
      <c r="A401" s="158">
        <v>0</v>
      </c>
      <c r="B401" t="s">
        <v>315</v>
      </c>
      <c r="C401">
        <v>600</v>
      </c>
      <c r="D401">
        <v>300</v>
      </c>
      <c r="E401">
        <v>0</v>
      </c>
      <c r="F401">
        <v>0</v>
      </c>
      <c r="G401">
        <v>1</v>
      </c>
      <c r="H401" t="s">
        <v>316</v>
      </c>
      <c r="I401" t="s">
        <v>313</v>
      </c>
      <c r="J401" s="290">
        <v>0</v>
      </c>
      <c r="K401" s="292">
        <v>0</v>
      </c>
    </row>
    <row r="402" spans="1:11">
      <c r="A402" s="158">
        <v>0</v>
      </c>
      <c r="B402" t="s">
        <v>317</v>
      </c>
      <c r="C402">
        <v>200</v>
      </c>
      <c r="D402">
        <v>200</v>
      </c>
      <c r="E402">
        <v>0</v>
      </c>
      <c r="F402">
        <v>0</v>
      </c>
      <c r="G402">
        <v>1</v>
      </c>
      <c r="H402" t="s">
        <v>318</v>
      </c>
      <c r="I402" t="s">
        <v>316</v>
      </c>
      <c r="J402" s="290">
        <v>0</v>
      </c>
      <c r="K402" s="292">
        <v>0</v>
      </c>
    </row>
    <row r="403" spans="1:11">
      <c r="A403" s="158">
        <v>0</v>
      </c>
      <c r="B403" t="s">
        <v>319</v>
      </c>
      <c r="C403">
        <v>300</v>
      </c>
      <c r="D403">
        <v>300</v>
      </c>
      <c r="E403">
        <v>0</v>
      </c>
      <c r="F403">
        <v>0</v>
      </c>
      <c r="G403">
        <v>1</v>
      </c>
      <c r="H403" t="s">
        <v>320</v>
      </c>
      <c r="I403" t="s">
        <v>321</v>
      </c>
      <c r="J403" s="290">
        <v>0</v>
      </c>
      <c r="K403" s="292">
        <v>0</v>
      </c>
    </row>
    <row r="404" spans="1:11">
      <c r="A404" s="158">
        <v>0</v>
      </c>
      <c r="B404" s="163" t="s">
        <v>322</v>
      </c>
      <c r="C404">
        <v>0</v>
      </c>
      <c r="D404">
        <v>0</v>
      </c>
      <c r="E404" s="163">
        <v>393</v>
      </c>
      <c r="F404" s="163">
        <v>2.17</v>
      </c>
      <c r="G404">
        <v>1</v>
      </c>
      <c r="H404" t="s">
        <v>310</v>
      </c>
      <c r="I404" t="s">
        <v>310</v>
      </c>
      <c r="J404" s="302">
        <v>0.23027454707379136</v>
      </c>
      <c r="K404" s="303">
        <v>90.497897000000009</v>
      </c>
    </row>
    <row r="405" spans="1:11">
      <c r="A405" s="158">
        <v>2030</v>
      </c>
      <c r="B405" s="296" t="s">
        <v>323</v>
      </c>
      <c r="C405">
        <v>0</v>
      </c>
      <c r="D405">
        <v>0</v>
      </c>
      <c r="E405" s="296">
        <v>628</v>
      </c>
      <c r="F405" s="296">
        <v>66.47</v>
      </c>
      <c r="G405">
        <v>1</v>
      </c>
      <c r="H405" t="s">
        <v>310</v>
      </c>
      <c r="I405" t="s">
        <v>310</v>
      </c>
      <c r="J405" s="307">
        <v>4.4141266353503186</v>
      </c>
      <c r="K405" s="308">
        <v>2772.0715270000001</v>
      </c>
    </row>
    <row r="406" spans="1:11">
      <c r="A406" s="158">
        <v>2031</v>
      </c>
      <c r="B406" s="294" t="s">
        <v>323</v>
      </c>
      <c r="C406">
        <v>0</v>
      </c>
      <c r="D406">
        <v>0</v>
      </c>
      <c r="E406" s="294">
        <v>393</v>
      </c>
      <c r="F406" s="294">
        <v>347.95</v>
      </c>
      <c r="G406">
        <v>1</v>
      </c>
      <c r="H406" t="s">
        <v>310</v>
      </c>
      <c r="I406" t="s">
        <v>310</v>
      </c>
      <c r="J406" s="309">
        <v>36.923515508905851</v>
      </c>
      <c r="K406" s="310">
        <v>14510.941594999998</v>
      </c>
    </row>
    <row r="407" spans="1:11">
      <c r="A407" s="158">
        <v>0</v>
      </c>
      <c r="B407" s="294" t="s">
        <v>324</v>
      </c>
      <c r="C407">
        <v>400</v>
      </c>
      <c r="D407">
        <v>400</v>
      </c>
      <c r="E407" s="294">
        <v>400</v>
      </c>
      <c r="F407" s="294">
        <v>144.56</v>
      </c>
      <c r="G407">
        <v>1</v>
      </c>
      <c r="H407" t="s">
        <v>310</v>
      </c>
      <c r="I407" t="s">
        <v>310</v>
      </c>
      <c r="J407" s="309">
        <v>15.071861739999999</v>
      </c>
      <c r="K407" s="310">
        <v>6028.7446959999997</v>
      </c>
    </row>
    <row r="408" spans="1:11">
      <c r="A408" s="158">
        <v>2032</v>
      </c>
      <c r="B408" s="306" t="s">
        <v>325</v>
      </c>
      <c r="C408">
        <v>400</v>
      </c>
      <c r="D408">
        <v>400</v>
      </c>
      <c r="E408" s="306">
        <v>400</v>
      </c>
      <c r="F408" s="306">
        <v>120.3</v>
      </c>
      <c r="G408">
        <v>1</v>
      </c>
      <c r="H408" t="s">
        <v>326</v>
      </c>
      <c r="I408" t="s">
        <v>313</v>
      </c>
      <c r="J408" s="304">
        <v>12.542508075000001</v>
      </c>
      <c r="K408" s="305">
        <v>5017.0032300000003</v>
      </c>
    </row>
    <row r="409" spans="1:11">
      <c r="A409" s="158">
        <v>0</v>
      </c>
      <c r="B409" s="163" t="s">
        <v>295</v>
      </c>
      <c r="C409">
        <v>450</v>
      </c>
      <c r="D409">
        <v>450</v>
      </c>
      <c r="E409" s="163">
        <v>450</v>
      </c>
      <c r="F409" s="163">
        <v>413.15</v>
      </c>
      <c r="G409">
        <v>1</v>
      </c>
      <c r="H409" t="s">
        <v>327</v>
      </c>
      <c r="I409" t="s">
        <v>328</v>
      </c>
      <c r="J409" s="302">
        <v>38.28899758888889</v>
      </c>
      <c r="K409" s="303">
        <v>17230.048914999999</v>
      </c>
    </row>
    <row r="410" spans="1:11">
      <c r="A410" s="158">
        <v>2036</v>
      </c>
      <c r="B410" t="s">
        <v>329</v>
      </c>
      <c r="C410">
        <v>1500</v>
      </c>
      <c r="D410">
        <v>1500</v>
      </c>
      <c r="E410">
        <v>1990</v>
      </c>
      <c r="F410">
        <v>1810.09</v>
      </c>
      <c r="G410">
        <v>1</v>
      </c>
      <c r="H410" t="s">
        <v>330</v>
      </c>
      <c r="I410" t="s">
        <v>331</v>
      </c>
      <c r="J410" s="290">
        <v>37.933755964321605</v>
      </c>
      <c r="K410" s="292">
        <v>75488.174369</v>
      </c>
    </row>
    <row r="411" spans="1:11">
      <c r="A411" s="158">
        <v>0</v>
      </c>
      <c r="B411" s="297" t="s">
        <v>332</v>
      </c>
      <c r="C411">
        <v>800</v>
      </c>
      <c r="D411">
        <v>800</v>
      </c>
      <c r="E411" s="297">
        <v>800</v>
      </c>
      <c r="F411" s="297">
        <v>264.02999999999997</v>
      </c>
      <c r="G411">
        <v>1</v>
      </c>
      <c r="H411" t="s">
        <v>307</v>
      </c>
      <c r="I411" t="s">
        <v>308</v>
      </c>
      <c r="J411" s="300">
        <v>13.763916903749998</v>
      </c>
      <c r="K411" s="301">
        <v>11011.133522999999</v>
      </c>
    </row>
    <row r="412" spans="1:11">
      <c r="A412" s="158">
        <v>0</v>
      </c>
      <c r="B412" s="163" t="s">
        <v>333</v>
      </c>
      <c r="C412">
        <v>1500</v>
      </c>
      <c r="D412">
        <v>1500</v>
      </c>
      <c r="E412" s="163">
        <v>665</v>
      </c>
      <c r="F412" s="163">
        <v>1116.9100000000001</v>
      </c>
      <c r="G412">
        <v>1</v>
      </c>
      <c r="H412" t="s">
        <v>327</v>
      </c>
      <c r="I412" t="s">
        <v>334</v>
      </c>
      <c r="J412" s="302">
        <v>70.044701249624055</v>
      </c>
      <c r="K412" s="303">
        <v>46579.726330999998</v>
      </c>
    </row>
    <row r="413" spans="1:11">
      <c r="A413" s="158">
        <v>0</v>
      </c>
      <c r="B413" s="297" t="s">
        <v>335</v>
      </c>
      <c r="C413">
        <v>300</v>
      </c>
      <c r="D413">
        <v>300</v>
      </c>
      <c r="E413" s="297">
        <v>300</v>
      </c>
      <c r="F413" s="297">
        <v>152.91999999999999</v>
      </c>
      <c r="G413">
        <v>1</v>
      </c>
      <c r="H413" t="s">
        <v>307</v>
      </c>
      <c r="I413" t="s">
        <v>308</v>
      </c>
      <c r="J413" s="300">
        <v>21.257969906666666</v>
      </c>
      <c r="K413" s="301">
        <v>6377.3909720000001</v>
      </c>
    </row>
    <row r="414" spans="1:11">
      <c r="A414" s="158">
        <v>0</v>
      </c>
      <c r="B414" s="297" t="s">
        <v>336</v>
      </c>
      <c r="C414">
        <v>200</v>
      </c>
      <c r="D414">
        <v>200</v>
      </c>
      <c r="E414" s="297">
        <v>200</v>
      </c>
      <c r="F414" s="297">
        <v>14.28</v>
      </c>
      <c r="G414">
        <v>1</v>
      </c>
      <c r="H414" t="s">
        <v>307</v>
      </c>
      <c r="I414" t="s">
        <v>308</v>
      </c>
      <c r="J414" s="300">
        <v>2.97767274</v>
      </c>
      <c r="K414" s="301">
        <v>595.53454799999997</v>
      </c>
    </row>
    <row r="415" spans="1:11">
      <c r="A415" s="158">
        <v>2041</v>
      </c>
      <c r="B415" t="s">
        <v>337</v>
      </c>
      <c r="C415">
        <v>0</v>
      </c>
      <c r="D415">
        <v>0</v>
      </c>
      <c r="E415">
        <v>231</v>
      </c>
      <c r="F415">
        <v>52.02</v>
      </c>
      <c r="G415">
        <v>1</v>
      </c>
      <c r="H415" t="s">
        <v>310</v>
      </c>
      <c r="I415" t="s">
        <v>310</v>
      </c>
      <c r="J415" s="290">
        <v>9.3915466753246761</v>
      </c>
      <c r="K415" s="292">
        <v>2169.4472820000001</v>
      </c>
    </row>
    <row r="416" spans="1:11">
      <c r="A416" t="s">
        <v>338</v>
      </c>
      <c r="B416">
        <v>0</v>
      </c>
      <c r="C416">
        <v>7718</v>
      </c>
      <c r="D416">
        <v>6900</v>
      </c>
      <c r="E416">
        <v>7451</v>
      </c>
      <c r="F416">
        <v>4551.1899999999996</v>
      </c>
      <c r="G416">
        <v>19</v>
      </c>
      <c r="H416" t="s">
        <v>339</v>
      </c>
      <c r="I416" t="s">
        <v>339</v>
      </c>
      <c r="J416" s="290">
        <v>25.473531456046167</v>
      </c>
    </row>
    <row r="417" spans="1:9">
      <c r="A417"/>
      <c r="B417"/>
      <c r="C417" s="286"/>
      <c r="D417" s="286"/>
      <c r="E417" s="286"/>
      <c r="F417" s="287"/>
      <c r="G417" s="288"/>
      <c r="H417" s="191"/>
      <c r="I417" s="191"/>
    </row>
    <row r="418" spans="1:9">
      <c r="A418"/>
      <c r="B418"/>
      <c r="C418" s="286"/>
      <c r="D418" s="286"/>
      <c r="E418" s="286"/>
      <c r="F418" s="287"/>
      <c r="G418" s="289"/>
      <c r="H418" s="191"/>
      <c r="I418" s="191"/>
    </row>
  </sheetData>
  <conditionalFormatting sqref="H397:I418">
    <cfRule type="notContainsBlanks" dxfId="0" priority="1">
      <formula>LEN(TRIM(H397))&gt;0</formula>
    </cfRule>
  </conditionalFormatting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972F6-696C-41A6-819E-86FF0E686BD4}">
  <sheetPr>
    <tabColor rgb="FFFFFF00"/>
    <pageSetUpPr fitToPage="1"/>
  </sheetPr>
  <dimension ref="B1:AC89"/>
  <sheetViews>
    <sheetView view="pageBreakPreview" zoomScale="60" zoomScaleNormal="70" workbookViewId="0"/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  <c r="Q4" s="281"/>
      <c r="R4" s="28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Q5" s="281"/>
      <c r="R5" s="281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Assumptions'!$E$275:$E$298,'Table 3 PV_.PX.WMV._.PTC.2032'!$B11-2023,1)</f>
        <v>20.967336</v>
      </c>
      <c r="F11" s="71"/>
      <c r="G11" s="72"/>
      <c r="H11" s="71"/>
      <c r="I11" s="71"/>
      <c r="J11" s="72"/>
      <c r="K11" s="72"/>
      <c r="L11" s="71"/>
      <c r="Q11" s="71"/>
      <c r="R11" s="71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Assumptions'!$E$275:$E$298,'Table 3 PV_.PX.WMV._.PTC.2032'!$B12-2023,1)</f>
        <v>21.424423924799999</v>
      </c>
      <c r="F12" s="71"/>
      <c r="G12" s="72"/>
      <c r="H12" s="71"/>
      <c r="I12" s="71"/>
      <c r="J12" s="72"/>
      <c r="K12" s="72"/>
      <c r="L12" s="71"/>
      <c r="Q12" s="71"/>
      <c r="R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Assumptions'!$E$275:$E$298,'Table 3 PV_.PX.WMV._.PTC.2032'!$B13-2023,1)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Q13" s="71"/>
      <c r="R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Assumptions'!$E$275:$E$298,'Table 3 PV_.PX.WMV._.PTC.2032'!$B14-2023,1)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Q14" s="71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Assumptions'!$E$275:$E$298,'Table 3 PV_.PX.WMV._.PTC.2032'!$B15-2023,1)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Q15" s="71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Assumptions'!$E$275:$E$298,'Table 3 PV_.PX.WMV._.PTC.2032'!$B16-2023,1)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Q16" s="71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Assumptions'!$E$275:$E$298,'Table 3 PV_.PX.WMV._.PTC.2032'!$B17-2023,1)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Q17" s="71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248">
        <f>C18*$C$60</f>
        <v>78.922512291318895</v>
      </c>
      <c r="E18" s="71" cm="1">
        <f t="array" ref="E18">$E$10*INDEX('2025 IRP Assumptions'!$E$275:$E$298,'Table 3 PV_.PX.WMV._.PTC.2032'!$B18-2023,1)</f>
        <v>24.383977170120001</v>
      </c>
      <c r="F18" s="71">
        <f>'Table 3 TransCost'!T17</f>
        <v>19.102049794900221</v>
      </c>
      <c r="G18" s="72">
        <f t="shared" ref="G18:G36" si="1">(D18+E18+F18)/(8.76*$C$61)</f>
        <v>57.06203224002688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11.982032240026882</v>
      </c>
      <c r="K18" s="72">
        <f t="shared" ref="K18:K36" si="3">ROUND(J18*$C$61*8.76,2)</f>
        <v>25.7</v>
      </c>
      <c r="L18" s="71">
        <f t="shared" ref="L18:L36" si="4">(D18+E18+F18)</f>
        <v>122.40853925633913</v>
      </c>
      <c r="P18" s="88"/>
      <c r="Q18" s="71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Assumptions'!$E$275:$E$298,'Table 3 PV_.PX.WMV._.PTC.2032'!$B19-2023,1)/INDEX('2025 IRP Assumptions'!$E$275:$E$298,'Table 3 PV_.PX.WMV._.PTC.2032'!$B19-2023-1,1)</f>
        <v>80.643023060212741</v>
      </c>
      <c r="E19" s="71" cm="1">
        <f t="array" ref="E19">$E$10*INDEX('2025 IRP Assumptions'!$E$275:$E$298,'Table 3 PV_.PX.WMV._.PTC.2032'!$B19-2023,1)</f>
        <v>24.915547872719998</v>
      </c>
      <c r="F19" s="71" cm="1">
        <f t="array" ref="F19">F18*INDEX('2025 IRP Assumptions'!$E$275:$E$298,'Table 3 PV_.PX.WMV._.PTC.2032'!$B19-2023,1)/INDEX('2025 IRP Assumptions'!$E$275:$E$298,'Table 3 PV_.PX.WMV._.PTC.2032'!$B19-2023-1,1)</f>
        <v>19.518474480657307</v>
      </c>
      <c r="G19" s="72">
        <f t="shared" si="1"/>
        <v>58.305984543541335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11.895984543541338</v>
      </c>
      <c r="K19" s="72">
        <f t="shared" si="3"/>
        <v>25.52</v>
      </c>
      <c r="L19" s="71">
        <f t="shared" si="4"/>
        <v>125.07704541359004</v>
      </c>
      <c r="P19" s="88"/>
      <c r="Q19" s="71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Assumptions'!$E$275:$E$298,'Table 3 PV_.PX.WMV._.PTC.2032'!$B20-2023,1)/INDEX('2025 IRP Assumptions'!$E$275:$E$298,'Table 3 PV_.PX.WMV._.PTC.2032'!$B20-2023-1,1)</f>
        <v>82.401041023045295</v>
      </c>
      <c r="E20" s="71" cm="1">
        <f t="array" ref="E20">$E$10*INDEX('2025 IRP Assumptions'!$E$275:$E$298,'Table 3 PV_.PX.WMV._.PTC.2032'!$B20-2023,1)</f>
        <v>25.458706834919997</v>
      </c>
      <c r="F20" s="71" cm="1">
        <f t="array" ref="F20">F19*INDEX('2025 IRP Assumptions'!$E$275:$E$298,'Table 3 PV_.PX.WMV._.PTC.2032'!$B20-2023,1)/INDEX('2025 IRP Assumptions'!$E$275:$E$298,'Table 3 PV_.PX.WMV._.PTC.2032'!$B20-2023-1,1)</f>
        <v>19.943977238886788</v>
      </c>
      <c r="G20" s="72">
        <f t="shared" si="1"/>
        <v>59.577055050058036</v>
      </c>
      <c r="H20" s="71"/>
      <c r="I20" s="71">
        <f>-INDEX('2025 IRP Assumptions'!$E$243:$E$272,MATCH(B20,'2025 IRP Assumptions'!$S$243:$S$272,0),1)</f>
        <v>-47.74</v>
      </c>
      <c r="J20" s="72">
        <f t="shared" si="2"/>
        <v>11.837055050058034</v>
      </c>
      <c r="K20" s="72">
        <f t="shared" si="3"/>
        <v>25.39</v>
      </c>
      <c r="L20" s="71">
        <f t="shared" si="4"/>
        <v>127.80372509685208</v>
      </c>
      <c r="P20" s="88"/>
      <c r="Q20" s="71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Assumptions'!$E$275:$E$298,'Table 3 PV_.PX.WMV._.PTC.2032'!$B21-2023,1)/INDEX('2025 IRP Assumptions'!$E$275:$E$298,'Table 3 PV_.PX.WMV._.PTC.2032'!$B21-2023-1,1)</f>
        <v>84.197383696240621</v>
      </c>
      <c r="E21" s="71" cm="1">
        <f t="array" ref="E21">$E$10*INDEX('2025 IRP Assumptions'!$E$275:$E$298,'Table 3 PV_.PX.WMV._.PTC.2032'!$B21-2023,1)</f>
        <v>26.013706637399999</v>
      </c>
      <c r="F21" s="71" cm="1">
        <f t="array" ref="F21">F20*INDEX('2025 IRP Assumptions'!$E$275:$E$298,'Table 3 PV_.PX.WMV._.PTC.2032'!$B21-2023,1)/INDEX('2025 IRP Assumptions'!$E$275:$E$298,'Table 3 PV_.PX.WMV._.PTC.2032'!$B21-2023-1,1)</f>
        <v>20.378755937585865</v>
      </c>
      <c r="G21" s="72">
        <f t="shared" si="1"/>
        <v>60.875834834888607</v>
      </c>
      <c r="H21" s="71"/>
      <c r="I21" s="71">
        <f>-INDEX('2025 IRP Assumptions'!$E$243:$E$272,MATCH(B21,'2025 IRP Assumptions'!$S$243:$S$272,0),1)</f>
        <v>-47.74</v>
      </c>
      <c r="J21" s="72">
        <f t="shared" si="2"/>
        <v>13.135834834888605</v>
      </c>
      <c r="K21" s="72">
        <f t="shared" si="3"/>
        <v>28.18</v>
      </c>
      <c r="L21" s="71">
        <f t="shared" si="4"/>
        <v>130.58984627122646</v>
      </c>
      <c r="P21" s="88"/>
      <c r="Q21" s="71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Assumptions'!$E$275:$E$298,'Table 3 PV_.PX.WMV._.PTC.2032'!$B22-2023,1)/INDEX('2025 IRP Assumptions'!$E$275:$E$298,'Table 3 PV_.PX.WMV._.PTC.2032'!$B22-2023-1,1)</f>
        <v>86.032886661416413</v>
      </c>
      <c r="E22" s="71" cm="1">
        <f t="array" ref="E22">$E$10*INDEX('2025 IRP Assumptions'!$E$275:$E$298,'Table 3 PV_.PX.WMV._.PTC.2032'!$B22-2023,1)</f>
        <v>26.580805442279999</v>
      </c>
      <c r="F22" s="71" cm="1">
        <f t="array" ref="F22">F21*INDEX('2025 IRP Assumptions'!$E$275:$E$298,'Table 3 PV_.PX.WMV._.PTC.2032'!$B22-2023,1)/INDEX('2025 IRP Assumptions'!$E$275:$E$298,'Table 3 PV_.PX.WMV._.PTC.2032'!$B22-2023-1,1)</f>
        <v>20.823012817169911</v>
      </c>
      <c r="G22" s="72">
        <f t="shared" si="1"/>
        <v>62.20292803472136</v>
      </c>
      <c r="H22" s="71"/>
      <c r="I22" s="71">
        <f>-INDEX('2025 IRP Assumptions'!$E$243:$E$272,MATCH(B22,'2025 IRP Assumptions'!$S$243:$S$272,0),1)</f>
        <v>-49.06</v>
      </c>
      <c r="J22" s="72">
        <f t="shared" si="2"/>
        <v>13.142928034721358</v>
      </c>
      <c r="K22" s="72">
        <f t="shared" si="3"/>
        <v>28.19</v>
      </c>
      <c r="L22" s="71">
        <f t="shared" si="4"/>
        <v>133.4367049208663</v>
      </c>
      <c r="P22" s="88"/>
      <c r="Q22" s="71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Assumptions'!$E$275:$E$298,'Table 3 PV_.PX.WMV._.PTC.2032'!$B23-2023,1)/INDEX('2025 IRP Assumptions'!$E$275:$E$298,'Table 3 PV_.PX.WMV._.PTC.2032'!$B23-2023-1,1)</f>
        <v>87.908403565383864</v>
      </c>
      <c r="E23" s="71" cm="1">
        <f t="array" ref="E23">$E$10*INDEX('2025 IRP Assumptions'!$E$275:$E$298,'Table 3 PV_.PX.WMV._.PTC.2032'!$B23-2023,1)</f>
        <v>27.160266993119997</v>
      </c>
      <c r="F23" s="71" cm="1">
        <f t="array" ref="F23">F22*INDEX('2025 IRP Assumptions'!$E$275:$E$298,'Table 3 PV_.PX.WMV._.PTC.2032'!$B23-2023,1)/INDEX('2025 IRP Assumptions'!$E$275:$E$298,'Table 3 PV_.PX.WMV._.PTC.2032'!$B23-2023-1,1)</f>
        <v>21.276954490472473</v>
      </c>
      <c r="G23" s="72">
        <f t="shared" si="1"/>
        <v>63.558951847621174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13.168951847621173</v>
      </c>
      <c r="K23" s="72">
        <f t="shared" si="3"/>
        <v>28.25</v>
      </c>
      <c r="L23" s="71">
        <f t="shared" si="4"/>
        <v>136.34562504897633</v>
      </c>
      <c r="P23" s="88"/>
      <c r="Q23" s="71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Assumptions'!$E$275:$E$298,'Table 3 PV_.PX.WMV._.PTC.2032'!$B24-2023,1)/INDEX('2025 IRP Assumptions'!$E$275:$E$298,'Table 3 PV_.PX.WMV._.PTC.2032'!$B24-2023-1,1)</f>
        <v>89.824806784309274</v>
      </c>
      <c r="E24" s="71" cm="1">
        <f t="array" ref="E24">$E$10*INDEX('2025 IRP Assumptions'!$E$275:$E$298,'Table 3 PV_.PX.WMV._.PTC.2032'!$B24-2023,1)</f>
        <v>27.75236082012</v>
      </c>
      <c r="F24" s="71" cm="1">
        <f t="array" ref="F24">F23*INDEX('2025 IRP Assumptions'!$E$275:$E$298,'Table 3 PV_.PX.WMV._.PTC.2032'!$B24-2023,1)/INDEX('2025 IRP Assumptions'!$E$275:$E$298,'Table 3 PV_.PX.WMV._.PTC.2032'!$B24-2023-1,1)</f>
        <v>21.740792103495934</v>
      </c>
      <c r="G24" s="72">
        <f t="shared" si="1"/>
        <v>64.944537013227233</v>
      </c>
      <c r="H24" s="71"/>
      <c r="I24" s="71">
        <f>-INDEX('2025 IRP Assumptions'!$E$243:$E$272,MATCH(B24,'2025 IRP Assumptions'!$S$243:$S$272,0),1)</f>
        <v>-51.71</v>
      </c>
      <c r="J24" s="72">
        <f t="shared" si="2"/>
        <v>13.234537013227232</v>
      </c>
      <c r="K24" s="72">
        <f t="shared" si="3"/>
        <v>28.39</v>
      </c>
      <c r="L24" s="71">
        <f t="shared" si="4"/>
        <v>139.31795970792521</v>
      </c>
      <c r="P24" s="88"/>
      <c r="Q24" s="71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Assumptions'!$E$275:$E$298,'Table 3 PV_.PX.WMV._.PTC.2032'!$B25-2023,1)/INDEX('2025 IRP Assumptions'!$E$275:$E$298,'Table 3 PV_.PX.WMV._.PTC.2032'!$B25-2023-1,1)</f>
        <v>91.782987556546288</v>
      </c>
      <c r="E25" s="71" cm="1">
        <f t="array" ref="E25">$E$10*INDEX('2025 IRP Assumptions'!$E$275:$E$298,'Table 3 PV_.PX.WMV._.PTC.2032'!$B25-2023,1)</f>
        <v>28.35736228116</v>
      </c>
      <c r="F25" s="71" cm="1">
        <f t="array" ref="F25">F24*INDEX('2025 IRP Assumptions'!$E$275:$E$298,'Table 3 PV_.PX.WMV._.PTC.2032'!$B25-2023,1)/INDEX('2025 IRP Assumptions'!$E$275:$E$298,'Table 3 PV_.PX.WMV._.PTC.2032'!$B25-2023-1,1)</f>
        <v>22.214741367561647</v>
      </c>
      <c r="G25" s="72">
        <f t="shared" si="1"/>
        <v>66.360327908792527</v>
      </c>
      <c r="H25" s="71"/>
      <c r="I25" s="71">
        <f>-INDEX('2025 IRP Assumptions'!$E$243:$E$272,MATCH(B25,'2025 IRP Assumptions'!$S$243:$S$272,0),1)</f>
        <v>-51.71</v>
      </c>
      <c r="J25" s="72">
        <f t="shared" si="2"/>
        <v>14.650327908792526</v>
      </c>
      <c r="K25" s="72">
        <f t="shared" si="3"/>
        <v>31.43</v>
      </c>
      <c r="L25" s="71">
        <f t="shared" si="4"/>
        <v>142.35509120526794</v>
      </c>
      <c r="P25" s="88"/>
      <c r="Q25" s="71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Assumptions'!$E$275:$E$298,'Table 3 PV_.PX.WMV._.PTC.2032'!$B26-2023,1)/INDEX('2025 IRP Assumptions'!$E$275:$E$298,'Table 3 PV_.PX.WMV._.PTC.2032'!$B26-2023-1,1)</f>
        <v>93.783856713213623</v>
      </c>
      <c r="E26" s="71" cm="1">
        <f t="array" ref="E26">$E$10*INDEX('2025 IRP Assumptions'!$E$275:$E$298,'Table 3 PV_.PX.WMV._.PTC.2032'!$B26-2023,1)</f>
        <v>28.975552787519998</v>
      </c>
      <c r="F26" s="71" cm="1">
        <f t="array" ref="F26">F25*INDEX('2025 IRP Assumptions'!$E$275:$E$298,'Table 3 PV_.PX.WMV._.PTC.2032'!$B26-2023,1)/INDEX('2025 IRP Assumptions'!$E$275:$E$298,'Table 3 PV_.PX.WMV._.PTC.2032'!$B26-2023-1,1)</f>
        <v>22.699022736135664</v>
      </c>
      <c r="G26" s="72">
        <f t="shared" si="1"/>
        <v>67.806983077401313</v>
      </c>
      <c r="H26" s="71"/>
      <c r="I26" s="71">
        <f>-INDEX('2025 IRP Assumptions'!$E$243:$E$272,MATCH(B26,'2025 IRP Assumptions'!$S$243:$S$272,0),1)</f>
        <v>-53.04</v>
      </c>
      <c r="J26" s="72">
        <f t="shared" si="2"/>
        <v>14.766983077401314</v>
      </c>
      <c r="K26" s="72">
        <f t="shared" si="3"/>
        <v>31.68</v>
      </c>
      <c r="L26" s="71">
        <f t="shared" si="4"/>
        <v>145.4584322368693</v>
      </c>
      <c r="P26" s="88"/>
      <c r="Q26" s="71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Assumptions'!$E$275:$E$298,'Table 3 PV_.PX.WMV._.PTC.2032'!$B27-2023,1)/INDEX('2025 IRP Assumptions'!$E$275:$E$298,'Table 3 PV_.PX.WMV._.PTC.2032'!$B27-2023-1,1)</f>
        <v>95.828344744611215</v>
      </c>
      <c r="E27" s="71" cm="1">
        <f t="array" ref="E27">$E$10*INDEX('2025 IRP Assumptions'!$E$275:$E$298,'Table 3 PV_.PX.WMV._.PTC.2032'!$B27-2023,1)</f>
        <v>29.607219824399998</v>
      </c>
      <c r="F27" s="71" cm="1">
        <f t="array" ref="F27">F26*INDEX('2025 IRP Assumptions'!$E$275:$E$298,'Table 3 PV_.PX.WMV._.PTC.2032'!$B27-2023,1)/INDEX('2025 IRP Assumptions'!$E$275:$E$298,'Table 3 PV_.PX.WMV._.PTC.2032'!$B27-2023-1,1)</f>
        <v>23.193861420903815</v>
      </c>
      <c r="G27" s="72">
        <f t="shared" si="1"/>
        <v>69.285175275988877</v>
      </c>
      <c r="H27" s="71"/>
      <c r="I27" s="71">
        <f>-INDEX('2025 IRP Assumptions'!$E$243:$E$272,MATCH(B27,'2025 IRP Assumptions'!$S$243:$S$272,0),1)</f>
        <v>-54.37</v>
      </c>
      <c r="J27" s="72">
        <f t="shared" si="2"/>
        <v>14.915175275988879</v>
      </c>
      <c r="K27" s="72">
        <f t="shared" si="3"/>
        <v>32</v>
      </c>
      <c r="L27" s="71">
        <f t="shared" si="4"/>
        <v>148.62942598991503</v>
      </c>
      <c r="P27" s="88"/>
      <c r="Q27" s="71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Assumptions'!$E$275:$E$298,'Table 3 PV_.PX.WMV._.PTC.2032'!$B28-2023,1)/INDEX('2025 IRP Assumptions'!$E$275:$E$298,'Table 3 PV_.PX.WMV._.PTC.2032'!$B28-2023-1,1)</f>
        <v>97.917402663630227</v>
      </c>
      <c r="E28" s="71" cm="1">
        <f t="array" ref="E28">$E$10*INDEX('2025 IRP Assumptions'!$E$275:$E$298,'Table 3 PV_.PX.WMV._.PTC.2032'!$B28-2023,1)</f>
        <v>30.252657217679999</v>
      </c>
      <c r="F28" s="71" cm="1">
        <f t="array" ref="F28">F27*INDEX('2025 IRP Assumptions'!$E$275:$E$298,'Table 3 PV_.PX.WMV._.PTC.2032'!$B28-2023,1)/INDEX('2025 IRP Assumptions'!$E$275:$E$298,'Table 3 PV_.PX.WMV._.PTC.2032'!$B28-2023-1,1)</f>
        <v>23.699487600747574</v>
      </c>
      <c r="G28" s="72">
        <f t="shared" si="1"/>
        <v>70.795592099598508</v>
      </c>
      <c r="H28" s="71"/>
      <c r="I28" s="71"/>
      <c r="J28" s="72">
        <f t="shared" si="2"/>
        <v>70.795592099598508</v>
      </c>
      <c r="K28" s="72">
        <f t="shared" si="3"/>
        <v>151.87</v>
      </c>
      <c r="L28" s="71">
        <f t="shared" si="4"/>
        <v>151.86954748205781</v>
      </c>
      <c r="P28" s="88"/>
      <c r="Q28" s="71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Assumptions'!$E$275:$E$298,'Table 3 PV_.PX.WMV._.PTC.2032'!$B29-2023,1)/INDEX('2025 IRP Assumptions'!$E$275:$E$298,'Table 3 PV_.PX.WMV._.PTC.2032'!$B29-2023-1,1)</f>
        <v>100.0520020721691</v>
      </c>
      <c r="E29" s="71" cm="1">
        <f t="array" ref="E29">$E$10*INDEX('2025 IRP Assumptions'!$E$275:$E$298,'Table 3 PV_.PX.WMV._.PTC.2032'!$B29-2023,1)</f>
        <v>30.91216515444</v>
      </c>
      <c r="F29" s="71" cm="1">
        <f t="array" ref="F29">F28*INDEX('2025 IRP Assumptions'!$E$275:$E$298,'Table 3 PV_.PX.WMV._.PTC.2032'!$B29-2023,1)/INDEX('2025 IRP Assumptions'!$E$275:$E$298,'Table 3 PV_.PX.WMV._.PTC.2032'!$B29-2023-1,1)</f>
        <v>24.21613643781911</v>
      </c>
      <c r="G29" s="72">
        <f t="shared" si="1"/>
        <v>72.338936029401225</v>
      </c>
      <c r="H29" s="71"/>
      <c r="I29" s="71"/>
      <c r="J29" s="72">
        <f t="shared" si="2"/>
        <v>72.338936029401225</v>
      </c>
      <c r="K29" s="72">
        <f t="shared" si="3"/>
        <v>155.18</v>
      </c>
      <c r="L29" s="71">
        <f t="shared" si="4"/>
        <v>155.18030366442821</v>
      </c>
      <c r="P29" s="88"/>
      <c r="Q29" s="71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Assumptions'!$E$275:$E$298,'Table 3 PV_.PX.WMV._.PTC.2032'!$B30-2023,1)/INDEX('2025 IRP Assumptions'!$E$275:$E$298,'Table 3 PV_.PX.WMV._.PTC.2032'!$B30-2023-1,1)</f>
        <v>102.23313569246289</v>
      </c>
      <c r="E30" s="71" cm="1">
        <f t="array" ref="E30">$E$10*INDEX('2025 IRP Assumptions'!$E$275:$E$298,'Table 3 PV_.PX.WMV._.PTC.2032'!$B30-2023,1)</f>
        <v>31.58605034712</v>
      </c>
      <c r="F30" s="71" cm="1">
        <f t="array" ref="F30">F29*INDEX('2025 IRP Assumptions'!$E$275:$E$298,'Table 3 PV_.PX.WMV._.PTC.2032'!$B30-2023,1)/INDEX('2025 IRP Assumptions'!$E$275:$E$298,'Table 3 PV_.PX.WMV._.PTC.2032'!$B30-2023-1,1)</f>
        <v>24.744048206141844</v>
      </c>
      <c r="G30" s="72">
        <f t="shared" si="1"/>
        <v>73.915924816853973</v>
      </c>
      <c r="H30" s="71"/>
      <c r="I30" s="71"/>
      <c r="J30" s="72">
        <f t="shared" si="2"/>
        <v>73.915924816853973</v>
      </c>
      <c r="K30" s="72">
        <f t="shared" si="3"/>
        <v>158.56</v>
      </c>
      <c r="L30" s="71">
        <f t="shared" si="4"/>
        <v>158.56323424572474</v>
      </c>
      <c r="P30" s="88"/>
      <c r="Q30" s="71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Assumptions'!$E$275:$E$298,'Table 3 PV_.PX.WMV._.PTC.2032'!$B31-2023,1)/INDEX('2025 IRP Assumptions'!$E$275:$E$298,'Table 3 PV_.PX.WMV._.PTC.2032'!$B31-2023-1,1)</f>
        <v>104.46181809766091</v>
      </c>
      <c r="E31" s="71" cm="1">
        <f t="array" ref="E31">$E$10*INDEX('2025 IRP Assumptions'!$E$275:$E$298,'Table 3 PV_.PX.WMV._.PTC.2032'!$B31-2023,1)</f>
        <v>32.274626259240002</v>
      </c>
      <c r="F31" s="71" cm="1">
        <f t="array" ref="F31">F30*INDEX('2025 IRP Assumptions'!$E$275:$E$298,'Table 3 PV_.PX.WMV._.PTC.2032'!$B31-2023,1)/INDEX('2025 IRP Assumptions'!$E$275:$E$298,'Table 3 PV_.PX.WMV._.PTC.2032'!$B31-2023-1,1)</f>
        <v>25.283468468436176</v>
      </c>
      <c r="G31" s="72">
        <f t="shared" si="1"/>
        <v>75.527292011916998</v>
      </c>
      <c r="H31" s="71"/>
      <c r="I31" s="71"/>
      <c r="J31" s="72">
        <f t="shared" si="2"/>
        <v>75.527292011916998</v>
      </c>
      <c r="K31" s="72">
        <f t="shared" si="3"/>
        <v>162.02000000000001</v>
      </c>
      <c r="L31" s="71">
        <f t="shared" si="4"/>
        <v>162.01991282533709</v>
      </c>
      <c r="P31" s="88"/>
      <c r="Q31" s="71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Assumptions'!$E$275:$E$298,'Table 3 PV_.PX.WMV._.PTC.2032'!$B32-2023,1)/INDEX('2025 IRP Assumptions'!$E$275:$E$298,'Table 3 PV_.PX.WMV._.PTC.2032'!$B32-2023-1,1)</f>
        <v>106.73908571182672</v>
      </c>
      <c r="E32" s="71" cm="1">
        <f t="array" ref="E32">$E$10*INDEX('2025 IRP Assumptions'!$E$275:$E$298,'Table 3 PV_.PX.WMV._.PTC.2032'!$B32-2023,1)</f>
        <v>32.978213105400002</v>
      </c>
      <c r="F32" s="71" cm="1">
        <f t="array" ref="F32">F31*INDEX('2025 IRP Assumptions'!$E$275:$E$298,'Table 3 PV_.PX.WMV._.PTC.2032'!$B32-2023,1)/INDEX('2025 IRP Assumptions'!$E$275:$E$298,'Table 3 PV_.PX.WMV._.PTC.2032'!$B32-2023-1,1)</f>
        <v>25.834648076119464</v>
      </c>
      <c r="G32" s="72">
        <f t="shared" si="1"/>
        <v>77.173786963053914</v>
      </c>
      <c r="H32" s="71"/>
      <c r="I32" s="71"/>
      <c r="J32" s="72">
        <f t="shared" si="2"/>
        <v>77.173786963053914</v>
      </c>
      <c r="K32" s="72">
        <f t="shared" si="3"/>
        <v>165.55</v>
      </c>
      <c r="L32" s="71">
        <f t="shared" si="4"/>
        <v>165.55194689334618</v>
      </c>
      <c r="P32" s="88"/>
      <c r="Q32" s="71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Assumptions'!$E$275:$E$298,'Table 3 PV_.PX.WMV._.PTC.2032'!$B33-2023,1)/INDEX('2025 IRP Assumptions'!$E$275:$E$298,'Table 3 PV_.PX.WMV._.PTC.2032'!$B33-2023-1,1)</f>
        <v>109.06599773976427</v>
      </c>
      <c r="E33" s="71" cm="1">
        <f t="array" ref="E33">$E$10*INDEX('2025 IRP Assumptions'!$E$275:$E$298,'Table 3 PV_.PX.WMV._.PTC.2032'!$B33-2023,1)</f>
        <v>33.69713813856</v>
      </c>
      <c r="F33" s="71" cm="1">
        <f t="array" ref="F33">F32*INDEX('2025 IRP Assumptions'!$E$275:$E$298,'Table 3 PV_.PX.WMV._.PTC.2032'!$B33-2023,1)/INDEX('2025 IRP Assumptions'!$E$275:$E$298,'Table 3 PV_.PX.WMV._.PTC.2032'!$B33-2023-1,1)</f>
        <v>26.397843394357004</v>
      </c>
      <c r="G33" s="72">
        <f t="shared" si="1"/>
        <v>78.856175489508431</v>
      </c>
      <c r="H33" s="71"/>
      <c r="I33" s="71"/>
      <c r="J33" s="72">
        <f t="shared" si="2"/>
        <v>78.856175489508431</v>
      </c>
      <c r="K33" s="72">
        <f t="shared" si="3"/>
        <v>169.16</v>
      </c>
      <c r="L33" s="71">
        <f t="shared" si="4"/>
        <v>169.16097927268129</v>
      </c>
      <c r="P33" s="88"/>
      <c r="Q33" s="71"/>
      <c r="R33" s="71"/>
    </row>
    <row r="34" spans="2:18" ht="15">
      <c r="B34" s="69">
        <f t="shared" si="0"/>
        <v>2048</v>
      </c>
      <c r="C34" s="73"/>
      <c r="D34" s="275">
        <f t="shared" ref="D34:E36" si="5">D33*D33/D32</f>
        <v>111.44363644902622</v>
      </c>
      <c r="E34" s="275">
        <f t="shared" si="5"/>
        <v>34.431735737169561</v>
      </c>
      <c r="F34" s="275">
        <f t="shared" ref="F34" si="6">F33*F33/F32</f>
        <v>26.973316370318006</v>
      </c>
      <c r="G34" s="72">
        <f t="shared" si="1"/>
        <v>80.575240085200008</v>
      </c>
      <c r="H34" s="71"/>
      <c r="I34" s="71"/>
      <c r="J34" s="72">
        <f t="shared" si="2"/>
        <v>80.575240085200008</v>
      </c>
      <c r="K34" s="72">
        <f t="shared" si="3"/>
        <v>172.85</v>
      </c>
      <c r="L34" s="71">
        <f t="shared" si="4"/>
        <v>172.84868855651376</v>
      </c>
      <c r="P34" s="88"/>
      <c r="Q34" s="71"/>
      <c r="R34" s="71"/>
    </row>
    <row r="35" spans="2:18" ht="15">
      <c r="B35" s="69">
        <f t="shared" si="0"/>
        <v>2049</v>
      </c>
      <c r="C35" s="73"/>
      <c r="D35" s="275">
        <f t="shared" si="5"/>
        <v>113.87310768124613</v>
      </c>
      <c r="E35" s="275">
        <f t="shared" si="5"/>
        <v>35.182347563149534</v>
      </c>
      <c r="F35" s="275">
        <f t="shared" ref="F35" si="7">F34*F34/F33</f>
        <v>27.561334656936175</v>
      </c>
      <c r="G35" s="72">
        <f t="shared" si="1"/>
        <v>82.331780288424113</v>
      </c>
      <c r="H35" s="71"/>
      <c r="I35" s="71"/>
      <c r="J35" s="72">
        <f t="shared" si="2"/>
        <v>82.331780288424113</v>
      </c>
      <c r="K35" s="72">
        <f t="shared" si="3"/>
        <v>176.62</v>
      </c>
      <c r="L35" s="71">
        <f t="shared" si="4"/>
        <v>176.61678990133183</v>
      </c>
      <c r="P35" s="88"/>
      <c r="Q35" s="71"/>
      <c r="R35" s="71"/>
    </row>
    <row r="36" spans="2:18" ht="15">
      <c r="B36" s="69">
        <f t="shared" si="0"/>
        <v>2050</v>
      </c>
      <c r="C36" s="73"/>
      <c r="D36" s="275">
        <f t="shared" si="5"/>
        <v>116.35554138540479</v>
      </c>
      <c r="E36" s="275">
        <f t="shared" si="5"/>
        <v>35.9493227266505</v>
      </c>
      <c r="F36" s="275">
        <f t="shared" ref="F36" si="8">F35*F35/F34</f>
        <v>28.162171741979066</v>
      </c>
      <c r="G36" s="72">
        <f t="shared" si="1"/>
        <v>84.126613067410702</v>
      </c>
      <c r="H36" s="71"/>
      <c r="I36" s="71"/>
      <c r="J36" s="72">
        <f t="shared" si="2"/>
        <v>84.126613067410702</v>
      </c>
      <c r="K36" s="72">
        <f t="shared" si="3"/>
        <v>180.47</v>
      </c>
      <c r="L36" s="71">
        <f t="shared" si="4"/>
        <v>180.46703585403435</v>
      </c>
      <c r="P36" s="88"/>
      <c r="Q36" s="71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196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151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225.47842103047057</v>
      </c>
      <c r="T54" s="62" t="s">
        <v>296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 t="e">
        <f>LEFT(RIGHT(INDEX('Table 3 TransCost'!$39:$39,1,MATCH(F58,'Table 3 TransCost'!$4:$4,0)),6),5)</f>
        <v>#N/A</v>
      </c>
      <c r="C58" s="88">
        <f>IFERROR(INDEX('Table 3 TransCost'!$39:$39,1,MATCH(F58,'Table 3 TransCost'!$4:$4,0)+2),0)</f>
        <v>0</v>
      </c>
      <c r="D58" s="62" t="s">
        <v>91</v>
      </c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63" orientation="landscape" r:id="rId1"/>
  <headerFooter alignWithMargins="0"/>
  <rowBreaks count="1" manualBreakCount="1">
    <brk id="49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2660F878EBB14C9C0EACA228947D1F" ma:contentTypeVersion="10" ma:contentTypeDescription="Create a new document." ma:contentTypeScope="" ma:versionID="6d22e891dda8e2264cc044b07f753d31">
  <xsd:schema xmlns:xsd="http://www.w3.org/2001/XMLSchema" xmlns:xs="http://www.w3.org/2001/XMLSchema" xmlns:p="http://schemas.microsoft.com/office/2006/metadata/properties" xmlns:ns1="http://schemas.microsoft.com/sharepoint/v3" xmlns:ns2="8d2ccb4a-2d3f-46ea-a8a7-18f2e8db3b7b" xmlns:ns3="dd95e425-d589-47f0-8d5d-becc6564e3ac" targetNamespace="http://schemas.microsoft.com/office/2006/metadata/properties" ma:root="true" ma:fieldsID="ad2a839b5969f61ed6e7d502d8ea4ef1" ns1:_="" ns2:_="" ns3:_="">
    <xsd:import namespace="http://schemas.microsoft.com/sharepoint/v3"/>
    <xsd:import namespace="8d2ccb4a-2d3f-46ea-a8a7-18f2e8db3b7b"/>
    <xsd:import namespace="dd95e425-d589-47f0-8d5d-becc6564e3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2ccb4a-2d3f-46ea-a8a7-18f2e8db3b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95e425-d589-47f0-8d5d-becc6564e3a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5459D7-18CB-4B16-A000-84FE071210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9FC0C1-4946-4394-855C-B72DBB6FC51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01F4136D-58BA-4EB4-9040-E32C12F38D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d2ccb4a-2d3f-46ea-a8a7-18f2e8db3b7b"/>
    <ds:schemaRef ds:uri="dd95e425-d589-47f0-8d5d-becc6564e3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7</vt:i4>
      </vt:variant>
    </vt:vector>
  </HeadingPairs>
  <TitlesOfParts>
    <vt:vector size="20" baseType="lpstr">
      <vt:lpstr>Table 1</vt:lpstr>
      <vt:lpstr>Table 2</vt:lpstr>
      <vt:lpstr>Table 4</vt:lpstr>
      <vt:lpstr>Table 5</vt:lpstr>
      <vt:lpstr>Table3Compare</vt:lpstr>
      <vt:lpstr>WD_.PX.DJW._.PTC.2028</vt:lpstr>
      <vt:lpstr>WD_.PX.DJW._.PTC.2029</vt:lpstr>
      <vt:lpstr>2025 IRP Assumptions</vt:lpstr>
      <vt:lpstr>Table 3 PV_.PX.WMV._.PTC.2032</vt:lpstr>
      <vt:lpstr>Table 3 TransCost</vt:lpstr>
      <vt:lpstr>WD_.PX.WMV._.PTC.2032</vt:lpstr>
      <vt:lpstr>PV_.PX.WMV._.PTC.2036</vt:lpstr>
      <vt:lpstr>PV_.PX.YAK._.PTC.2032</vt:lpstr>
      <vt:lpstr>Discount_Rate</vt:lpstr>
      <vt:lpstr>Inflation</vt:lpstr>
      <vt:lpstr>'Table 1'!Print_Area</vt:lpstr>
      <vt:lpstr>'Table 3 PV_.PX.WMV._.PTC.2032'!Print_Area</vt:lpstr>
      <vt:lpstr>'Table 5'!Print_Area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2026-03-24T17:38:37Z</cp:lastPrinted>
  <dcterms:created xsi:type="dcterms:W3CDTF">2001-03-19T15:45:46Z</dcterms:created>
  <dcterms:modified xsi:type="dcterms:W3CDTF">2026-03-24T21:18:44Z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0x010100602660F878EBB14C9C0EACA228947D1F</vt:lpwstr>
  </property>
</Properties>
</file>