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30\"/>
    </mc:Choice>
  </mc:AlternateContent>
  <xr:revisionPtr revIDLastSave="0" documentId="8_{D43ED906-088F-47D3-BF15-97F9274D8B0B}" xr6:coauthVersionLast="47" xr6:coauthVersionMax="47" xr10:uidLastSave="{00000000-0000-0000-0000-000000000000}"/>
  <bookViews>
    <workbookView xWindow="1500" yWindow="855" windowWidth="25020" windowHeight="19845" xr2:uid="{00000000-000D-0000-FFFF-FFFF00000000}"/>
  </bookViews>
  <sheets>
    <sheet name="Summary" sheetId="14" r:id="rId1"/>
    <sheet name="Incremental" sheetId="6" r:id="rId2"/>
    <sheet name="Total" sheetId="5" r:id="rId3"/>
    <sheet name="Energy" sheetId="12" r:id="rId4"/>
    <sheet name="Capacity" sheetId="10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0</definedName>
    <definedName name="Discount_Rate" localSheetId="0">Total!$B$42</definedName>
    <definedName name="Discount_Rate">Total!$B$42</definedName>
    <definedName name="_xlnm.Print_Area" localSheetId="4">Capacity!$A$1:$M$38</definedName>
    <definedName name="_xlnm.Print_Area" localSheetId="3">Energy!$A$1:$G$38</definedName>
    <definedName name="_xlnm.Print_Area" localSheetId="1">Incremental!$A$1:$E$38</definedName>
    <definedName name="_xlnm.Print_Area" localSheetId="2">Total!$A$1:$G$38</definedName>
    <definedName name="Study_CF">#REF!</definedName>
    <definedName name="Study_MW">#REF!</definedName>
    <definedName name="Study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4" l="1"/>
  <c r="F14" i="14"/>
  <c r="D14" i="14"/>
  <c r="G14" i="14" l="1"/>
  <c r="E14" i="14"/>
  <c r="C14" i="14"/>
  <c r="E7" i="6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33" i="10" s="1"/>
  <c r="M12" i="10"/>
  <c r="M32" i="10" s="1"/>
  <c r="M11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M31" i="10" l="1"/>
  <c r="G17" i="12" l="1"/>
  <c r="G17" i="5" s="1"/>
  <c r="E17" i="6" s="1"/>
  <c r="G21" i="12"/>
  <c r="G21" i="5" s="1"/>
  <c r="E21" i="6" s="1"/>
  <c r="G22" i="12"/>
  <c r="G22" i="5" s="1"/>
  <c r="E22" i="6" s="1"/>
  <c r="G14" i="12"/>
  <c r="G14" i="5" s="1"/>
  <c r="E14" i="6" s="1"/>
  <c r="G15" i="12"/>
  <c r="G15" i="5" s="1"/>
  <c r="E15" i="6" s="1"/>
  <c r="G18" i="12"/>
  <c r="G18" i="5" s="1"/>
  <c r="E18" i="6" s="1"/>
  <c r="G20" i="12"/>
  <c r="G20" i="5" s="1"/>
  <c r="E20" i="6" s="1"/>
  <c r="G19" i="12"/>
  <c r="G19" i="5" s="1"/>
  <c r="E19" i="6" s="1"/>
  <c r="G12" i="12"/>
  <c r="G12" i="5" s="1"/>
  <c r="E12" i="6" s="1"/>
  <c r="G13" i="12"/>
  <c r="G13" i="5" s="1"/>
  <c r="E13" i="6" s="1"/>
  <c r="G16" i="12"/>
  <c r="G16" i="5" s="1"/>
  <c r="E16" i="6" s="1"/>
  <c r="G11" i="12"/>
  <c r="G11" i="5" s="1"/>
  <c r="E11" i="6" s="1"/>
  <c r="G23" i="12" l="1"/>
  <c r="G23" i="5" s="1"/>
  <c r="E23" i="6" s="1"/>
  <c r="G25" i="12" l="1"/>
  <c r="G25" i="5" s="1"/>
  <c r="E25" i="6" s="1"/>
  <c r="G24" i="12"/>
  <c r="G24" i="5" s="1"/>
  <c r="G31" i="5" l="1"/>
  <c r="E31" i="6" s="1"/>
  <c r="E24" i="6"/>
  <c r="G31" i="12"/>
  <c r="G26" i="12" l="1"/>
  <c r="G26" i="5" s="1"/>
  <c r="E26" i="6" s="1"/>
  <c r="G32" i="5" l="1"/>
  <c r="E32" i="6" s="1"/>
  <c r="G32" i="12"/>
  <c r="G27" i="12"/>
  <c r="G33" i="12" l="1"/>
  <c r="G27" i="5"/>
  <c r="G28" i="12"/>
  <c r="G28" i="5" s="1"/>
  <c r="E28" i="6" s="1"/>
  <c r="G33" i="5" l="1"/>
  <c r="E33" i="6" s="1"/>
  <c r="E27" i="6"/>
  <c r="G8" i="10" l="1"/>
  <c r="I11" i="10"/>
  <c r="C11" i="10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K11" i="10"/>
  <c r="E11" i="10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J11" i="10"/>
  <c r="D11" i="10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L11" i="10"/>
  <c r="F11" i="10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B6" i="14"/>
  <c r="B15" i="14"/>
  <c r="G8" i="12" l="1"/>
  <c r="G7" i="5" s="1"/>
  <c r="M8" i="10"/>
  <c r="E8" i="10"/>
  <c r="E8" i="12" l="1"/>
  <c r="E7" i="5" s="1"/>
  <c r="F8" i="10"/>
  <c r="F8" i="12" s="1"/>
  <c r="F7" i="5" s="1"/>
  <c r="D7" i="6" s="1"/>
  <c r="K8" i="10"/>
  <c r="D8" i="10"/>
  <c r="D8" i="12" s="1"/>
  <c r="D7" i="5" s="1"/>
  <c r="C7" i="6" s="1"/>
  <c r="C8" i="10"/>
  <c r="E11" i="5" l="1"/>
  <c r="B43" i="12" l="1"/>
  <c r="B41" i="12"/>
  <c r="B40" i="12"/>
  <c r="E31" i="12" l="1"/>
  <c r="E32" i="12"/>
  <c r="E33" i="12"/>
  <c r="B3" i="10"/>
  <c r="B1" i="10"/>
  <c r="J8" i="10" l="1"/>
  <c r="B11" i="5" l="1"/>
  <c r="B11" i="6" s="1"/>
  <c r="B35" i="10" l="1"/>
  <c r="B36" i="12"/>
  <c r="L8" i="10" l="1"/>
  <c r="B4" i="10"/>
  <c r="B12" i="10" l="1"/>
  <c r="E12" i="10" l="1"/>
  <c r="I12" i="10"/>
  <c r="J12" i="10"/>
  <c r="D12" i="10"/>
  <c r="L12" i="10"/>
  <c r="C12" i="10"/>
  <c r="F12" i="10"/>
  <c r="K12" i="10"/>
  <c r="E12" i="5"/>
  <c r="B13" i="10"/>
  <c r="J13" i="10" l="1"/>
  <c r="D13" i="10"/>
  <c r="I13" i="10"/>
  <c r="L13" i="10"/>
  <c r="C13" i="10"/>
  <c r="F13" i="10"/>
  <c r="K13" i="10"/>
  <c r="E13" i="10"/>
  <c r="E13" i="5"/>
  <c r="B14" i="10"/>
  <c r="C14" i="10" l="1"/>
  <c r="L14" i="10"/>
  <c r="J14" i="10"/>
  <c r="F14" i="10"/>
  <c r="D14" i="10"/>
  <c r="I14" i="10"/>
  <c r="K14" i="10"/>
  <c r="E14" i="5" s="1"/>
  <c r="E14" i="10"/>
  <c r="B15" i="10"/>
  <c r="J15" i="10" l="1"/>
  <c r="L15" i="10"/>
  <c r="D15" i="10"/>
  <c r="I15" i="10"/>
  <c r="C15" i="10"/>
  <c r="F15" i="10"/>
  <c r="K15" i="10"/>
  <c r="E15" i="5" s="1"/>
  <c r="E15" i="10"/>
  <c r="B16" i="10"/>
  <c r="J16" i="10" l="1"/>
  <c r="F16" i="10"/>
  <c r="D16" i="10"/>
  <c r="I16" i="10"/>
  <c r="C16" i="10"/>
  <c r="L16" i="10"/>
  <c r="K16" i="10"/>
  <c r="E16" i="5" s="1"/>
  <c r="E16" i="10"/>
  <c r="B17" i="10"/>
  <c r="D17" i="10" l="1"/>
  <c r="L17" i="10"/>
  <c r="F17" i="10"/>
  <c r="I17" i="10"/>
  <c r="C17" i="10"/>
  <c r="J17" i="10"/>
  <c r="K17" i="10"/>
  <c r="E17" i="5" s="1"/>
  <c r="E17" i="10"/>
  <c r="B18" i="10"/>
  <c r="D18" i="10" l="1"/>
  <c r="K18" i="10"/>
  <c r="E18" i="5" s="1"/>
  <c r="I18" i="10"/>
  <c r="C18" i="10"/>
  <c r="L18" i="10"/>
  <c r="E18" i="10"/>
  <c r="F18" i="10"/>
  <c r="J18" i="10"/>
  <c r="B19" i="10"/>
  <c r="C19" i="10" l="1"/>
  <c r="F19" i="10"/>
  <c r="K19" i="10"/>
  <c r="E19" i="5" s="1"/>
  <c r="I19" i="10"/>
  <c r="J19" i="10"/>
  <c r="L19" i="10"/>
  <c r="E19" i="10"/>
  <c r="D19" i="10"/>
  <c r="B20" i="10"/>
  <c r="I20" i="10" l="1"/>
  <c r="E20" i="10"/>
  <c r="C20" i="10"/>
  <c r="L20" i="10"/>
  <c r="F20" i="10"/>
  <c r="K20" i="10"/>
  <c r="E20" i="5" s="1"/>
  <c r="J20" i="10"/>
  <c r="D20" i="10"/>
  <c r="B21" i="10"/>
  <c r="L21" i="10" l="1"/>
  <c r="F21" i="10"/>
  <c r="E21" i="10"/>
  <c r="C21" i="10"/>
  <c r="K21" i="10"/>
  <c r="E21" i="5" s="1"/>
  <c r="J21" i="10"/>
  <c r="D21" i="10"/>
  <c r="I21" i="10"/>
  <c r="B22" i="10"/>
  <c r="C22" i="10" l="1"/>
  <c r="L22" i="10"/>
  <c r="J22" i="10"/>
  <c r="F22" i="10"/>
  <c r="K22" i="10"/>
  <c r="E22" i="5" s="1"/>
  <c r="E22" i="10"/>
  <c r="D22" i="10"/>
  <c r="I22" i="10"/>
  <c r="B23" i="10"/>
  <c r="F23" i="10" l="1"/>
  <c r="E23" i="10"/>
  <c r="J23" i="10"/>
  <c r="D23" i="10"/>
  <c r="C23" i="10"/>
  <c r="L23" i="10"/>
  <c r="K23" i="10"/>
  <c r="E23" i="5" s="1"/>
  <c r="I23" i="10"/>
  <c r="B24" i="10"/>
  <c r="F24" i="10" l="1"/>
  <c r="J24" i="10"/>
  <c r="K24" i="10"/>
  <c r="E24" i="5" s="1"/>
  <c r="E24" i="10"/>
  <c r="D24" i="10"/>
  <c r="I24" i="10"/>
  <c r="C24" i="10"/>
  <c r="L24" i="10"/>
  <c r="B25" i="10"/>
  <c r="J25" i="10" l="1"/>
  <c r="C25" i="10"/>
  <c r="K25" i="10"/>
  <c r="E25" i="10"/>
  <c r="L25" i="10"/>
  <c r="D25" i="10"/>
  <c r="F25" i="10"/>
  <c r="I25" i="10"/>
  <c r="E25" i="5"/>
  <c r="E31" i="5" s="1"/>
  <c r="B31" i="10"/>
  <c r="B26" i="10"/>
  <c r="K26" i="10" l="1"/>
  <c r="D26" i="10"/>
  <c r="E26" i="10"/>
  <c r="J26" i="10"/>
  <c r="I26" i="10"/>
  <c r="C26" i="10"/>
  <c r="L26" i="10"/>
  <c r="F26" i="10"/>
  <c r="C10" i="14"/>
  <c r="E26" i="5"/>
  <c r="E32" i="5" s="1"/>
  <c r="E10" i="14" s="1"/>
  <c r="B32" i="10"/>
  <c r="B27" i="10"/>
  <c r="J27" i="10" l="1"/>
  <c r="D27" i="10"/>
  <c r="E27" i="10"/>
  <c r="K27" i="10"/>
  <c r="I27" i="10"/>
  <c r="F27" i="10"/>
  <c r="C27" i="10"/>
  <c r="L27" i="10"/>
  <c r="E27" i="5"/>
  <c r="E33" i="5" s="1"/>
  <c r="G10" i="14" s="1"/>
  <c r="B28" i="10"/>
  <c r="B33" i="10"/>
  <c r="E28" i="10" l="1"/>
  <c r="I28" i="10"/>
  <c r="L28" i="10"/>
  <c r="J28" i="10"/>
  <c r="D28" i="10"/>
  <c r="C28" i="10"/>
  <c r="F28" i="10"/>
  <c r="K28" i="10"/>
  <c r="E28" i="5" s="1"/>
  <c r="C8" i="12"/>
  <c r="C7" i="5" s="1"/>
  <c r="B1" i="12" l="1"/>
  <c r="B3" i="12"/>
  <c r="B35" i="12"/>
  <c r="B12" i="12" l="1"/>
  <c r="C12" i="5" l="1"/>
  <c r="C11" i="5"/>
  <c r="B13" i="12"/>
  <c r="B14" i="12" l="1"/>
  <c r="C14" i="5" l="1"/>
  <c r="C13" i="5"/>
  <c r="B15" i="12"/>
  <c r="C15" i="5" l="1"/>
  <c r="B16" i="12"/>
  <c r="C16" i="5" l="1"/>
  <c r="B17" i="12"/>
  <c r="C17" i="5" l="1"/>
  <c r="B18" i="12"/>
  <c r="C18" i="5" l="1"/>
  <c r="B19" i="12"/>
  <c r="C19" i="5" l="1"/>
  <c r="B20" i="12"/>
  <c r="C20" i="5" l="1"/>
  <c r="B21" i="12"/>
  <c r="C21" i="5" l="1"/>
  <c r="B22" i="12"/>
  <c r="C22" i="5" l="1"/>
  <c r="B23" i="12"/>
  <c r="C23" i="5" l="1"/>
  <c r="B24" i="12"/>
  <c r="C24" i="5" l="1"/>
  <c r="B25" i="12"/>
  <c r="C25" i="5" l="1"/>
  <c r="B26" i="12"/>
  <c r="B31" i="12"/>
  <c r="C26" i="5" l="1"/>
  <c r="B27" i="12"/>
  <c r="B32" i="12"/>
  <c r="B35" i="6"/>
  <c r="B33" i="12" l="1"/>
  <c r="B28" i="12"/>
  <c r="C33" i="12" l="1"/>
  <c r="C27" i="5"/>
  <c r="C28" i="5"/>
  <c r="B10" i="6"/>
  <c r="B3" i="6"/>
  <c r="B1" i="6"/>
  <c r="B12" i="5" l="1"/>
  <c r="B13" i="5" l="1"/>
  <c r="B12" i="6"/>
  <c r="B13" i="6" l="1"/>
  <c r="B14" i="5"/>
  <c r="B4" i="12"/>
  <c r="B4" i="6"/>
  <c r="B4" i="5"/>
  <c r="B14" i="6" l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31" i="6" s="1"/>
  <c r="C3" i="14" s="1"/>
  <c r="C9" i="14" s="1"/>
  <c r="B15" i="5"/>
  <c r="B26" i="6" l="1"/>
  <c r="B32" i="6" s="1"/>
  <c r="E3" i="14" s="1"/>
  <c r="E9" i="14" s="1"/>
  <c r="B16" i="5"/>
  <c r="B27" i="6" l="1"/>
  <c r="B17" i="5"/>
  <c r="B33" i="6" l="1"/>
  <c r="G3" i="14" s="1"/>
  <c r="G9" i="14" s="1"/>
  <c r="B28" i="6"/>
  <c r="B18" i="5"/>
  <c r="B19" i="5" l="1"/>
  <c r="B20" i="5" l="1"/>
  <c r="B21" i="5" l="1"/>
  <c r="B22" i="5" l="1"/>
  <c r="B23" i="5" l="1"/>
  <c r="B24" i="5" l="1"/>
  <c r="B25" i="5" l="1"/>
  <c r="B31" i="5" s="1"/>
  <c r="B36" i="5"/>
  <c r="B36" i="10" l="1"/>
  <c r="B40" i="10"/>
  <c r="B26" i="5"/>
  <c r="B32" i="5" s="1"/>
  <c r="B36" i="6"/>
  <c r="B27" i="5" l="1"/>
  <c r="B33" i="5" l="1"/>
  <c r="B28" i="5"/>
  <c r="I8" i="10" l="1"/>
  <c r="C32" i="12" l="1"/>
  <c r="B30" i="12"/>
  <c r="C31" i="12"/>
  <c r="B37" i="5" l="1"/>
  <c r="B37" i="6" l="1"/>
  <c r="B37" i="12"/>
  <c r="C33" i="5" l="1"/>
  <c r="B30" i="5"/>
  <c r="B30" i="6" s="1"/>
  <c r="B41" i="10"/>
  <c r="C31" i="5"/>
  <c r="C32" i="5"/>
  <c r="B42" i="6"/>
  <c r="G31" i="10" l="1"/>
  <c r="G33" i="10"/>
  <c r="G32" i="10"/>
  <c r="E31" i="10"/>
  <c r="K31" i="10"/>
  <c r="E32" i="10"/>
  <c r="K32" i="10"/>
  <c r="E33" i="10"/>
  <c r="K33" i="10"/>
  <c r="E4" i="14"/>
  <c r="C4" i="14"/>
  <c r="G4" i="14"/>
  <c r="D31" i="10"/>
  <c r="D32" i="10"/>
  <c r="J33" i="10"/>
  <c r="B30" i="10"/>
  <c r="J31" i="10"/>
  <c r="I33" i="10"/>
  <c r="C32" i="10"/>
  <c r="I31" i="10"/>
  <c r="I32" i="10"/>
  <c r="C33" i="10"/>
  <c r="J32" i="10"/>
  <c r="C31" i="10"/>
  <c r="D33" i="10"/>
  <c r="F33" i="10" l="1"/>
  <c r="F31" i="10"/>
  <c r="F32" i="10"/>
  <c r="L31" i="10" l="1"/>
  <c r="L32" i="10"/>
  <c r="L33" i="10"/>
  <c r="D15" i="5" l="1"/>
  <c r="C15" i="6" s="1"/>
  <c r="D20" i="5"/>
  <c r="C20" i="6" s="1"/>
  <c r="D28" i="5"/>
  <c r="C28" i="6" s="1"/>
  <c r="D27" i="5"/>
  <c r="C27" i="6" s="1"/>
  <c r="D14" i="5"/>
  <c r="C14" i="6" s="1"/>
  <c r="D23" i="5"/>
  <c r="C23" i="6" s="1"/>
  <c r="D21" i="5"/>
  <c r="C21" i="6" s="1"/>
  <c r="D17" i="5"/>
  <c r="C17" i="6" s="1"/>
  <c r="D19" i="5"/>
  <c r="C19" i="6" s="1"/>
  <c r="D22" i="5"/>
  <c r="C22" i="6" s="1"/>
  <c r="D26" i="5"/>
  <c r="C26" i="6" s="1"/>
  <c r="D24" i="5"/>
  <c r="C24" i="6" s="1"/>
  <c r="D25" i="5"/>
  <c r="C25" i="6" s="1"/>
  <c r="D18" i="5"/>
  <c r="C18" i="6" s="1"/>
  <c r="D16" i="5"/>
  <c r="C16" i="6" s="1"/>
  <c r="D33" i="12" l="1"/>
  <c r="D13" i="5"/>
  <c r="C13" i="6" s="1"/>
  <c r="D11" i="5"/>
  <c r="D31" i="12"/>
  <c r="D12" i="5"/>
  <c r="C12" i="6" s="1"/>
  <c r="D32" i="12"/>
  <c r="C11" i="6" l="1"/>
  <c r="D31" i="5"/>
  <c r="C31" i="6" s="1"/>
  <c r="D33" i="5"/>
  <c r="D32" i="5"/>
  <c r="C33" i="6" l="1"/>
  <c r="C32" i="6"/>
  <c r="E5" i="14"/>
  <c r="F5" i="14" s="1"/>
  <c r="G5" i="14"/>
  <c r="H5" i="14" s="1"/>
  <c r="C5" i="14"/>
  <c r="D5" i="14" s="1"/>
  <c r="F14" i="5"/>
  <c r="F15" i="5"/>
  <c r="D15" i="6" l="1"/>
  <c r="D14" i="6"/>
  <c r="F16" i="5"/>
  <c r="F13" i="5"/>
  <c r="D13" i="6" s="1"/>
  <c r="F12" i="5"/>
  <c r="D12" i="6" s="1"/>
  <c r="F11" i="5"/>
  <c r="D11" i="6" s="1"/>
  <c r="D16" i="6" l="1"/>
  <c r="F18" i="5" l="1"/>
  <c r="F17" i="5"/>
  <c r="D17" i="6" s="1"/>
  <c r="D18" i="6" l="1"/>
  <c r="F20" i="5" l="1"/>
  <c r="F19" i="5"/>
  <c r="D19" i="6" s="1"/>
  <c r="D20" i="6" l="1"/>
  <c r="F22" i="5" l="1"/>
  <c r="F21" i="5"/>
  <c r="D21" i="6" s="1"/>
  <c r="D22" i="6" l="1"/>
  <c r="F24" i="5" l="1"/>
  <c r="F23" i="5"/>
  <c r="D23" i="6" s="1"/>
  <c r="D24" i="6" l="1"/>
  <c r="F25" i="5" l="1"/>
  <c r="D25" i="6" s="1"/>
  <c r="F31" i="12"/>
  <c r="F31" i="5" l="1"/>
  <c r="F26" i="5"/>
  <c r="D26" i="6" s="1"/>
  <c r="F32" i="12"/>
  <c r="C11" i="14" l="1"/>
  <c r="D31" i="6"/>
  <c r="F28" i="5"/>
  <c r="F32" i="5"/>
  <c r="F27" i="5"/>
  <c r="D27" i="6" s="1"/>
  <c r="F33" i="12"/>
  <c r="D11" i="14" l="1"/>
  <c r="D32" i="6"/>
  <c r="E11" i="14"/>
  <c r="D28" i="6"/>
  <c r="F33" i="5"/>
  <c r="F11" i="14" l="1"/>
  <c r="D33" i="6"/>
  <c r="G11" i="14"/>
  <c r="H11" i="14" l="1"/>
</calcChain>
</file>

<file path=xl/sharedStrings.xml><?xml version="1.0" encoding="utf-8"?>
<sst xmlns="http://schemas.openxmlformats.org/spreadsheetml/2006/main" count="41" uniqueCount="26">
  <si>
    <t>Year</t>
  </si>
  <si>
    <t>Utah Quarterly Compliance Filing</t>
  </si>
  <si>
    <t>$/kW-Year</t>
  </si>
  <si>
    <t>Appendix C</t>
  </si>
  <si>
    <t>$/MWH  (1)</t>
  </si>
  <si>
    <t>Capacity Avoided Cost Prices</t>
  </si>
  <si>
    <t>Total Avoided Cost Prices $/MWH (1) (4)</t>
  </si>
  <si>
    <t>OFPC Date</t>
  </si>
  <si>
    <t>Discount Rate - 2015 IRP Page 141</t>
  </si>
  <si>
    <t>(1)   Studies are sequential.  The order of the studies would affect the price impact.</t>
  </si>
  <si>
    <t>Avoided Cost Impact of Changing Assumptions $/MWH (1)</t>
  </si>
  <si>
    <t>(2)</t>
  </si>
  <si>
    <t>(3)   No Capacity costs - No deferrable thermal resources</t>
  </si>
  <si>
    <t>Capacity Factor</t>
  </si>
  <si>
    <t>Model Calculated Energy Avoided Cost Prices $/MWH (1)</t>
  </si>
  <si>
    <t>Proposed Term:</t>
  </si>
  <si>
    <t>2025.Q3</t>
  </si>
  <si>
    <t>Discount Rate - 2025 IRP</t>
  </si>
  <si>
    <t>Indicative Avoided Cost, $/MWh</t>
  </si>
  <si>
    <t>Solar QF (Non-Routine)</t>
  </si>
  <si>
    <t>Solar QF (Routine)</t>
  </si>
  <si>
    <t>2025.Q3 Routine Update (Utah 2025 IRP)</t>
  </si>
  <si>
    <t xml:space="preserve">Routine Update-OFPC Dec 2025 </t>
  </si>
  <si>
    <t>2025.Q3 Non-Routine Update (Final 2025 IRP)</t>
  </si>
  <si>
    <t>2025.Q4</t>
  </si>
  <si>
    <t>2025.Q3 Non-Routine Update (No Displacement)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</si>
</sst>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_);[Red]_(* \(#,##0\);_(* &quot;-&quot;_);_(@_)"/>
    <numFmt numFmtId="166" formatCode="_(&quot;$&quot;\ #,##0.00_);[Red]_(&quot;$&quot;\ \(#,##0.00\);_(\ &quot;-&quot;?_);_(@_)"/>
    <numFmt numFmtId="167" formatCode="0.000%"/>
    <numFmt numFmtId="168" formatCode="_(* #,##0.000_);[Red]_(* \(#,##0.000\);_(* &quot;-&quot;_);_(@_)"/>
    <numFmt numFmtId="169" formatCode="&quot;$&quot;###0;[Red]\(&quot;$&quot;###0\)"/>
    <numFmt numFmtId="170" formatCode="0.0"/>
    <numFmt numFmtId="171" formatCode="0.0%"/>
    <numFmt numFmtId="172" formatCode="\'\ \(\2\)\'"/>
    <numFmt numFmtId="173" formatCode="#,##0.0000_);[Red]\(#,##0.0000\)"/>
    <numFmt numFmtId="174" formatCode="#,##0.000_);[Red]\(#,##0.000\)"/>
    <numFmt numFmtId="175" formatCode="_(* #,##0.0_);[Red]_(* \(#,##0.0\);_(* &quot;-&quot;_);_(@_)"/>
    <numFmt numFmtId="176" formatCode="_(* #,##0.00_);[Red]_(* \(#,##0.00\);_(* &quot;-&quot;_);_(@_)"/>
    <numFmt numFmtId="177" formatCode="\+&quot;$&quot;#,##0.00_);\-&quot;$&quot;#,##0.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8"/>
      <color indexed="18"/>
      <name val="Helv"/>
    </font>
    <font>
      <sz val="10"/>
      <color indexed="12"/>
      <name val="Arial"/>
      <family val="2"/>
    </font>
    <font>
      <sz val="10"/>
      <name val="Times New Roman"/>
      <family val="1"/>
    </font>
    <font>
      <sz val="8"/>
      <name val="Helv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165" fontId="0" fillId="0" borderId="0"/>
    <xf numFmtId="0" fontId="5" fillId="0" borderId="0" applyNumberFormat="0" applyFill="0" applyBorder="0" applyAlignment="0">
      <protection locked="0"/>
    </xf>
    <xf numFmtId="0" fontId="1" fillId="0" borderId="0"/>
    <xf numFmtId="9" fontId="1" fillId="0" borderId="0" applyFont="0" applyFill="0" applyBorder="0" applyAlignment="0" applyProtection="0"/>
    <xf numFmtId="165" fontId="1" fillId="0" borderId="0"/>
    <xf numFmtId="165" fontId="7" fillId="0" borderId="0"/>
    <xf numFmtId="165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8" fillId="0" borderId="0" applyFont="0" applyFill="0" applyBorder="0" applyProtection="0">
      <alignment horizontal="right"/>
    </xf>
    <xf numFmtId="170" fontId="9" fillId="0" borderId="0" applyNumberFormat="0" applyFill="0" applyBorder="0" applyAlignment="0" applyProtection="0"/>
    <xf numFmtId="0" fontId="2" fillId="0" borderId="6" applyNumberFormat="0" applyBorder="0" applyAlignment="0"/>
    <xf numFmtId="171" fontId="1" fillId="0" borderId="0"/>
    <xf numFmtId="12" fontId="3" fillId="3" borderId="7">
      <alignment horizontal="left"/>
    </xf>
    <xf numFmtId="37" fontId="2" fillId="4" borderId="0" applyNumberFormat="0" applyBorder="0" applyAlignment="0" applyProtection="0"/>
    <xf numFmtId="37" fontId="2" fillId="0" borderId="0"/>
    <xf numFmtId="3" fontId="10" fillId="5" borderId="8" applyProtection="0"/>
    <xf numFmtId="43" fontId="11" fillId="0" borderId="0" applyFont="0" applyFill="0" applyBorder="0" applyAlignment="0" applyProtection="0"/>
    <xf numFmtId="41" fontId="7" fillId="0" borderId="0"/>
  </cellStyleXfs>
  <cellXfs count="113">
    <xf numFmtId="165" fontId="0" fillId="0" borderId="0" xfId="0"/>
    <xf numFmtId="165" fontId="4" fillId="0" borderId="0" xfId="0" applyFont="1"/>
    <xf numFmtId="0" fontId="3" fillId="0" borderId="0" xfId="0" applyNumberFormat="1" applyFont="1" applyAlignment="1">
      <alignment horizontal="center"/>
    </xf>
    <xf numFmtId="1" fontId="1" fillId="0" borderId="0" xfId="2" applyNumberFormat="1" applyAlignment="1" applyProtection="1">
      <alignment horizontal="center"/>
      <protection locked="0"/>
    </xf>
    <xf numFmtId="165" fontId="3" fillId="0" borderId="0" xfId="0" applyFont="1" applyAlignment="1">
      <alignment horizontal="centerContinuous"/>
    </xf>
    <xf numFmtId="165" fontId="3" fillId="0" borderId="4" xfId="0" applyFont="1" applyBorder="1" applyAlignment="1">
      <alignment horizontal="center"/>
    </xf>
    <xf numFmtId="165" fontId="4" fillId="0" borderId="0" xfId="0" quotePrefix="1" applyFont="1"/>
    <xf numFmtId="164" fontId="4" fillId="0" borderId="0" xfId="0" applyNumberFormat="1" applyFont="1"/>
    <xf numFmtId="165" fontId="3" fillId="0" borderId="3" xfId="0" applyFont="1" applyBorder="1"/>
    <xf numFmtId="165" fontId="3" fillId="0" borderId="0" xfId="0" applyFont="1" applyAlignment="1">
      <alignment horizontal="center"/>
    </xf>
    <xf numFmtId="168" fontId="4" fillId="0" borderId="0" xfId="0" applyNumberFormat="1" applyFont="1"/>
    <xf numFmtId="167" fontId="4" fillId="0" borderId="0" xfId="0" applyNumberFormat="1" applyFont="1"/>
    <xf numFmtId="14" fontId="6" fillId="2" borderId="2" xfId="0" applyNumberFormat="1" applyFont="1" applyFill="1" applyBorder="1" applyAlignment="1">
      <alignment horizontal="center"/>
    </xf>
    <xf numFmtId="165" fontId="3" fillId="0" borderId="0" xfId="4" applyFont="1" applyAlignment="1">
      <alignment horizontal="centerContinuous"/>
    </xf>
    <xf numFmtId="165" fontId="4" fillId="0" borderId="0" xfId="4" applyFont="1"/>
    <xf numFmtId="165" fontId="3" fillId="0" borderId="3" xfId="4" applyFont="1" applyBorder="1"/>
    <xf numFmtId="165" fontId="3" fillId="0" borderId="3" xfId="4" applyFont="1" applyBorder="1" applyAlignment="1">
      <alignment horizontal="centerContinuous"/>
    </xf>
    <xf numFmtId="165" fontId="3" fillId="0" borderId="4" xfId="4" applyFont="1" applyBorder="1" applyAlignment="1">
      <alignment horizontal="center"/>
    </xf>
    <xf numFmtId="165" fontId="3" fillId="0" borderId="2" xfId="4" applyFont="1" applyBorder="1" applyAlignment="1">
      <alignment horizontal="center"/>
    </xf>
    <xf numFmtId="0" fontId="3" fillId="0" borderId="0" xfId="4" applyNumberFormat="1" applyFont="1" applyAlignment="1">
      <alignment horizontal="center"/>
    </xf>
    <xf numFmtId="166" fontId="4" fillId="0" borderId="0" xfId="4" applyNumberFormat="1" applyFont="1" applyAlignment="1">
      <alignment horizontal="center"/>
    </xf>
    <xf numFmtId="7" fontId="4" fillId="0" borderId="0" xfId="4" applyNumberFormat="1" applyFont="1" applyAlignment="1">
      <alignment horizontal="center"/>
    </xf>
    <xf numFmtId="165" fontId="4" fillId="0" borderId="0" xfId="4" quotePrefix="1" applyFont="1"/>
    <xf numFmtId="7" fontId="4" fillId="0" borderId="2" xfId="4" applyNumberFormat="1" applyFont="1" applyBorder="1" applyAlignment="1">
      <alignment horizontal="center"/>
    </xf>
    <xf numFmtId="167" fontId="4" fillId="0" borderId="0" xfId="4" applyNumberFormat="1" applyFont="1" applyAlignment="1">
      <alignment horizontal="center"/>
    </xf>
    <xf numFmtId="167" fontId="4" fillId="0" borderId="0" xfId="3" applyNumberFormat="1" applyFont="1"/>
    <xf numFmtId="167" fontId="4" fillId="0" borderId="0" xfId="4" applyNumberFormat="1" applyFont="1"/>
    <xf numFmtId="8" fontId="4" fillId="0" borderId="0" xfId="4" applyNumberFormat="1" applyFont="1"/>
    <xf numFmtId="165" fontId="3" fillId="0" borderId="5" xfId="4" applyFont="1" applyBorder="1" applyAlignment="1">
      <alignment horizontal="centerContinuous"/>
    </xf>
    <xf numFmtId="8" fontId="4" fillId="0" borderId="0" xfId="17" applyNumberFormat="1" applyFont="1"/>
    <xf numFmtId="165" fontId="3" fillId="0" borderId="0" xfId="4" quotePrefix="1" applyFont="1" applyAlignment="1">
      <alignment horizontal="centerContinuous"/>
    </xf>
    <xf numFmtId="166" fontId="4" fillId="0" borderId="0" xfId="0" applyNumberFormat="1" applyFont="1"/>
    <xf numFmtId="165" fontId="3" fillId="0" borderId="2" xfId="4" applyFont="1" applyBorder="1" applyAlignment="1">
      <alignment horizontal="center" wrapText="1"/>
    </xf>
    <xf numFmtId="43" fontId="4" fillId="0" borderId="0" xfId="17" applyFont="1"/>
    <xf numFmtId="8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8" fontId="4" fillId="0" borderId="2" xfId="4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8" fontId="4" fillId="0" borderId="2" xfId="0" applyNumberFormat="1" applyFont="1" applyBorder="1" applyAlignment="1">
      <alignment horizontal="center"/>
    </xf>
    <xf numFmtId="173" fontId="4" fillId="0" borderId="0" xfId="0" applyNumberFormat="1" applyFont="1"/>
    <xf numFmtId="165" fontId="3" fillId="0" borderId="1" xfId="0" quotePrefix="1" applyFont="1" applyBorder="1" applyAlignment="1">
      <alignment horizontal="center"/>
    </xf>
    <xf numFmtId="174" fontId="4" fillId="0" borderId="0" xfId="0" applyNumberFormat="1" applyFont="1"/>
    <xf numFmtId="172" fontId="3" fillId="0" borderId="1" xfId="0" quotePrefix="1" applyNumberFormat="1" applyFont="1" applyBorder="1" applyAlignment="1">
      <alignment horizontal="center"/>
    </xf>
    <xf numFmtId="0" fontId="3" fillId="0" borderId="9" xfId="4" applyNumberFormat="1" applyFont="1" applyBorder="1" applyAlignment="1">
      <alignment horizontal="center"/>
    </xf>
    <xf numFmtId="165" fontId="1" fillId="6" borderId="0" xfId="4" applyFill="1"/>
    <xf numFmtId="165" fontId="1" fillId="0" borderId="0" xfId="4"/>
    <xf numFmtId="165" fontId="12" fillId="6" borderId="0" xfId="0" applyFont="1" applyFill="1"/>
    <xf numFmtId="165" fontId="0" fillId="6" borderId="0" xfId="0" applyFill="1"/>
    <xf numFmtId="165" fontId="0" fillId="0" borderId="0" xfId="0" applyAlignment="1">
      <alignment horizontal="right"/>
    </xf>
    <xf numFmtId="8" fontId="0" fillId="0" borderId="0" xfId="7" applyNumberFormat="1" applyFont="1" applyFill="1"/>
    <xf numFmtId="8" fontId="7" fillId="0" borderId="0" xfId="18" applyNumberFormat="1" applyAlignment="1">
      <alignment horizontal="center"/>
    </xf>
    <xf numFmtId="175" fontId="0" fillId="0" borderId="0" xfId="0" applyNumberFormat="1"/>
    <xf numFmtId="8" fontId="4" fillId="0" borderId="10" xfId="4" applyNumberFormat="1" applyFont="1" applyBorder="1" applyAlignment="1">
      <alignment horizontal="center"/>
    </xf>
    <xf numFmtId="9" fontId="4" fillId="0" borderId="0" xfId="3" applyFont="1"/>
    <xf numFmtId="176" fontId="1" fillId="0" borderId="0" xfId="4" applyNumberFormat="1"/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8" fontId="4" fillId="0" borderId="11" xfId="4" applyNumberFormat="1" applyFont="1" applyBorder="1" applyAlignment="1">
      <alignment horizontal="center"/>
    </xf>
    <xf numFmtId="8" fontId="4" fillId="0" borderId="9" xfId="4" applyNumberFormat="1" applyFont="1" applyBorder="1" applyAlignment="1">
      <alignment horizontal="center"/>
    </xf>
    <xf numFmtId="7" fontId="0" fillId="6" borderId="13" xfId="7" applyNumberFormat="1" applyFont="1" applyFill="1" applyBorder="1" applyAlignment="1">
      <alignment horizontal="center"/>
    </xf>
    <xf numFmtId="7" fontId="0" fillId="6" borderId="14" xfId="7" applyNumberFormat="1" applyFont="1" applyFill="1" applyBorder="1" applyAlignment="1">
      <alignment horizontal="center"/>
    </xf>
    <xf numFmtId="165" fontId="12" fillId="6" borderId="0" xfId="4" applyFont="1" applyFill="1" applyAlignment="1">
      <alignment horizontal="right"/>
    </xf>
    <xf numFmtId="165" fontId="3" fillId="0" borderId="5" xfId="0" applyFont="1" applyBorder="1" applyAlignment="1">
      <alignment horizontal="center" wrapText="1"/>
    </xf>
    <xf numFmtId="165" fontId="3" fillId="0" borderId="12" xfId="4" quotePrefix="1" applyFont="1" applyBorder="1" applyAlignment="1">
      <alignment horizontal="center" wrapText="1"/>
    </xf>
    <xf numFmtId="7" fontId="13" fillId="6" borderId="16" xfId="7" applyNumberFormat="1" applyFont="1" applyFill="1" applyBorder="1" applyAlignment="1">
      <alignment horizontal="center"/>
    </xf>
    <xf numFmtId="165" fontId="3" fillId="0" borderId="3" xfId="4" applyFont="1" applyBorder="1" applyAlignment="1">
      <alignment horizontal="center" wrapText="1"/>
    </xf>
    <xf numFmtId="165" fontId="3" fillId="0" borderId="5" xfId="4" quotePrefix="1" applyFont="1" applyBorder="1" applyAlignment="1">
      <alignment horizontal="center" wrapText="1"/>
    </xf>
    <xf numFmtId="165" fontId="3" fillId="0" borderId="4" xfId="4" applyFont="1" applyBorder="1" applyAlignment="1">
      <alignment horizontal="left" vertical="top" wrapText="1"/>
    </xf>
    <xf numFmtId="165" fontId="3" fillId="0" borderId="1" xfId="0" applyFont="1" applyBorder="1" applyAlignment="1">
      <alignment horizontal="center" vertical="center" wrapText="1"/>
    </xf>
    <xf numFmtId="165" fontId="3" fillId="0" borderId="5" xfId="0" applyFont="1" applyBorder="1" applyAlignment="1">
      <alignment horizontal="center" vertical="top" wrapText="1"/>
    </xf>
    <xf numFmtId="165" fontId="4" fillId="0" borderId="18" xfId="4" applyFont="1" applyBorder="1"/>
    <xf numFmtId="165" fontId="3" fillId="0" borderId="2" xfId="4" quotePrefix="1" applyFont="1" applyBorder="1" applyAlignment="1">
      <alignment horizontal="center"/>
    </xf>
    <xf numFmtId="165" fontId="4" fillId="0" borderId="19" xfId="4" applyFont="1" applyBorder="1"/>
    <xf numFmtId="165" fontId="3" fillId="0" borderId="1" xfId="4" applyFont="1" applyBorder="1" applyAlignment="1">
      <alignment horizontal="left" vertical="top" wrapText="1"/>
    </xf>
    <xf numFmtId="176" fontId="0" fillId="6" borderId="0" xfId="0" applyNumberFormat="1" applyFill="1"/>
    <xf numFmtId="176" fontId="0" fillId="0" borderId="0" xfId="0" applyNumberFormat="1"/>
    <xf numFmtId="165" fontId="15" fillId="6" borderId="0" xfId="4" applyFont="1" applyFill="1"/>
    <xf numFmtId="165" fontId="16" fillId="6" borderId="0" xfId="4" applyFont="1" applyFill="1" applyAlignment="1">
      <alignment horizontal="right"/>
    </xf>
    <xf numFmtId="165" fontId="15" fillId="6" borderId="0" xfId="4" applyFont="1" applyFill="1" applyAlignment="1">
      <alignment horizontal="right" vertical="top"/>
    </xf>
    <xf numFmtId="177" fontId="13" fillId="6" borderId="17" xfId="7" applyNumberFormat="1" applyFont="1" applyFill="1" applyBorder="1" applyAlignment="1">
      <alignment horizontal="center"/>
    </xf>
    <xf numFmtId="165" fontId="12" fillId="6" borderId="13" xfId="4" applyFont="1" applyFill="1" applyBorder="1" applyAlignment="1">
      <alignment horizontal="left"/>
    </xf>
    <xf numFmtId="165" fontId="12" fillId="6" borderId="20" xfId="4" applyFont="1" applyFill="1" applyBorder="1"/>
    <xf numFmtId="165" fontId="1" fillId="0" borderId="21" xfId="4" applyBorder="1"/>
    <xf numFmtId="165" fontId="14" fillId="0" borderId="21" xfId="4" applyFont="1" applyBorder="1" applyAlignment="1">
      <alignment horizontal="right"/>
    </xf>
    <xf numFmtId="165" fontId="14" fillId="0" borderId="21" xfId="4" applyFont="1" applyBorder="1"/>
    <xf numFmtId="7" fontId="1" fillId="6" borderId="0" xfId="4" applyNumberFormat="1" applyFill="1"/>
    <xf numFmtId="165" fontId="1" fillId="6" borderId="15" xfId="4" applyFill="1" applyBorder="1"/>
    <xf numFmtId="165" fontId="14" fillId="0" borderId="0" xfId="4" applyFont="1"/>
    <xf numFmtId="165" fontId="12" fillId="6" borderId="21" xfId="4" applyFont="1" applyFill="1" applyBorder="1" applyAlignment="1">
      <alignment horizontal="left"/>
    </xf>
    <xf numFmtId="165" fontId="16" fillId="6" borderId="0" xfId="4" applyFont="1" applyFill="1"/>
    <xf numFmtId="165" fontId="15" fillId="0" borderId="21" xfId="4" applyFont="1" applyBorder="1" applyAlignment="1">
      <alignment horizontal="right"/>
    </xf>
    <xf numFmtId="165" fontId="1" fillId="0" borderId="22" xfId="4" applyBorder="1"/>
    <xf numFmtId="7" fontId="1" fillId="6" borderId="7" xfId="4" applyNumberFormat="1" applyFill="1" applyBorder="1"/>
    <xf numFmtId="165" fontId="1" fillId="6" borderId="7" xfId="4" applyFill="1" applyBorder="1"/>
    <xf numFmtId="165" fontId="1" fillId="6" borderId="23" xfId="4" applyFill="1" applyBorder="1"/>
    <xf numFmtId="165" fontId="4" fillId="0" borderId="5" xfId="4" applyFont="1" applyBorder="1"/>
    <xf numFmtId="165" fontId="4" fillId="0" borderId="1" xfId="4" applyFont="1" applyBorder="1"/>
    <xf numFmtId="7" fontId="13" fillId="6" borderId="0" xfId="7" applyNumberFormat="1" applyFont="1" applyFill="1" applyBorder="1" applyAlignment="1">
      <alignment horizontal="center"/>
    </xf>
    <xf numFmtId="177" fontId="13" fillId="6" borderId="0" xfId="7" applyNumberFormat="1" applyFont="1" applyFill="1" applyBorder="1" applyAlignment="1">
      <alignment horizontal="center"/>
    </xf>
    <xf numFmtId="7" fontId="0" fillId="6" borderId="16" xfId="7" applyNumberFormat="1" applyFont="1" applyFill="1" applyBorder="1" applyAlignment="1">
      <alignment horizontal="center"/>
    </xf>
    <xf numFmtId="7" fontId="0" fillId="6" borderId="17" xfId="7" applyNumberFormat="1" applyFont="1" applyFill="1" applyBorder="1" applyAlignment="1">
      <alignment horizontal="center"/>
    </xf>
    <xf numFmtId="165" fontId="15" fillId="6" borderId="7" xfId="4" applyFont="1" applyFill="1" applyBorder="1"/>
    <xf numFmtId="165" fontId="14" fillId="6" borderId="21" xfId="4" applyFont="1" applyFill="1" applyBorder="1" applyAlignment="1">
      <alignment horizontal="right"/>
    </xf>
    <xf numFmtId="165" fontId="14" fillId="6" borderId="15" xfId="4" applyFont="1" applyFill="1" applyBorder="1" applyAlignment="1">
      <alignment horizontal="right"/>
    </xf>
    <xf numFmtId="165" fontId="12" fillId="6" borderId="0" xfId="4" applyFont="1" applyFill="1" applyAlignment="1">
      <alignment horizontal="center" vertical="center"/>
    </xf>
    <xf numFmtId="165" fontId="12" fillId="6" borderId="15" xfId="4" applyFont="1" applyFill="1" applyBorder="1" applyAlignment="1">
      <alignment horizontal="center" vertical="center"/>
    </xf>
    <xf numFmtId="165" fontId="14" fillId="6" borderId="21" xfId="4" applyFont="1" applyFill="1" applyBorder="1" applyAlignment="1">
      <alignment horizontal="right" vertical="top"/>
    </xf>
    <xf numFmtId="165" fontId="14" fillId="6" borderId="15" xfId="4" applyFont="1" applyFill="1" applyBorder="1" applyAlignment="1">
      <alignment horizontal="right" vertical="top"/>
    </xf>
    <xf numFmtId="165" fontId="12" fillId="6" borderId="20" xfId="4" applyFont="1" applyFill="1" applyBorder="1" applyAlignment="1">
      <alignment horizontal="center"/>
    </xf>
    <xf numFmtId="165" fontId="12" fillId="6" borderId="14" xfId="4" applyFont="1" applyFill="1" applyBorder="1" applyAlignment="1">
      <alignment horizontal="center"/>
    </xf>
    <xf numFmtId="165" fontId="12" fillId="6" borderId="0" xfId="4" applyFont="1" applyFill="1" applyAlignment="1">
      <alignment horizontal="center"/>
    </xf>
    <xf numFmtId="165" fontId="12" fillId="6" borderId="15" xfId="4" applyFont="1" applyFill="1" applyBorder="1" applyAlignment="1">
      <alignment horizontal="center"/>
    </xf>
  </cellXfs>
  <cellStyles count="19">
    <cellStyle name="Comma" xfId="17" builtinId="3"/>
    <cellStyle name="Comma 2" xfId="7" xr:uid="{00000000-0005-0000-0000-000001000000}"/>
    <cellStyle name="Currency 2" xfId="8" xr:uid="{00000000-0005-0000-0000-000002000000}"/>
    <cellStyle name="Currency No Comma" xfId="9" xr:uid="{00000000-0005-0000-0000-000003000000}"/>
    <cellStyle name="Input" xfId="1" builtinId="20" customBuiltin="1"/>
    <cellStyle name="MCP" xfId="10" xr:uid="{00000000-0005-0000-0000-000005000000}"/>
    <cellStyle name="noninput" xfId="11" xr:uid="{00000000-0005-0000-0000-000006000000}"/>
    <cellStyle name="Normal" xfId="0" builtinId="0" customBuiltin="1"/>
    <cellStyle name="Normal 2" xfId="4" xr:uid="{00000000-0005-0000-0000-000008000000}"/>
    <cellStyle name="Normal 2 2" xfId="6" xr:uid="{00000000-0005-0000-0000-000009000000}"/>
    <cellStyle name="Normal 3" xfId="12" xr:uid="{00000000-0005-0000-0000-00000A000000}"/>
    <cellStyle name="Normal 5" xfId="5" xr:uid="{00000000-0005-0000-0000-00000B000000}"/>
    <cellStyle name="Normal_T-INF-10-15-04-TEMPLATE" xfId="2" xr:uid="{00000000-0005-0000-0000-00000C000000}"/>
    <cellStyle name="Normal_UT 2008.Q2 - Compliance - Appendix B - AC Study_2008 08 05" xfId="18" xr:uid="{00000000-0005-0000-0000-00000D000000}"/>
    <cellStyle name="Password" xfId="13" xr:uid="{00000000-0005-0000-0000-00000E000000}"/>
    <cellStyle name="Percent" xfId="3" builtinId="5"/>
    <cellStyle name="Unprot" xfId="14" xr:uid="{00000000-0005-0000-0000-000010000000}"/>
    <cellStyle name="Unprot$" xfId="15" xr:uid="{00000000-0005-0000-0000-000011000000}"/>
    <cellStyle name="Unprotect" xfId="16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21%20-%20UTSch38_2025Q3%20IRPMar2025%20-%20Dec%202025\Sch%2038%20Filing\4_Appendix%20B.2%20-%20UT%202025Q3_UT25IRP%20-%20Solar%20AC%20Study%20NON-CONF%20Routine%20Upd.xlsx" TargetMode="External"/><Relationship Id="rId1" Type="http://schemas.openxmlformats.org/officeDocument/2006/relationships/externalLinkPath" Target="file:///F:\Avoided%20Cost%20-%202025\21%20-%20UTSch38_2025Q3%20IRPMar2025%20-%20Dec%202025\Sch%2038%20Filing\4_Appendix%20B.2%20-%20UT%202025Q3_UT25IRP%20-%20Solar%20AC%20Study%20NON-CONF%20Routine%20Up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LINGS\UT\2025%20Dockets\25-035-30%20Quarterly%20Avoided%20Cost%20Update\3-24-26%20Q4\working%20docs\4.2_Appendix%20B.2%20-%20UT%202025Q4_UT25IRP%20-%20Solar%20AC%20Study%20NON-CONF%20Routine%20Up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voided%20Cost%20-%202025\21%20-%20UTSch38_2025Q3%20IRPMar2025%20-%20Dec%202025\Sch%2038%20Filing\8_Appendix%20D.2_UTSch38_2025Q3_Solar_AC%20Study%20NON-CONF%20NonRoutine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LINGS\UT\2025%20Dockets\25-035-30%20Quarterly%20Avoided%20Cost%20Update\3-24-26%20Q4\working%20docs\8_Appendix%20D.2_UTSch38_2025Q4_PV_AC%20Study%20NON-CONF%20NonRoutine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6\04%20-%20UTSch38_2025Q4%20IRPDec2026%20-%20Mar%202026\Sch38%20Filing%20Package\10_Appendix%20E.2_UTSch38_2025Q4_PV_AC%20Study%20NON-CONF%20NoDispl.xlsx" TargetMode="External"/><Relationship Id="rId1" Type="http://schemas.openxmlformats.org/officeDocument/2006/relationships/externalLinkPath" Target="file:///S:\FILINGS\UT\2025%20Dockets\25-035-30%20Quarterly%20Avoided%20Cost%20Update\3-24-26%20Q4\working%20docs\10_Appendix%20E.2_UTSch38_2025Q4_PV_AC%20Study%20NON-CONF%20NoDis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4"/>
      <sheetName val="Table 5"/>
      <sheetName val="Table3Compare"/>
      <sheetName val="WD_.PX.DJW._.PTC.2028"/>
      <sheetName val="WD_.PX.DJW._.PTC.2029"/>
      <sheetName val="2025 IRP Assumptions"/>
      <sheetName val="Table 3 PV_.PX.WMV._.PTC.2032"/>
      <sheetName val="Table 3 TransCost"/>
      <sheetName val="WD_.PX.WMV._.PTC.2032"/>
      <sheetName val="PV_.PX.WMV._.PTC.2036"/>
      <sheetName val="PV_.PX.YAK._.PTC.2032"/>
    </sheetNames>
    <sheetDataSet>
      <sheetData sheetId="0">
        <row r="13">
          <cell r="B13">
            <v>2026</v>
          </cell>
          <cell r="C13">
            <v>0</v>
          </cell>
          <cell r="D13"/>
          <cell r="E13">
            <v>17.929937688395356</v>
          </cell>
          <cell r="F13"/>
          <cell r="G13">
            <v>17.929937688395356</v>
          </cell>
        </row>
        <row r="14">
          <cell r="B14">
            <v>2027</v>
          </cell>
          <cell r="C14">
            <v>0</v>
          </cell>
          <cell r="D14"/>
          <cell r="E14">
            <v>21.566708555374582</v>
          </cell>
          <cell r="F14"/>
          <cell r="G14">
            <v>21.566708555374582</v>
          </cell>
        </row>
        <row r="15">
          <cell r="B15">
            <v>2028</v>
          </cell>
          <cell r="C15">
            <v>0</v>
          </cell>
          <cell r="D15"/>
          <cell r="E15">
            <v>23.253305548737881</v>
          </cell>
          <cell r="F15"/>
          <cell r="G15">
            <v>23.253305548737881</v>
          </cell>
        </row>
        <row r="16">
          <cell r="B16">
            <v>2029</v>
          </cell>
          <cell r="C16">
            <v>0</v>
          </cell>
          <cell r="D16"/>
          <cell r="E16">
            <v>27.15517205510131</v>
          </cell>
          <cell r="F16"/>
          <cell r="G16">
            <v>27.15517205510131</v>
          </cell>
        </row>
        <row r="17">
          <cell r="B17">
            <v>2030</v>
          </cell>
          <cell r="C17">
            <v>0</v>
          </cell>
          <cell r="D17"/>
          <cell r="E17">
            <v>26.402913452353271</v>
          </cell>
          <cell r="F17"/>
          <cell r="G17">
            <v>26.402913452353271</v>
          </cell>
        </row>
        <row r="18">
          <cell r="B18">
            <v>2031</v>
          </cell>
          <cell r="C18">
            <v>0</v>
          </cell>
          <cell r="D18"/>
          <cell r="E18">
            <v>26.765172913226284</v>
          </cell>
          <cell r="F18"/>
          <cell r="G18">
            <v>26.765172913226284</v>
          </cell>
        </row>
        <row r="19">
          <cell r="B19">
            <v>2032</v>
          </cell>
          <cell r="C19">
            <v>118.93773045375903</v>
          </cell>
          <cell r="D19"/>
          <cell r="E19">
            <v>-15.783434068715575</v>
          </cell>
          <cell r="F19"/>
          <cell r="G19">
            <v>30.708843162834309</v>
          </cell>
        </row>
        <row r="20">
          <cell r="B20">
            <v>2033</v>
          </cell>
          <cell r="C20">
            <v>121.53057297907223</v>
          </cell>
          <cell r="D20"/>
          <cell r="E20">
            <v>-17.359920776682593</v>
          </cell>
          <cell r="F20"/>
          <cell r="G20">
            <v>30.468167030075584</v>
          </cell>
        </row>
        <row r="21">
          <cell r="B21">
            <v>2034</v>
          </cell>
          <cell r="C21">
            <v>124.17993956061784</v>
          </cell>
          <cell r="D21"/>
          <cell r="E21">
            <v>-18.223223039224482</v>
          </cell>
          <cell r="F21"/>
          <cell r="G21">
            <v>30.84176601321521</v>
          </cell>
        </row>
        <row r="22">
          <cell r="B22">
            <v>2035</v>
          </cell>
          <cell r="C22">
            <v>126.88706221123057</v>
          </cell>
          <cell r="D22"/>
          <cell r="E22">
            <v>-21.369998366536503</v>
          </cell>
          <cell r="F22"/>
          <cell r="G22">
            <v>29.072613449293172</v>
          </cell>
        </row>
        <row r="23">
          <cell r="B23">
            <v>2036</v>
          </cell>
          <cell r="C23">
            <v>129.65320016833621</v>
          </cell>
          <cell r="D23"/>
          <cell r="E23">
            <v>-21.679447271697018</v>
          </cell>
          <cell r="F23"/>
          <cell r="G23">
            <v>30.08530457364564</v>
          </cell>
        </row>
        <row r="24">
          <cell r="B24">
            <v>2037</v>
          </cell>
          <cell r="C24">
            <v>132.47963989395157</v>
          </cell>
          <cell r="D24"/>
          <cell r="E24">
            <v>-25.526448006405516</v>
          </cell>
          <cell r="F24"/>
          <cell r="G24">
            <v>27.634463565698425</v>
          </cell>
        </row>
        <row r="25">
          <cell r="B25">
            <v>2038</v>
          </cell>
          <cell r="C25">
            <v>135.36769607558858</v>
          </cell>
          <cell r="D25"/>
          <cell r="E25">
            <v>-31.547149777410713</v>
          </cell>
          <cell r="F25"/>
          <cell r="G25">
            <v>23.093500455138074</v>
          </cell>
        </row>
        <row r="26">
          <cell r="B26">
            <v>2039</v>
          </cell>
          <cell r="C26">
            <v>138.31871182643511</v>
          </cell>
          <cell r="D26"/>
          <cell r="E26">
            <v>-35.181237421075252</v>
          </cell>
          <cell r="F26"/>
          <cell r="G26">
            <v>20.917929138314445</v>
          </cell>
        </row>
        <row r="27">
          <cell r="B27">
            <v>2040</v>
          </cell>
          <cell r="C27">
            <v>141.33405978634943</v>
          </cell>
          <cell r="D27"/>
          <cell r="E27">
            <v>-37.656919638106508</v>
          </cell>
          <cell r="F27"/>
          <cell r="G27">
            <v>19.819441942873667</v>
          </cell>
        </row>
        <row r="28">
          <cell r="B28">
            <v>2041</v>
          </cell>
          <cell r="C28">
            <v>144.41514222195062</v>
          </cell>
          <cell r="D28"/>
          <cell r="E28">
            <v>-37.782888245583798</v>
          </cell>
          <cell r="F28"/>
          <cell r="G28">
            <v>21.377345964575809</v>
          </cell>
        </row>
        <row r="29">
          <cell r="B29">
            <v>2042</v>
          </cell>
          <cell r="C29">
            <v>147.56339232779405</v>
          </cell>
          <cell r="D29"/>
          <cell r="E29">
            <v>10.893887063955145</v>
          </cell>
          <cell r="F29"/>
          <cell r="G29">
            <v>71.594725483974401</v>
          </cell>
        </row>
        <row r="30">
          <cell r="B30">
            <v>2043</v>
          </cell>
          <cell r="C30">
            <v>150.78027432646144</v>
          </cell>
          <cell r="D30"/>
          <cell r="E30">
            <v>10.205542828576675</v>
          </cell>
          <cell r="F30"/>
          <cell r="G30">
            <v>72.555821663611027</v>
          </cell>
        </row>
        <row r="31">
          <cell r="B31">
            <v>2044</v>
          </cell>
          <cell r="C31">
            <v>154.06728426928444</v>
          </cell>
          <cell r="D31"/>
          <cell r="E31">
            <v>7.7410416373383644</v>
          </cell>
          <cell r="F31"/>
          <cell r="G31">
            <v>71.753339135241859</v>
          </cell>
        </row>
        <row r="32">
          <cell r="B32">
            <v>2045</v>
          </cell>
          <cell r="C32">
            <v>157.42595113733893</v>
          </cell>
          <cell r="D32"/>
          <cell r="E32">
            <v>7.9671213137305852</v>
          </cell>
          <cell r="F32"/>
          <cell r="G32">
            <v>73.848919120688507</v>
          </cell>
        </row>
        <row r="33">
          <cell r="B33">
            <v>2046</v>
          </cell>
          <cell r="C33" t="e">
            <v>#N/A</v>
          </cell>
        </row>
        <row r="34">
          <cell r="B34">
            <v>2047</v>
          </cell>
          <cell r="C34"/>
        </row>
        <row r="35">
          <cell r="B35">
            <v>2048</v>
          </cell>
          <cell r="C35"/>
        </row>
      </sheetData>
      <sheetData sheetId="1"/>
      <sheetData sheetId="2"/>
      <sheetData sheetId="3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0</v>
          </cell>
        </row>
        <row r="20">
          <cell r="L20">
            <v>2030</v>
          </cell>
          <cell r="R20">
            <v>0</v>
          </cell>
        </row>
        <row r="21">
          <cell r="L21">
            <v>2031</v>
          </cell>
          <cell r="R21">
            <v>0</v>
          </cell>
        </row>
        <row r="22">
          <cell r="L22">
            <v>2032</v>
          </cell>
          <cell r="R22">
            <v>46.492277231549885</v>
          </cell>
        </row>
        <row r="23">
          <cell r="L23">
            <v>2033</v>
          </cell>
          <cell r="R23">
            <v>47.828087806758184</v>
          </cell>
        </row>
        <row r="24">
          <cell r="L24">
            <v>2034</v>
          </cell>
          <cell r="R24">
            <v>49.064989052439685</v>
          </cell>
        </row>
        <row r="25">
          <cell r="L25">
            <v>2035</v>
          </cell>
          <cell r="R25">
            <v>50.442611815829672</v>
          </cell>
        </row>
        <row r="26">
          <cell r="L26">
            <v>2036</v>
          </cell>
          <cell r="R26">
            <v>51.764751845342658</v>
          </cell>
        </row>
        <row r="27">
          <cell r="L27">
            <v>2037</v>
          </cell>
          <cell r="R27">
            <v>53.160911572103942</v>
          </cell>
        </row>
        <row r="28">
          <cell r="L28">
            <v>2038</v>
          </cell>
          <cell r="R28">
            <v>54.640650232548779</v>
          </cell>
        </row>
        <row r="29">
          <cell r="L29">
            <v>2039</v>
          </cell>
          <cell r="R29">
            <v>56.099166559389694</v>
          </cell>
        </row>
        <row r="30">
          <cell r="L30">
            <v>2040</v>
          </cell>
          <cell r="R30">
            <v>57.476361580980182</v>
          </cell>
        </row>
        <row r="31">
          <cell r="L31">
            <v>2041</v>
          </cell>
          <cell r="R31">
            <v>59.16023421015958</v>
          </cell>
        </row>
        <row r="32">
          <cell r="L32">
            <v>2042</v>
          </cell>
          <cell r="R32">
            <v>60.700838420019259</v>
          </cell>
        </row>
        <row r="33">
          <cell r="L33">
            <v>2043</v>
          </cell>
          <cell r="R33">
            <v>62.350278835034359</v>
          </cell>
        </row>
        <row r="34">
          <cell r="L34">
            <v>2044</v>
          </cell>
          <cell r="R34">
            <v>64.012297497903504</v>
          </cell>
        </row>
        <row r="35">
          <cell r="L35">
            <v>2045</v>
          </cell>
          <cell r="R35">
            <v>65.881797806957906</v>
          </cell>
        </row>
        <row r="36">
          <cell r="L36">
            <v>2046</v>
          </cell>
          <cell r="R36">
            <v>0</v>
          </cell>
        </row>
        <row r="37">
          <cell r="L37">
            <v>2047</v>
          </cell>
          <cell r="R37">
            <v>0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4"/>
      <sheetName val="Table 5"/>
      <sheetName val="Table3Compare"/>
      <sheetName val="WD_.PX.DJW._.PTC.2028"/>
      <sheetName val="WD_.PX.DJW._.PTC.2029"/>
      <sheetName val="2025 IRP Assumptions"/>
      <sheetName val="Table 3 PV_.PX.WMV._.PTC.2032"/>
      <sheetName val="Table 3 TransCost"/>
      <sheetName val="WD_.PX.WMV._.PTC.2032"/>
      <sheetName val="PV_.PX.WMV._.PTC.2036"/>
      <sheetName val="PV_.PX.YAK._.PTC.2032"/>
    </sheetNames>
    <sheetDataSet>
      <sheetData sheetId="0">
        <row r="13">
          <cell r="B13">
            <v>2026</v>
          </cell>
          <cell r="C13">
            <v>0</v>
          </cell>
          <cell r="D13"/>
          <cell r="E13">
            <v>15.181696843834693</v>
          </cell>
        </row>
        <row r="14">
          <cell r="B14">
            <v>2027</v>
          </cell>
          <cell r="C14">
            <v>0</v>
          </cell>
          <cell r="D14"/>
          <cell r="E14">
            <v>20.227655844938802</v>
          </cell>
        </row>
        <row r="15">
          <cell r="B15">
            <v>2028</v>
          </cell>
          <cell r="C15">
            <v>0</v>
          </cell>
          <cell r="D15"/>
          <cell r="E15">
            <v>21.815104819900604</v>
          </cell>
        </row>
        <row r="16">
          <cell r="B16">
            <v>2029</v>
          </cell>
          <cell r="C16">
            <v>0</v>
          </cell>
          <cell r="D16"/>
          <cell r="E16">
            <v>26.595924398665115</v>
          </cell>
        </row>
        <row r="17">
          <cell r="B17">
            <v>2030</v>
          </cell>
          <cell r="C17">
            <v>0</v>
          </cell>
          <cell r="D17"/>
          <cell r="E17">
            <v>27.755389274509156</v>
          </cell>
        </row>
        <row r="18">
          <cell r="B18">
            <v>2031</v>
          </cell>
          <cell r="C18">
            <v>0</v>
          </cell>
          <cell r="D18"/>
          <cell r="E18">
            <v>28.203483779739148</v>
          </cell>
        </row>
        <row r="19">
          <cell r="B19">
            <v>2032</v>
          </cell>
          <cell r="C19">
            <v>119.5354074912151</v>
          </cell>
          <cell r="D19"/>
          <cell r="E19">
            <v>-15.049640626616233</v>
          </cell>
        </row>
        <row r="20">
          <cell r="B20">
            <v>2033</v>
          </cell>
          <cell r="C20">
            <v>122.141279375952</v>
          </cell>
          <cell r="D20"/>
          <cell r="E20">
            <v>-16.383521691977908</v>
          </cell>
        </row>
        <row r="21">
          <cell r="B21">
            <v>2034</v>
          </cell>
          <cell r="C21">
            <v>124.80395935740486</v>
          </cell>
          <cell r="D21"/>
          <cell r="E21">
            <v>-17.23374795868984</v>
          </cell>
        </row>
        <row r="22">
          <cell r="B22">
            <v>2035</v>
          </cell>
          <cell r="C22">
            <v>127.5246856394277</v>
          </cell>
          <cell r="D22"/>
          <cell r="E22">
            <v>-20.153617295688434</v>
          </cell>
        </row>
        <row r="23">
          <cell r="B23">
            <v>2036</v>
          </cell>
          <cell r="C23">
            <v>130.30472378727256</v>
          </cell>
          <cell r="D23"/>
          <cell r="E23">
            <v>-21.12507786717503</v>
          </cell>
        </row>
        <row r="24">
          <cell r="B24">
            <v>2037</v>
          </cell>
          <cell r="C24">
            <v>133.14536672758953</v>
          </cell>
          <cell r="D24"/>
          <cell r="E24">
            <v>-25.30465550143964</v>
          </cell>
        </row>
        <row r="25">
          <cell r="B25">
            <v>2038</v>
          </cell>
          <cell r="C25">
            <v>136.0479357543604</v>
          </cell>
          <cell r="D25"/>
          <cell r="E25">
            <v>-31.01141612617527</v>
          </cell>
        </row>
        <row r="26">
          <cell r="B26">
            <v>2039</v>
          </cell>
          <cell r="C26">
            <v>139.01378073008556</v>
          </cell>
          <cell r="D26"/>
          <cell r="E26">
            <v>-34.117321041239961</v>
          </cell>
        </row>
        <row r="27">
          <cell r="B27">
            <v>2040</v>
          </cell>
          <cell r="C27">
            <v>142.04428119231096</v>
          </cell>
          <cell r="D27"/>
          <cell r="E27">
            <v>-37.246780285693717</v>
          </cell>
        </row>
        <row r="28">
          <cell r="B28">
            <v>2041</v>
          </cell>
          <cell r="C28">
            <v>145.14084645422173</v>
          </cell>
          <cell r="D28"/>
          <cell r="E28">
            <v>-36.977662398431669</v>
          </cell>
        </row>
        <row r="29">
          <cell r="B29">
            <v>2042</v>
          </cell>
          <cell r="C29">
            <v>148.30491691235585</v>
          </cell>
          <cell r="D29"/>
          <cell r="E29">
            <v>12.106735463367405</v>
          </cell>
        </row>
        <row r="30">
          <cell r="B30">
            <v>2043</v>
          </cell>
          <cell r="C30">
            <v>151.53796414719744</v>
          </cell>
          <cell r="D30"/>
          <cell r="E30">
            <v>10.397142062600755</v>
          </cell>
        </row>
        <row r="31">
          <cell r="B31">
            <v>2044</v>
          </cell>
          <cell r="C31">
            <v>154.84149172792405</v>
          </cell>
          <cell r="D31"/>
          <cell r="E31">
            <v>9.9096819729346457</v>
          </cell>
        </row>
        <row r="32">
          <cell r="B32">
            <v>2045</v>
          </cell>
          <cell r="C32">
            <v>158.21703631893359</v>
          </cell>
          <cell r="D32"/>
          <cell r="E32">
            <v>10.199097506211794</v>
          </cell>
        </row>
        <row r="33">
          <cell r="B33">
            <v>2046</v>
          </cell>
          <cell r="C33" t="e">
            <v>#N/A</v>
          </cell>
          <cell r="D33"/>
          <cell r="E33" t="e">
            <v>#DIV/0!</v>
          </cell>
        </row>
        <row r="34">
          <cell r="B34">
            <v>2047</v>
          </cell>
          <cell r="C34"/>
          <cell r="D34"/>
          <cell r="E34"/>
        </row>
        <row r="35">
          <cell r="B35">
            <v>2048</v>
          </cell>
          <cell r="C35"/>
          <cell r="D35"/>
          <cell r="E35"/>
        </row>
      </sheetData>
      <sheetData sheetId="1"/>
      <sheetData sheetId="2"/>
      <sheetData sheetId="3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0</v>
          </cell>
        </row>
        <row r="20">
          <cell r="L20">
            <v>2030</v>
          </cell>
          <cell r="R20">
            <v>0</v>
          </cell>
        </row>
        <row r="21">
          <cell r="L21">
            <v>2031</v>
          </cell>
          <cell r="R21">
            <v>0</v>
          </cell>
        </row>
        <row r="22">
          <cell r="L22">
            <v>2032</v>
          </cell>
          <cell r="R22">
            <v>46.72590676537677</v>
          </cell>
        </row>
        <row r="23">
          <cell r="L23">
            <v>2033</v>
          </cell>
          <cell r="R23">
            <v>48.068429956540889</v>
          </cell>
        </row>
        <row r="24">
          <cell r="L24">
            <v>2034</v>
          </cell>
          <cell r="R24">
            <v>49.311546786371544</v>
          </cell>
        </row>
        <row r="25">
          <cell r="L25">
            <v>2035</v>
          </cell>
          <cell r="R25">
            <v>50.696092277215747</v>
          </cell>
        </row>
        <row r="26">
          <cell r="L26">
            <v>2036</v>
          </cell>
          <cell r="R26">
            <v>52.024876226475044</v>
          </cell>
        </row>
        <row r="27">
          <cell r="L27">
            <v>2037</v>
          </cell>
          <cell r="R27">
            <v>53.428051831260248</v>
          </cell>
        </row>
        <row r="28">
          <cell r="L28">
            <v>2038</v>
          </cell>
          <cell r="R28">
            <v>54.915226364370639</v>
          </cell>
        </row>
        <row r="29">
          <cell r="L29">
            <v>2039</v>
          </cell>
          <cell r="R29">
            <v>56.381071918984631</v>
          </cell>
        </row>
        <row r="30">
          <cell r="L30">
            <v>2040</v>
          </cell>
          <cell r="R30">
            <v>57.765187518573043</v>
          </cell>
        </row>
        <row r="31">
          <cell r="L31">
            <v>2041</v>
          </cell>
          <cell r="R31">
            <v>59.457521819255888</v>
          </cell>
        </row>
        <row r="32">
          <cell r="L32">
            <v>2042</v>
          </cell>
          <cell r="R32">
            <v>61.005867758813338</v>
          </cell>
        </row>
        <row r="33">
          <cell r="L33">
            <v>2043</v>
          </cell>
          <cell r="R33">
            <v>62.663596819130021</v>
          </cell>
        </row>
        <row r="34">
          <cell r="L34">
            <v>2044</v>
          </cell>
          <cell r="R34">
            <v>64.333967334576357</v>
          </cell>
        </row>
        <row r="35">
          <cell r="L35">
            <v>2045</v>
          </cell>
          <cell r="R35">
            <v>66.212862117545669</v>
          </cell>
        </row>
        <row r="36">
          <cell r="L36">
            <v>2046</v>
          </cell>
          <cell r="R36">
            <v>0</v>
          </cell>
        </row>
        <row r="37">
          <cell r="L37">
            <v>2047</v>
          </cell>
          <cell r="R37">
            <v>0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 D.2"/>
      <sheetName val="Table 1"/>
      <sheetName val="Table 2"/>
      <sheetName val="Table 4"/>
      <sheetName val="Table 5"/>
      <sheetName val="Table3Compare"/>
      <sheetName val="2025 IRP Assumptions"/>
      <sheetName val="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Table 3 PV_.PX.NTN._.PTC.2031"/>
      <sheetName val="PV_.PX.BDG._.PTC.2031"/>
      <sheetName val="PV_.PX.HTG._.PTC.2031"/>
      <sheetName val="PV_.PX.UTS._.PTC.2031"/>
      <sheetName val="GSC.PX.BDG._.___.Frame 2030"/>
    </sheetNames>
    <sheetDataSet>
      <sheetData sheetId="0"/>
      <sheetData sheetId="1">
        <row r="13">
          <cell r="B13">
            <v>2026</v>
          </cell>
          <cell r="C13">
            <v>0</v>
          </cell>
          <cell r="D13"/>
          <cell r="E13">
            <v>17.693435394804801</v>
          </cell>
          <cell r="F13"/>
          <cell r="G13">
            <v>17.693435394804801</v>
          </cell>
        </row>
        <row r="14">
          <cell r="B14">
            <v>2027</v>
          </cell>
          <cell r="C14">
            <v>0</v>
          </cell>
          <cell r="D14"/>
          <cell r="E14">
            <v>20.687543119075965</v>
          </cell>
          <cell r="F14"/>
          <cell r="G14">
            <v>20.687543119075965</v>
          </cell>
        </row>
        <row r="15">
          <cell r="B15">
            <v>2028</v>
          </cell>
          <cell r="C15">
            <v>0</v>
          </cell>
          <cell r="D15"/>
          <cell r="E15">
            <v>22.025375865581289</v>
          </cell>
          <cell r="F15"/>
          <cell r="G15">
            <v>22.025375865581289</v>
          </cell>
        </row>
        <row r="16">
          <cell r="B16">
            <v>2029</v>
          </cell>
          <cell r="C16">
            <v>0</v>
          </cell>
          <cell r="D16"/>
          <cell r="E16">
            <v>24.780866953527429</v>
          </cell>
          <cell r="F16"/>
          <cell r="G16">
            <v>24.780866953527429</v>
          </cell>
        </row>
        <row r="17">
          <cell r="B17">
            <v>2030</v>
          </cell>
          <cell r="C17">
            <v>0</v>
          </cell>
          <cell r="D17"/>
          <cell r="E17">
            <v>24.029798225878316</v>
          </cell>
          <cell r="F17"/>
          <cell r="G17">
            <v>24.029798225878316</v>
          </cell>
        </row>
        <row r="18">
          <cell r="B18">
            <v>2031</v>
          </cell>
          <cell r="C18">
            <v>97.92304792875585</v>
          </cell>
          <cell r="D18"/>
          <cell r="E18">
            <v>-49.432286647799394</v>
          </cell>
          <cell r="F18"/>
          <cell r="G18">
            <v>-11.30978116739926</v>
          </cell>
        </row>
        <row r="19">
          <cell r="B19">
            <v>2032</v>
          </cell>
          <cell r="C19">
            <v>100.05777034643907</v>
          </cell>
          <cell r="D19"/>
          <cell r="E19">
            <v>-50.233719215360111</v>
          </cell>
          <cell r="F19"/>
          <cell r="G19">
            <v>-11.121541941000713</v>
          </cell>
        </row>
        <row r="20">
          <cell r="B20">
            <v>2033</v>
          </cell>
          <cell r="C20">
            <v>102.23902974118711</v>
          </cell>
          <cell r="D20"/>
          <cell r="E20">
            <v>-51.590344383461073</v>
          </cell>
          <cell r="F20"/>
          <cell r="G20">
            <v>-11.354400687373129</v>
          </cell>
        </row>
        <row r="21">
          <cell r="B21">
            <v>2034</v>
          </cell>
          <cell r="C21">
            <v>104.46784066576485</v>
          </cell>
          <cell r="D21"/>
          <cell r="E21">
            <v>-52.838971826830793</v>
          </cell>
          <cell r="F21"/>
          <cell r="G21">
            <v>-11.56247035055431</v>
          </cell>
        </row>
        <row r="22">
          <cell r="B22">
            <v>2035</v>
          </cell>
          <cell r="C22">
            <v>106.74523956551904</v>
          </cell>
          <cell r="D22"/>
          <cell r="E22">
            <v>-54.79606031699268</v>
          </cell>
          <cell r="F22"/>
          <cell r="G22">
            <v>-12.360617421896267</v>
          </cell>
        </row>
        <row r="23">
          <cell r="B23">
            <v>2036</v>
          </cell>
          <cell r="C23">
            <v>109.0722857888052</v>
          </cell>
          <cell r="D23"/>
          <cell r="E23">
            <v>-56.39221208964485</v>
          </cell>
          <cell r="F23"/>
          <cell r="G23">
            <v>-12.84450328082918</v>
          </cell>
        </row>
        <row r="24">
          <cell r="B24">
            <v>2037</v>
          </cell>
          <cell r="C24">
            <v>111.45006158698747</v>
          </cell>
          <cell r="D24"/>
          <cell r="E24">
            <v>-58.177113419664401</v>
          </cell>
          <cell r="F24"/>
          <cell r="G24">
            <v>-13.454868752679323</v>
          </cell>
        </row>
        <row r="25">
          <cell r="B25">
            <v>2038</v>
          </cell>
          <cell r="C25">
            <v>113.87967295646115</v>
          </cell>
          <cell r="D25"/>
          <cell r="E25">
            <v>-58.731572096428806</v>
          </cell>
          <cell r="F25"/>
          <cell r="G25">
            <v>-12.764479806282628</v>
          </cell>
        </row>
        <row r="26">
          <cell r="B26">
            <v>2039</v>
          </cell>
          <cell r="C26">
            <v>116.36224980705713</v>
          </cell>
          <cell r="D26"/>
          <cell r="E26">
            <v>-59.954839662441977</v>
          </cell>
          <cell r="F26"/>
          <cell r="G26">
            <v>-12.76075328790542</v>
          </cell>
        </row>
        <row r="27">
          <cell r="B27">
            <v>2040</v>
          </cell>
          <cell r="C27">
            <v>118.89894688826641</v>
          </cell>
          <cell r="D27"/>
          <cell r="E27">
            <v>-62.610133299359177</v>
          </cell>
          <cell r="F27"/>
          <cell r="G27">
            <v>-14.257465348842977</v>
          </cell>
        </row>
        <row r="28">
          <cell r="B28">
            <v>2041</v>
          </cell>
          <cell r="C28">
            <v>121.49094387344255</v>
          </cell>
          <cell r="D28"/>
          <cell r="E28">
            <v>-1.9001796066904508</v>
          </cell>
          <cell r="F28"/>
          <cell r="G28">
            <v>47.869066078917093</v>
          </cell>
        </row>
        <row r="29">
          <cell r="B29">
            <v>2042</v>
          </cell>
          <cell r="C29">
            <v>124.1394464544305</v>
          </cell>
          <cell r="D29"/>
          <cell r="E29">
            <v>-1.9765113572177715</v>
          </cell>
          <cell r="F29"/>
          <cell r="G29">
            <v>49.088785813791404</v>
          </cell>
        </row>
        <row r="30">
          <cell r="B30">
            <v>2043</v>
          </cell>
          <cell r="C30">
            <v>126.8456864257691</v>
          </cell>
          <cell r="D30"/>
          <cell r="E30">
            <v>-1.8745643159432532</v>
          </cell>
          <cell r="F30"/>
          <cell r="G30">
            <v>50.578344083362246</v>
          </cell>
        </row>
        <row r="31">
          <cell r="B31">
            <v>2044</v>
          </cell>
          <cell r="C31">
            <v>129.6109223583087</v>
          </cell>
          <cell r="D31"/>
          <cell r="E31">
            <v>-2.2654478512558756</v>
          </cell>
          <cell r="F31"/>
          <cell r="G31">
            <v>51.585653375896719</v>
          </cell>
        </row>
        <row r="32">
          <cell r="B32">
            <v>2045</v>
          </cell>
          <cell r="C32">
            <v>132.43644052543604</v>
          </cell>
          <cell r="D32"/>
          <cell r="E32">
            <v>-2.3316110035925015</v>
          </cell>
          <cell r="F32"/>
          <cell r="G32">
            <v>53.092229436527404</v>
          </cell>
        </row>
        <row r="33">
          <cell r="B33">
            <v>2046</v>
          </cell>
          <cell r="C33">
            <v>135.32355490307413</v>
          </cell>
          <cell r="D33"/>
          <cell r="E33">
            <v>-2.394412184392781</v>
          </cell>
          <cell r="F33"/>
          <cell r="G33">
            <v>54.522251283858971</v>
          </cell>
        </row>
        <row r="34">
          <cell r="B34">
            <v>2047</v>
          </cell>
          <cell r="C34">
            <v>138.27360834851362</v>
          </cell>
          <cell r="D34"/>
          <cell r="E34">
            <v>-2.4589048944849687</v>
          </cell>
          <cell r="F34"/>
          <cell r="G34">
            <v>55.990790291666777</v>
          </cell>
        </row>
        <row r="35">
          <cell r="B35">
            <v>2048</v>
          </cell>
          <cell r="C35">
            <v>141.28797295794209</v>
          </cell>
          <cell r="D35"/>
          <cell r="E35" t="e">
            <v>#DIV/0!</v>
          </cell>
          <cell r="F35"/>
          <cell r="G35" t="e">
            <v>#DIV/0!</v>
          </cell>
        </row>
        <row r="36">
          <cell r="B36">
            <v>2049</v>
          </cell>
          <cell r="C36">
            <v>144.36805071471014</v>
          </cell>
          <cell r="D36"/>
          <cell r="E36" t="e">
            <v>#DIV/0!</v>
          </cell>
          <cell r="F36"/>
          <cell r="G36" t="e">
            <v>#DIV/0!</v>
          </cell>
        </row>
        <row r="37">
          <cell r="B37">
            <v>2050</v>
          </cell>
          <cell r="C37">
            <v>147.51527416540469</v>
          </cell>
          <cell r="D37"/>
          <cell r="E37" t="e">
            <v>#DIV/0!</v>
          </cell>
          <cell r="F37"/>
          <cell r="G37" t="e">
            <v>#DIV/0!</v>
          </cell>
        </row>
        <row r="38">
          <cell r="B38">
            <v>2051</v>
          </cell>
          <cell r="C38">
            <v>0</v>
          </cell>
          <cell r="D38"/>
          <cell r="E38" t="e">
            <v>#DIV/0!</v>
          </cell>
          <cell r="F38"/>
          <cell r="G38" t="e">
            <v>#DIV/0!</v>
          </cell>
        </row>
        <row r="39">
          <cell r="B39">
            <v>2052</v>
          </cell>
          <cell r="C39">
            <v>0</v>
          </cell>
          <cell r="D39"/>
          <cell r="E39" t="e">
            <v>#DIV/0!</v>
          </cell>
          <cell r="F39"/>
          <cell r="G39" t="e">
            <v>#DIV/0!</v>
          </cell>
        </row>
        <row r="40">
          <cell r="B40">
            <v>2053</v>
          </cell>
          <cell r="C40">
            <v>0</v>
          </cell>
          <cell r="D40"/>
          <cell r="E40" t="e">
            <v>#DIV/0!</v>
          </cell>
          <cell r="F40"/>
          <cell r="G40" t="e">
            <v>#DIV/0!</v>
          </cell>
        </row>
      </sheetData>
      <sheetData sheetId="2"/>
      <sheetData sheetId="3"/>
      <sheetData sheetId="4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0</v>
          </cell>
        </row>
        <row r="20">
          <cell r="L20">
            <v>2030</v>
          </cell>
          <cell r="R20">
            <v>0</v>
          </cell>
        </row>
        <row r="21">
          <cell r="L21">
            <v>2031</v>
          </cell>
          <cell r="R21">
            <v>38.122505480400122</v>
          </cell>
        </row>
        <row r="22">
          <cell r="L22">
            <v>2032</v>
          </cell>
          <cell r="R22">
            <v>39.112177274359404</v>
          </cell>
        </row>
        <row r="23">
          <cell r="L23">
            <v>2033</v>
          </cell>
          <cell r="R23">
            <v>40.235943696087944</v>
          </cell>
        </row>
        <row r="24">
          <cell r="L24">
            <v>2034</v>
          </cell>
          <cell r="R24">
            <v>41.276501476276486</v>
          </cell>
        </row>
        <row r="25">
          <cell r="L25">
            <v>2035</v>
          </cell>
          <cell r="R25">
            <v>42.435442895096415</v>
          </cell>
        </row>
        <row r="26">
          <cell r="L26">
            <v>2036</v>
          </cell>
          <cell r="R26">
            <v>43.547708808815671</v>
          </cell>
        </row>
        <row r="27">
          <cell r="L27">
            <v>2037</v>
          </cell>
          <cell r="R27">
            <v>44.72224466698507</v>
          </cell>
        </row>
        <row r="28">
          <cell r="L28">
            <v>2038</v>
          </cell>
          <cell r="R28">
            <v>45.967092290146162</v>
          </cell>
        </row>
        <row r="29">
          <cell r="L29">
            <v>2039</v>
          </cell>
          <cell r="R29">
            <v>47.194086374536539</v>
          </cell>
        </row>
        <row r="30">
          <cell r="L30">
            <v>2040</v>
          </cell>
          <cell r="R30">
            <v>48.352667950516206</v>
          </cell>
        </row>
        <row r="31">
          <cell r="L31">
            <v>2041</v>
          </cell>
          <cell r="R31">
            <v>49.769245685607544</v>
          </cell>
        </row>
        <row r="32">
          <cell r="L32">
            <v>2042</v>
          </cell>
          <cell r="R32">
            <v>51.065297171009171</v>
          </cell>
        </row>
        <row r="33">
          <cell r="L33">
            <v>2043</v>
          </cell>
          <cell r="R33">
            <v>52.452908399305485</v>
          </cell>
        </row>
        <row r="34">
          <cell r="L34">
            <v>2044</v>
          </cell>
          <cell r="R34">
            <v>53.851101227152569</v>
          </cell>
        </row>
        <row r="35">
          <cell r="L35">
            <v>2045</v>
          </cell>
          <cell r="R35">
            <v>55.423840440119896</v>
          </cell>
        </row>
        <row r="36">
          <cell r="L36">
            <v>2046</v>
          </cell>
          <cell r="R36">
            <v>56.916663468251755</v>
          </cell>
        </row>
        <row r="37">
          <cell r="L37">
            <v>2047</v>
          </cell>
          <cell r="R37">
            <v>58.449695186151729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 D.2"/>
      <sheetName val="Table 1"/>
      <sheetName val="Table 2"/>
      <sheetName val="Table 4"/>
      <sheetName val="Table 5"/>
      <sheetName val="Table3Compare"/>
      <sheetName val="2025 IRP Assumptions"/>
      <sheetName val="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Table 3 PV_.PX.NTN._.PTC.2031"/>
      <sheetName val="PV_.PX.BDG._.PTC.2031"/>
      <sheetName val="PV_.PX.HTG._.PTC.2031"/>
      <sheetName val="PV_.PX.UTS._.PTC.2031"/>
      <sheetName val="GSC.PX.BDG._.___.Frame 2030"/>
    </sheetNames>
    <sheetDataSet>
      <sheetData sheetId="0"/>
      <sheetData sheetId="1">
        <row r="13">
          <cell r="B13">
            <v>2026</v>
          </cell>
          <cell r="C13">
            <v>0</v>
          </cell>
          <cell r="D13"/>
          <cell r="E13">
            <v>15.205935527702252</v>
          </cell>
        </row>
        <row r="14">
          <cell r="B14">
            <v>2027</v>
          </cell>
          <cell r="C14">
            <v>0</v>
          </cell>
          <cell r="D14"/>
          <cell r="E14">
            <v>19.574511081972712</v>
          </cell>
        </row>
        <row r="15">
          <cell r="B15">
            <v>2028</v>
          </cell>
          <cell r="C15">
            <v>0</v>
          </cell>
          <cell r="D15"/>
          <cell r="E15">
            <v>20.855859122560229</v>
          </cell>
        </row>
        <row r="16">
          <cell r="B16">
            <v>2029</v>
          </cell>
          <cell r="C16">
            <v>0</v>
          </cell>
          <cell r="D16"/>
          <cell r="E16">
            <v>25.0929837946187</v>
          </cell>
        </row>
        <row r="17">
          <cell r="B17">
            <v>2030</v>
          </cell>
          <cell r="C17">
            <v>0</v>
          </cell>
          <cell r="D17"/>
          <cell r="E17">
            <v>25.344482457407477</v>
          </cell>
        </row>
        <row r="18">
          <cell r="B18">
            <v>2031</v>
          </cell>
          <cell r="C18">
            <v>98.415123546488289</v>
          </cell>
          <cell r="D18"/>
          <cell r="E18">
            <v>-49.096041794543552</v>
          </cell>
        </row>
        <row r="19">
          <cell r="B19">
            <v>2032</v>
          </cell>
          <cell r="C19">
            <v>100.56057321250161</v>
          </cell>
          <cell r="D19"/>
          <cell r="E19">
            <v>-50.089469452925925</v>
          </cell>
        </row>
        <row r="20">
          <cell r="B20">
            <v>2033</v>
          </cell>
          <cell r="C20">
            <v>102.75279370973578</v>
          </cell>
          <cell r="D20"/>
          <cell r="E20">
            <v>-51.161832334830095</v>
          </cell>
        </row>
        <row r="21">
          <cell r="B21">
            <v>2034</v>
          </cell>
          <cell r="C21">
            <v>104.9928046892109</v>
          </cell>
          <cell r="D21"/>
          <cell r="E21">
            <v>-51.893734674167426</v>
          </cell>
        </row>
        <row r="22">
          <cell r="B22">
            <v>2035</v>
          </cell>
          <cell r="C22">
            <v>107.28164780454176</v>
          </cell>
          <cell r="D22"/>
          <cell r="E22">
            <v>-54.303785617878113</v>
          </cell>
        </row>
        <row r="23">
          <cell r="B23">
            <v>2036</v>
          </cell>
          <cell r="C23">
            <v>109.62038772744241</v>
          </cell>
          <cell r="D23"/>
          <cell r="E23">
            <v>-56.158149162072206</v>
          </cell>
        </row>
        <row r="24">
          <cell r="B24">
            <v>2037</v>
          </cell>
          <cell r="C24">
            <v>112.01011214772609</v>
          </cell>
          <cell r="D24"/>
          <cell r="E24">
            <v>-58.125681597584027</v>
          </cell>
        </row>
        <row r="25">
          <cell r="B25">
            <v>2038</v>
          </cell>
          <cell r="C25">
            <v>114.45193261955895</v>
          </cell>
          <cell r="D25"/>
          <cell r="E25">
            <v>-58.18251435210265</v>
          </cell>
        </row>
        <row r="26">
          <cell r="B26">
            <v>2039</v>
          </cell>
          <cell r="C26">
            <v>116.94698473071068</v>
          </cell>
          <cell r="D26"/>
          <cell r="E26">
            <v>-59.87757965791711</v>
          </cell>
        </row>
        <row r="27">
          <cell r="B27">
            <v>2040</v>
          </cell>
          <cell r="C27">
            <v>119.49642903343359</v>
          </cell>
          <cell r="D27"/>
          <cell r="E27">
            <v>-62.255894232584822</v>
          </cell>
        </row>
        <row r="28">
          <cell r="B28">
            <v>2041</v>
          </cell>
          <cell r="C28">
            <v>122.10145112908799</v>
          </cell>
          <cell r="D28"/>
          <cell r="E28">
            <v>-1.4841266683737679</v>
          </cell>
        </row>
        <row r="29">
          <cell r="B29">
            <v>2042</v>
          </cell>
          <cell r="C29">
            <v>124.76326276827186</v>
          </cell>
          <cell r="D29"/>
          <cell r="E29">
            <v>-2.3344755996738007</v>
          </cell>
        </row>
        <row r="30">
          <cell r="B30">
            <v>2043</v>
          </cell>
          <cell r="C30">
            <v>127.48310193544633</v>
          </cell>
          <cell r="D30"/>
          <cell r="E30">
            <v>-3.3185624809609089</v>
          </cell>
        </row>
        <row r="31">
          <cell r="B31">
            <v>2044</v>
          </cell>
          <cell r="C31">
            <v>130.2622335259384</v>
          </cell>
          <cell r="D31"/>
          <cell r="E31">
            <v>-2.2924147165723752</v>
          </cell>
        </row>
        <row r="32">
          <cell r="B32">
            <v>2045</v>
          </cell>
          <cell r="C32">
            <v>133.10195027682016</v>
          </cell>
          <cell r="D32"/>
          <cell r="E32">
            <v>-2.3593654451125263</v>
          </cell>
        </row>
        <row r="33">
          <cell r="B33">
            <v>2046</v>
          </cell>
          <cell r="C33">
            <v>136.00357276690869</v>
          </cell>
          <cell r="D33"/>
          <cell r="E33">
            <v>-2.4229141827296283</v>
          </cell>
        </row>
        <row r="34">
          <cell r="B34">
            <v>2047</v>
          </cell>
          <cell r="C34">
            <v>138.96845060152123</v>
          </cell>
          <cell r="D34"/>
          <cell r="E34">
            <v>-2.4881745848373207</v>
          </cell>
        </row>
        <row r="35">
          <cell r="B35">
            <v>2048</v>
          </cell>
          <cell r="C35">
            <v>141.9979627718011</v>
          </cell>
          <cell r="D35"/>
          <cell r="E35" t="e">
            <v>#DIV/0!</v>
          </cell>
        </row>
      </sheetData>
      <sheetData sheetId="2"/>
      <sheetData sheetId="3"/>
      <sheetData sheetId="4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0</v>
          </cell>
        </row>
        <row r="20">
          <cell r="L20">
            <v>2030</v>
          </cell>
          <cell r="R20">
            <v>0</v>
          </cell>
        </row>
        <row r="21">
          <cell r="L21">
            <v>2031</v>
          </cell>
          <cell r="R21">
            <v>38.122554588398067</v>
          </cell>
        </row>
        <row r="22">
          <cell r="L22">
            <v>2032</v>
          </cell>
          <cell r="R22">
            <v>39.111240508531345</v>
          </cell>
        </row>
        <row r="23">
          <cell r="L23">
            <v>2033</v>
          </cell>
          <cell r="R23">
            <v>40.239189636427888</v>
          </cell>
        </row>
        <row r="24">
          <cell r="L24">
            <v>2034</v>
          </cell>
          <cell r="R24">
            <v>41.273424995012313</v>
          </cell>
        </row>
        <row r="25">
          <cell r="L25">
            <v>2035</v>
          </cell>
          <cell r="R25">
            <v>42.436753532111808</v>
          </cell>
        </row>
        <row r="26">
          <cell r="L26">
            <v>2036</v>
          </cell>
          <cell r="R26">
            <v>43.547967646299199</v>
          </cell>
        </row>
        <row r="27">
          <cell r="L27">
            <v>2037</v>
          </cell>
          <cell r="R27">
            <v>44.72138384120867</v>
          </cell>
        </row>
        <row r="28">
          <cell r="L28">
            <v>2038</v>
          </cell>
          <cell r="R28">
            <v>45.96503781546506</v>
          </cell>
        </row>
        <row r="29">
          <cell r="L29">
            <v>2039</v>
          </cell>
          <cell r="R29">
            <v>47.197092357197903</v>
          </cell>
        </row>
        <row r="30">
          <cell r="L30">
            <v>2040</v>
          </cell>
          <cell r="R30">
            <v>48.354557563990355</v>
          </cell>
        </row>
        <row r="31">
          <cell r="L31">
            <v>2041</v>
          </cell>
          <cell r="R31">
            <v>49.763213168258623</v>
          </cell>
        </row>
        <row r="32">
          <cell r="L32">
            <v>2042</v>
          </cell>
          <cell r="R32">
            <v>51.071657667416197</v>
          </cell>
        </row>
        <row r="33">
          <cell r="L33">
            <v>2043</v>
          </cell>
          <cell r="R33">
            <v>52.451006960594249</v>
          </cell>
        </row>
        <row r="34">
          <cell r="L34">
            <v>2044</v>
          </cell>
          <cell r="R34">
            <v>53.847769521312884</v>
          </cell>
        </row>
        <row r="35">
          <cell r="L35">
            <v>2045</v>
          </cell>
          <cell r="R35">
            <v>55.420411430709791</v>
          </cell>
        </row>
        <row r="36">
          <cell r="L36">
            <v>2046</v>
          </cell>
          <cell r="R36">
            <v>56.913142099593884</v>
          </cell>
        </row>
        <row r="37">
          <cell r="L37">
            <v>2047</v>
          </cell>
          <cell r="R37">
            <v>58.446078970580587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E.2"/>
      <sheetName val="Table 1"/>
      <sheetName val="Table 2"/>
      <sheetName val="Table 4"/>
      <sheetName val="Table 5"/>
      <sheetName val="Table3Compare"/>
      <sheetName val="2025 IRP Assumptions"/>
      <sheetName val="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Table 3 PV_.PX.NTN._.PTC.2031"/>
      <sheetName val="PV_.PX.BDG._.PTC.2031"/>
      <sheetName val="PV_.PX.HTG._.PTC.2031"/>
      <sheetName val="PV_.PX.UTS._.PTC.2031"/>
      <sheetName val="GSC.PX.BDG._.___.Frame 2030"/>
    </sheetNames>
    <sheetDataSet>
      <sheetData sheetId="0" refreshError="1"/>
      <sheetData sheetId="1">
        <row r="13">
          <cell r="B13">
            <v>2026</v>
          </cell>
          <cell r="C13">
            <v>0</v>
          </cell>
          <cell r="E13">
            <v>15.205935527702252</v>
          </cell>
        </row>
        <row r="14">
          <cell r="B14">
            <v>2027</v>
          </cell>
          <cell r="C14">
            <v>0</v>
          </cell>
          <cell r="E14">
            <v>19.574511081972712</v>
          </cell>
        </row>
        <row r="15">
          <cell r="B15">
            <v>2028</v>
          </cell>
          <cell r="C15">
            <v>0</v>
          </cell>
          <cell r="E15">
            <v>20.855859122560229</v>
          </cell>
        </row>
        <row r="16">
          <cell r="B16">
            <v>2029</v>
          </cell>
          <cell r="C16">
            <v>0</v>
          </cell>
          <cell r="E16">
            <v>25.0929837946187</v>
          </cell>
        </row>
        <row r="17">
          <cell r="B17">
            <v>2030</v>
          </cell>
          <cell r="C17">
            <v>0</v>
          </cell>
          <cell r="E17">
            <v>25.344473683543306</v>
          </cell>
        </row>
        <row r="18">
          <cell r="B18">
            <v>2031</v>
          </cell>
          <cell r="C18">
            <v>0</v>
          </cell>
          <cell r="E18">
            <v>24.245187324989484</v>
          </cell>
        </row>
        <row r="19">
          <cell r="B19">
            <v>2032</v>
          </cell>
          <cell r="C19">
            <v>0</v>
          </cell>
          <cell r="E19">
            <v>22.711866824358459</v>
          </cell>
        </row>
        <row r="20">
          <cell r="B20">
            <v>2033</v>
          </cell>
          <cell r="C20">
            <v>0</v>
          </cell>
          <cell r="E20">
            <v>21.84032544974793</v>
          </cell>
        </row>
        <row r="21">
          <cell r="B21">
            <v>2034</v>
          </cell>
          <cell r="C21">
            <v>0</v>
          </cell>
          <cell r="E21">
            <v>22.461433310206559</v>
          </cell>
        </row>
        <row r="22">
          <cell r="B22">
            <v>2035</v>
          </cell>
          <cell r="C22">
            <v>0</v>
          </cell>
          <cell r="E22">
            <v>23.277907782391388</v>
          </cell>
        </row>
        <row r="23">
          <cell r="B23">
            <v>2036</v>
          </cell>
          <cell r="C23">
            <v>0</v>
          </cell>
          <cell r="E23">
            <v>25.404120555394915</v>
          </cell>
        </row>
        <row r="24">
          <cell r="B24">
            <v>2037</v>
          </cell>
          <cell r="C24">
            <v>0</v>
          </cell>
          <cell r="E24">
            <v>26.792502015525038</v>
          </cell>
        </row>
        <row r="25">
          <cell r="B25">
            <v>2038</v>
          </cell>
          <cell r="C25">
            <v>0</v>
          </cell>
          <cell r="E25">
            <v>28.119752412064479</v>
          </cell>
        </row>
        <row r="26">
          <cell r="B26">
            <v>2039</v>
          </cell>
          <cell r="C26">
            <v>0</v>
          </cell>
          <cell r="E26">
            <v>27.848706111916083</v>
          </cell>
        </row>
        <row r="27">
          <cell r="B27">
            <v>2040</v>
          </cell>
          <cell r="C27">
            <v>0</v>
          </cell>
          <cell r="E27">
            <v>32.510922560796381</v>
          </cell>
        </row>
        <row r="28">
          <cell r="B28">
            <v>2041</v>
          </cell>
          <cell r="C28">
            <v>0</v>
          </cell>
          <cell r="E28">
            <v>33.844162103201114</v>
          </cell>
        </row>
        <row r="29">
          <cell r="B29">
            <v>2042</v>
          </cell>
          <cell r="C29">
            <v>0</v>
          </cell>
          <cell r="E29">
            <v>38.842746770661144</v>
          </cell>
        </row>
        <row r="30">
          <cell r="B30">
            <v>2043</v>
          </cell>
          <cell r="C30">
            <v>0</v>
          </cell>
          <cell r="E30">
            <v>43.841699696195192</v>
          </cell>
        </row>
        <row r="31">
          <cell r="B31">
            <v>2044</v>
          </cell>
          <cell r="C31">
            <v>0</v>
          </cell>
          <cell r="E31">
            <v>45.818180086204777</v>
          </cell>
        </row>
        <row r="32">
          <cell r="B32">
            <v>2045</v>
          </cell>
          <cell r="C32">
            <v>0</v>
          </cell>
          <cell r="E32">
            <v>47.156315160534568</v>
          </cell>
        </row>
        <row r="33">
          <cell r="B33">
            <v>2046</v>
          </cell>
          <cell r="C33">
            <v>0</v>
          </cell>
          <cell r="E33">
            <v>48.426455106567047</v>
          </cell>
        </row>
        <row r="34">
          <cell r="B34">
            <v>2047</v>
          </cell>
          <cell r="C34">
            <v>0</v>
          </cell>
          <cell r="E34">
            <v>49.730805857176094</v>
          </cell>
        </row>
      </sheetData>
      <sheetData sheetId="2" refreshError="1"/>
      <sheetData sheetId="3" refreshError="1"/>
      <sheetData sheetId="4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0</v>
          </cell>
        </row>
        <row r="20">
          <cell r="L20">
            <v>2030</v>
          </cell>
          <cell r="R20">
            <v>0</v>
          </cell>
        </row>
        <row r="21">
          <cell r="L21">
            <v>2031</v>
          </cell>
          <cell r="R21">
            <v>0</v>
          </cell>
        </row>
        <row r="22">
          <cell r="L22">
            <v>2032</v>
          </cell>
          <cell r="R22">
            <v>0</v>
          </cell>
        </row>
        <row r="23">
          <cell r="L23">
            <v>2033</v>
          </cell>
          <cell r="R23">
            <v>0</v>
          </cell>
        </row>
        <row r="24">
          <cell r="L24">
            <v>2034</v>
          </cell>
          <cell r="R24">
            <v>0</v>
          </cell>
        </row>
        <row r="25">
          <cell r="L25">
            <v>2035</v>
          </cell>
          <cell r="R25">
            <v>0</v>
          </cell>
        </row>
        <row r="26">
          <cell r="L26">
            <v>2036</v>
          </cell>
          <cell r="R26">
            <v>0</v>
          </cell>
        </row>
        <row r="27">
          <cell r="L27">
            <v>2037</v>
          </cell>
          <cell r="R27">
            <v>0</v>
          </cell>
        </row>
        <row r="28">
          <cell r="L28">
            <v>2038</v>
          </cell>
          <cell r="R28">
            <v>0</v>
          </cell>
        </row>
        <row r="29">
          <cell r="L29">
            <v>2039</v>
          </cell>
          <cell r="R29">
            <v>0</v>
          </cell>
        </row>
        <row r="30">
          <cell r="L30">
            <v>2040</v>
          </cell>
          <cell r="R30">
            <v>0</v>
          </cell>
        </row>
        <row r="31">
          <cell r="L31">
            <v>2041</v>
          </cell>
          <cell r="R31">
            <v>0</v>
          </cell>
        </row>
        <row r="32">
          <cell r="L32">
            <v>2042</v>
          </cell>
          <cell r="R32">
            <v>0</v>
          </cell>
        </row>
        <row r="33">
          <cell r="L33">
            <v>2043</v>
          </cell>
          <cell r="R33">
            <v>0</v>
          </cell>
        </row>
        <row r="34">
          <cell r="L34">
            <v>2044</v>
          </cell>
          <cell r="R34">
            <v>0</v>
          </cell>
        </row>
        <row r="35">
          <cell r="L35">
            <v>2045</v>
          </cell>
          <cell r="R35">
            <v>0</v>
          </cell>
        </row>
        <row r="36">
          <cell r="L36">
            <v>2046</v>
          </cell>
          <cell r="R36">
            <v>0</v>
          </cell>
        </row>
        <row r="37">
          <cell r="L37">
            <v>2047</v>
          </cell>
          <cell r="R37">
            <v>0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I27"/>
  <sheetViews>
    <sheetView showGridLines="0" tabSelected="1" view="pageBreakPreview" zoomScale="60" zoomScaleNormal="130" workbookViewId="0">
      <selection activeCell="B28" sqref="B28"/>
    </sheetView>
  </sheetViews>
  <sheetFormatPr defaultColWidth="9.140625" defaultRowHeight="12.75" x14ac:dyDescent="0.2"/>
  <cols>
    <col min="1" max="1" width="22.7109375" style="46" customWidth="1"/>
    <col min="2" max="2" width="17.140625" style="46" customWidth="1"/>
    <col min="3" max="3" width="8.28515625" style="46" customWidth="1"/>
    <col min="4" max="5" width="9.140625" style="46" customWidth="1"/>
    <col min="6" max="7" width="8.42578125" style="46" customWidth="1"/>
    <col min="8" max="8" width="9" style="46" customWidth="1"/>
    <col min="9" max="16384" width="9.140625" style="46"/>
  </cols>
  <sheetData>
    <row r="1" spans="1:9" ht="13.5" thickBot="1" x14ac:dyDescent="0.25">
      <c r="B1" s="45"/>
      <c r="C1" s="45"/>
      <c r="D1" s="45"/>
      <c r="E1" s="45"/>
      <c r="F1" s="45"/>
      <c r="G1" s="45"/>
      <c r="H1" s="45"/>
      <c r="I1" s="45"/>
    </row>
    <row r="2" spans="1:9" x14ac:dyDescent="0.2">
      <c r="A2" s="81" t="s">
        <v>20</v>
      </c>
      <c r="B2" s="82"/>
      <c r="C2" s="109" t="s">
        <v>18</v>
      </c>
      <c r="D2" s="109"/>
      <c r="E2" s="109"/>
      <c r="F2" s="109"/>
      <c r="G2" s="109"/>
      <c r="H2" s="110"/>
      <c r="I2" s="45"/>
    </row>
    <row r="3" spans="1:9" ht="15.75" customHeight="1" thickBot="1" x14ac:dyDescent="0.25">
      <c r="A3" s="83"/>
      <c r="B3" s="62" t="s">
        <v>15</v>
      </c>
      <c r="C3" s="105" t="str">
        <f>Incremental!B31</f>
        <v>2026 - 2040</v>
      </c>
      <c r="D3" s="105"/>
      <c r="E3" s="105" t="str">
        <f>Incremental!B32</f>
        <v>2027 - 2041</v>
      </c>
      <c r="F3" s="105"/>
      <c r="G3" s="105" t="str">
        <f>Incremental!B33</f>
        <v>2028 - 2042</v>
      </c>
      <c r="H3" s="106"/>
      <c r="I3" s="45"/>
    </row>
    <row r="4" spans="1:9" ht="13.5" thickBot="1" x14ac:dyDescent="0.25">
      <c r="A4" s="107" t="s">
        <v>21</v>
      </c>
      <c r="B4" s="108"/>
      <c r="C4" s="60">
        <f>Total!$C$31</f>
        <v>25.48</v>
      </c>
      <c r="D4" s="61"/>
      <c r="E4" s="60">
        <f>Total!$C$32</f>
        <v>26.11</v>
      </c>
      <c r="F4" s="61"/>
      <c r="G4" s="60">
        <f>Total!$C$33</f>
        <v>28.49</v>
      </c>
      <c r="H4" s="61"/>
      <c r="I4" s="45"/>
    </row>
    <row r="5" spans="1:9" ht="13.5" thickBot="1" x14ac:dyDescent="0.25">
      <c r="A5" s="84"/>
      <c r="B5" s="79" t="s">
        <v>22</v>
      </c>
      <c r="C5" s="65">
        <f>Total!$D$31</f>
        <v>25.62</v>
      </c>
      <c r="D5" s="80">
        <f>C5-C4</f>
        <v>0.14000000000000057</v>
      </c>
      <c r="E5" s="65">
        <f>Total!$D$32</f>
        <v>26.59</v>
      </c>
      <c r="F5" s="80">
        <f>E5-E4</f>
        <v>0.48000000000000043</v>
      </c>
      <c r="G5" s="65">
        <f>Total!$D$33</f>
        <v>29.21</v>
      </c>
      <c r="H5" s="80">
        <f>G5-G4</f>
        <v>0.72000000000000242</v>
      </c>
      <c r="I5" s="45"/>
    </row>
    <row r="6" spans="1:9" x14ac:dyDescent="0.2">
      <c r="A6" s="85"/>
      <c r="B6" s="77" t="str">
        <f>"Nominal Levelized Payment at "&amp;TEXT(Discount_Rate,"0.00%")&amp;" Discount Rate"</f>
        <v>Nominal Levelized Payment at 6.38% Discount Rate</v>
      </c>
      <c r="C6" s="86"/>
      <c r="D6" s="86"/>
      <c r="E6" s="45"/>
      <c r="F6" s="45"/>
      <c r="G6" s="45"/>
      <c r="H6" s="87"/>
      <c r="I6" s="45"/>
    </row>
    <row r="7" spans="1:9" ht="3.75" customHeight="1" x14ac:dyDescent="0.2">
      <c r="A7" s="85"/>
      <c r="B7" s="88"/>
      <c r="C7" s="86"/>
      <c r="D7" s="86"/>
      <c r="E7" s="45"/>
      <c r="F7" s="45"/>
      <c r="G7" s="45"/>
      <c r="H7" s="87"/>
      <c r="I7" s="45"/>
    </row>
    <row r="8" spans="1:9" x14ac:dyDescent="0.2">
      <c r="A8" s="89" t="s">
        <v>19</v>
      </c>
      <c r="B8" s="90"/>
      <c r="C8" s="111" t="s">
        <v>18</v>
      </c>
      <c r="D8" s="111"/>
      <c r="E8" s="111"/>
      <c r="F8" s="111"/>
      <c r="G8" s="111"/>
      <c r="H8" s="112"/>
    </row>
    <row r="9" spans="1:9" ht="13.5" thickBot="1" x14ac:dyDescent="0.25">
      <c r="A9" s="85"/>
      <c r="B9" s="78" t="s">
        <v>15</v>
      </c>
      <c r="C9" s="105" t="str">
        <f>C3</f>
        <v>2026 - 2040</v>
      </c>
      <c r="D9" s="105"/>
      <c r="E9" s="105" t="str">
        <f>E3</f>
        <v>2027 - 2041</v>
      </c>
      <c r="F9" s="105"/>
      <c r="G9" s="105" t="str">
        <f>G3</f>
        <v>2028 - 2042</v>
      </c>
      <c r="H9" s="106"/>
    </row>
    <row r="10" spans="1:9" ht="13.5" thickBot="1" x14ac:dyDescent="0.25">
      <c r="A10" s="103" t="s">
        <v>23</v>
      </c>
      <c r="B10" s="104"/>
      <c r="C10" s="100">
        <f>Total!$E$31</f>
        <v>2.67</v>
      </c>
      <c r="D10" s="101"/>
      <c r="E10" s="100">
        <f>Total!$E$32</f>
        <v>2.98</v>
      </c>
      <c r="F10" s="101"/>
      <c r="G10" s="100">
        <f>Total!$E$33</f>
        <v>3.03</v>
      </c>
      <c r="H10" s="101"/>
    </row>
    <row r="11" spans="1:9" ht="13.5" thickBot="1" x14ac:dyDescent="0.25">
      <c r="A11" s="91"/>
      <c r="B11" s="79" t="s">
        <v>22</v>
      </c>
      <c r="C11" s="65">
        <f>Total!$F$31</f>
        <v>2.56</v>
      </c>
      <c r="D11" s="80">
        <f>C11-C10</f>
        <v>-0.10999999999999988</v>
      </c>
      <c r="E11" s="65">
        <f>Total!$F$32</f>
        <v>3.13</v>
      </c>
      <c r="F11" s="80">
        <f>E11-E10</f>
        <v>0.14999999999999991</v>
      </c>
      <c r="G11" s="65">
        <f>Total!$F$33</f>
        <v>3.3</v>
      </c>
      <c r="H11" s="80">
        <f>G11-G10</f>
        <v>0.27</v>
      </c>
    </row>
    <row r="12" spans="1:9" ht="4.5" customHeight="1" thickBot="1" x14ac:dyDescent="0.25">
      <c r="A12" s="91"/>
      <c r="B12" s="79"/>
      <c r="C12" s="98"/>
      <c r="D12" s="99"/>
      <c r="E12" s="98"/>
      <c r="F12" s="99"/>
      <c r="G12" s="98"/>
      <c r="H12" s="99"/>
    </row>
    <row r="13" spans="1:9" ht="13.5" thickBot="1" x14ac:dyDescent="0.25">
      <c r="A13" s="103" t="s">
        <v>25</v>
      </c>
      <c r="B13" s="104"/>
      <c r="C13" s="100">
        <v>22.66</v>
      </c>
      <c r="D13" s="101"/>
      <c r="E13" s="100">
        <v>23.52</v>
      </c>
      <c r="F13" s="101"/>
      <c r="G13" s="100">
        <v>24.41</v>
      </c>
      <c r="H13" s="80"/>
    </row>
    <row r="14" spans="1:9" ht="13.5" thickBot="1" x14ac:dyDescent="0.25">
      <c r="A14" s="91"/>
      <c r="B14" s="79" t="s">
        <v>22</v>
      </c>
      <c r="C14" s="65">
        <f>Total!$G$31</f>
        <v>23.23</v>
      </c>
      <c r="D14" s="80">
        <f>C14-C13</f>
        <v>0.57000000000000028</v>
      </c>
      <c r="E14" s="65">
        <f>Total!$G$32</f>
        <v>24.52</v>
      </c>
      <c r="F14" s="80">
        <f>E14-E13</f>
        <v>1</v>
      </c>
      <c r="G14" s="65">
        <f>Total!$G$33</f>
        <v>25.63</v>
      </c>
      <c r="H14" s="80">
        <f>G14-G13</f>
        <v>1.2199999999999989</v>
      </c>
    </row>
    <row r="15" spans="1:9" ht="13.5" thickBot="1" x14ac:dyDescent="0.25">
      <c r="A15" s="92"/>
      <c r="B15" s="102" t="str">
        <f>"Nominal Levelized Payment at "&amp;TEXT(Discount_Rate,"0.00%")&amp;" Discount Rate"</f>
        <v>Nominal Levelized Payment at 6.38% Discount Rate</v>
      </c>
      <c r="C15" s="93"/>
      <c r="D15" s="93"/>
      <c r="E15" s="94"/>
      <c r="F15" s="94"/>
      <c r="G15" s="94"/>
      <c r="H15" s="95"/>
    </row>
    <row r="17" spans="2:9" x14ac:dyDescent="0.2">
      <c r="C17" s="55"/>
      <c r="E17" s="55"/>
      <c r="G17" s="55"/>
    </row>
    <row r="19" spans="2:9" x14ac:dyDescent="0.2">
      <c r="B19" s="47"/>
      <c r="C19" s="48"/>
      <c r="D19" s="75"/>
      <c r="E19" s="48"/>
      <c r="F19" s="48"/>
      <c r="G19" s="48"/>
      <c r="H19" s="48"/>
      <c r="I19" s="48"/>
    </row>
    <row r="20" spans="2:9" x14ac:dyDescent="0.2">
      <c r="B20"/>
      <c r="C20"/>
      <c r="D20" s="76"/>
      <c r="E20"/>
      <c r="F20"/>
      <c r="G20"/>
      <c r="H20"/>
      <c r="I20"/>
    </row>
    <row r="21" spans="2:9" x14ac:dyDescent="0.2">
      <c r="B21" s="49"/>
      <c r="C21"/>
      <c r="D21" s="50"/>
      <c r="E21" s="51"/>
      <c r="F21" s="51"/>
      <c r="G21"/>
      <c r="H21"/>
      <c r="I21"/>
    </row>
    <row r="22" spans="2:9" x14ac:dyDescent="0.2">
      <c r="B22"/>
      <c r="C22"/>
      <c r="D22" s="50"/>
      <c r="E22" s="50"/>
      <c r="F22" s="50"/>
      <c r="G22" s="52"/>
      <c r="H22" s="52"/>
      <c r="I22" s="52"/>
    </row>
    <row r="23" spans="2:9" x14ac:dyDescent="0.2">
      <c r="B23"/>
      <c r="C23"/>
      <c r="D23" s="50"/>
      <c r="E23" s="50"/>
      <c r="F23" s="50"/>
      <c r="G23" s="52"/>
      <c r="H23" s="52"/>
      <c r="I23" s="52"/>
    </row>
    <row r="24" spans="2:9" x14ac:dyDescent="0.2">
      <c r="B24"/>
      <c r="C24"/>
      <c r="D24" s="50"/>
      <c r="E24" s="50"/>
      <c r="F24" s="50"/>
      <c r="G24" s="52"/>
      <c r="H24" s="52"/>
      <c r="I24" s="52"/>
    </row>
    <row r="25" spans="2:9" x14ac:dyDescent="0.2">
      <c r="B25"/>
      <c r="C25"/>
      <c r="D25" s="50"/>
      <c r="E25" s="50"/>
      <c r="F25" s="50"/>
      <c r="G25" s="52"/>
      <c r="H25" s="52"/>
      <c r="I25" s="52"/>
    </row>
    <row r="26" spans="2:9" x14ac:dyDescent="0.2">
      <c r="B26"/>
      <c r="C26"/>
      <c r="D26" s="50"/>
      <c r="E26" s="50"/>
      <c r="F26" s="50"/>
      <c r="G26" s="52"/>
      <c r="H26" s="52"/>
      <c r="I26" s="52"/>
    </row>
    <row r="27" spans="2:9" x14ac:dyDescent="0.2">
      <c r="B27"/>
      <c r="C27"/>
      <c r="D27" s="50"/>
      <c r="E27" s="50"/>
      <c r="F27" s="50"/>
      <c r="G27" s="52"/>
      <c r="H27" s="52"/>
      <c r="I27" s="52"/>
    </row>
  </sheetData>
  <mergeCells count="11">
    <mergeCell ref="E3:F3"/>
    <mergeCell ref="C2:H2"/>
    <mergeCell ref="C3:D3"/>
    <mergeCell ref="G3:H3"/>
    <mergeCell ref="C8:H8"/>
    <mergeCell ref="A13:B13"/>
    <mergeCell ref="C9:D9"/>
    <mergeCell ref="E9:F9"/>
    <mergeCell ref="G9:H9"/>
    <mergeCell ref="A4:B4"/>
    <mergeCell ref="A10:B10"/>
  </mergeCells>
  <pageMargins left="0.7" right="0.7" top="0.75" bottom="0.75" header="0.3" footer="0.3"/>
  <pageSetup scale="84" orientation="portrait" r:id="rId1"/>
  <ignoredErrors>
    <ignoredError sqref="E5 G5 G11 E11 E14 G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42"/>
    <pageSetUpPr fitToPage="1"/>
  </sheetPr>
  <dimension ref="B1:G42"/>
  <sheetViews>
    <sheetView showGridLines="0" view="pageBreakPreview" zoomScale="60" zoomScaleNormal="60" workbookViewId="0">
      <pane xSplit="2" ySplit="9" topLeftCell="C11" activePane="bottomRight" state="frozen"/>
      <selection activeCell="B28" sqref="B28"/>
      <selection pane="topRight" activeCell="B28" sqref="B28"/>
      <selection pane="bottomLeft" activeCell="B28" sqref="B28"/>
      <selection pane="bottomRight" activeCell="B28" sqref="B28"/>
    </sheetView>
  </sheetViews>
  <sheetFormatPr defaultColWidth="9.140625" defaultRowHeight="15" x14ac:dyDescent="0.2"/>
  <cols>
    <col min="1" max="1" width="1.85546875" style="1" customWidth="1"/>
    <col min="2" max="2" width="17" style="1" customWidth="1"/>
    <col min="3" max="3" width="23.28515625" style="1" customWidth="1"/>
    <col min="4" max="4" width="23.5703125" style="1" customWidth="1"/>
    <col min="5" max="5" width="26.42578125" style="1" customWidth="1"/>
    <col min="6" max="6" width="11" style="1" customWidth="1"/>
    <col min="7" max="7" width="10.85546875" style="1" bestFit="1" customWidth="1"/>
    <col min="8" max="16384" width="9.140625" style="1"/>
  </cols>
  <sheetData>
    <row r="1" spans="2:7" ht="15.75" x14ac:dyDescent="0.25">
      <c r="B1" s="4" t="str">
        <f>Total!B1</f>
        <v>Appendix C</v>
      </c>
      <c r="C1" s="4"/>
      <c r="D1" s="4"/>
      <c r="E1" s="4"/>
    </row>
    <row r="2" spans="2:7" ht="8.25" customHeight="1" x14ac:dyDescent="0.25">
      <c r="B2" s="4"/>
      <c r="C2" s="4"/>
      <c r="D2" s="4"/>
      <c r="E2" s="4"/>
    </row>
    <row r="3" spans="2:7" ht="15.75" x14ac:dyDescent="0.25">
      <c r="B3" s="4" t="str">
        <f>Total!B3</f>
        <v>Utah Quarterly Compliance Filing</v>
      </c>
      <c r="C3" s="4"/>
      <c r="D3" s="4"/>
      <c r="E3" s="4"/>
    </row>
    <row r="4" spans="2:7" ht="15.75" x14ac:dyDescent="0.25">
      <c r="B4" s="4" t="str">
        <f>Capacity!$B$4</f>
        <v>Step Study between 2025.Q4 and 2025.Q3 Compliance Filing</v>
      </c>
      <c r="C4" s="4"/>
      <c r="D4" s="4"/>
      <c r="E4" s="4"/>
    </row>
    <row r="5" spans="2:7" ht="15.75" x14ac:dyDescent="0.25">
      <c r="B5" s="4" t="s">
        <v>10</v>
      </c>
      <c r="C5" s="4"/>
      <c r="D5" s="4"/>
      <c r="E5" s="4"/>
    </row>
    <row r="7" spans="2:7" ht="92.25" customHeight="1" x14ac:dyDescent="0.25">
      <c r="B7" s="8"/>
      <c r="C7" s="63" t="str">
        <f>Total!D7&amp;"  OFPC December 2025"</f>
        <v>2025.Q4 with Routine Update  OFPC December 2025</v>
      </c>
      <c r="D7" s="63" t="str">
        <f>Total!F7&amp;"  OFPC December 2025"</f>
        <v>2025.Q4 with Non-Routine Update  OFPC December 2025</v>
      </c>
      <c r="E7" s="63" t="str">
        <f>Total!G7&amp;"  OFPC December 2025"</f>
        <v>2025.Q4 with Non-Routine Update  OFPC December 2025</v>
      </c>
    </row>
    <row r="8" spans="2:7" ht="15.75" x14ac:dyDescent="0.25">
      <c r="B8" s="5" t="s">
        <v>0</v>
      </c>
      <c r="C8" s="43" t="s">
        <v>11</v>
      </c>
      <c r="D8" s="43" t="s">
        <v>11</v>
      </c>
      <c r="E8" s="43" t="s">
        <v>11</v>
      </c>
    </row>
    <row r="9" spans="2:7" ht="4.7" customHeight="1" x14ac:dyDescent="0.2"/>
    <row r="10" spans="2:7" ht="15.75" hidden="1" x14ac:dyDescent="0.25">
      <c r="B10" s="2">
        <f>Total!B10</f>
        <v>0</v>
      </c>
      <c r="C10" s="2"/>
      <c r="D10" s="2"/>
      <c r="E10" s="2"/>
      <c r="F10" s="42"/>
      <c r="G10" s="10"/>
    </row>
    <row r="11" spans="2:7" ht="15.75" x14ac:dyDescent="0.25">
      <c r="B11" s="2">
        <f>Total!B11</f>
        <v>2026</v>
      </c>
      <c r="C11" s="35">
        <f>ROUND(Total!D11-Total!C11,3)</f>
        <v>-2.7480000000000002</v>
      </c>
      <c r="D11" s="35">
        <f>ROUND(Total!F11-Total!E11,3)</f>
        <v>-2.4870000000000001</v>
      </c>
      <c r="E11" s="35">
        <f>ROUND(Total!G11-Total!F11,3)</f>
        <v>0</v>
      </c>
      <c r="F11" s="42"/>
      <c r="G11" s="10"/>
    </row>
    <row r="12" spans="2:7" ht="15.75" x14ac:dyDescent="0.25">
      <c r="B12" s="2">
        <f t="shared" ref="B12:B28" si="0">B11+1</f>
        <v>2027</v>
      </c>
      <c r="C12" s="35">
        <f>ROUND(Total!D12-Total!C12,3)</f>
        <v>-1.339</v>
      </c>
      <c r="D12" s="35">
        <f>ROUND(Total!F12-Total!E12,3)</f>
        <v>-1.113</v>
      </c>
      <c r="E12" s="35">
        <f>ROUND(Total!G12-Total!F12,3)</f>
        <v>0</v>
      </c>
      <c r="F12" s="42"/>
      <c r="G12" s="10"/>
    </row>
    <row r="13" spans="2:7" ht="15.75" x14ac:dyDescent="0.25">
      <c r="B13" s="2">
        <f t="shared" si="0"/>
        <v>2028</v>
      </c>
      <c r="C13" s="35">
        <f>ROUND(Total!D13-Total!C13,3)</f>
        <v>-1.4379999999999999</v>
      </c>
      <c r="D13" s="35">
        <f>ROUND(Total!F13-Total!E13,3)</f>
        <v>-1.169</v>
      </c>
      <c r="E13" s="35">
        <f>ROUND(Total!G13-Total!F13,3)</f>
        <v>0</v>
      </c>
      <c r="F13" s="42"/>
      <c r="G13" s="10"/>
    </row>
    <row r="14" spans="2:7" ht="15.75" x14ac:dyDescent="0.25">
      <c r="B14" s="2">
        <f t="shared" si="0"/>
        <v>2029</v>
      </c>
      <c r="C14" s="35">
        <f>ROUND(Total!D14-Total!C14,3)</f>
        <v>-0.55900000000000005</v>
      </c>
      <c r="D14" s="35">
        <f>ROUND(Total!F14-Total!E14,3)</f>
        <v>0.312</v>
      </c>
      <c r="E14" s="35">
        <f>ROUND(Total!G14-Total!F14,3)</f>
        <v>0</v>
      </c>
      <c r="F14" s="42"/>
      <c r="G14" s="10"/>
    </row>
    <row r="15" spans="2:7" ht="15.75" x14ac:dyDescent="0.25">
      <c r="B15" s="2">
        <f t="shared" si="0"/>
        <v>2030</v>
      </c>
      <c r="C15" s="35">
        <f>ROUND(Total!D15-Total!C15,3)</f>
        <v>1.3520000000000001</v>
      </c>
      <c r="D15" s="35">
        <f>ROUND(Total!F15-Total!E15,3)</f>
        <v>1.3140000000000001</v>
      </c>
      <c r="E15" s="35">
        <f>ROUND(Total!G15-Total!F15,3)</f>
        <v>0</v>
      </c>
      <c r="F15" s="42"/>
      <c r="G15" s="10"/>
    </row>
    <row r="16" spans="2:7" ht="15.75" x14ac:dyDescent="0.25">
      <c r="B16" s="2">
        <f t="shared" si="0"/>
        <v>2031</v>
      </c>
      <c r="C16" s="35">
        <f>ROUND(Total!D16-Total!C16,3)</f>
        <v>1.4379999999999999</v>
      </c>
      <c r="D16" s="35">
        <f>ROUND(Total!F16-Total!E16,3)</f>
        <v>0.33600000000000002</v>
      </c>
      <c r="E16" s="35">
        <f>ROUND(Total!G16-Total!F16,3)</f>
        <v>35.218000000000004</v>
      </c>
      <c r="F16" s="42"/>
      <c r="G16" s="10"/>
    </row>
    <row r="17" spans="2:7" ht="15.75" x14ac:dyDescent="0.25">
      <c r="B17" s="2">
        <f t="shared" si="0"/>
        <v>2032</v>
      </c>
      <c r="C17" s="35">
        <f>ROUND(Total!D17-Total!C17,3)</f>
        <v>0.96699999999999997</v>
      </c>
      <c r="D17" s="35">
        <f>ROUND(Total!F17-Total!E17,3)</f>
        <v>0.14399999999999999</v>
      </c>
      <c r="E17" s="35">
        <f>ROUND(Total!G17-Total!F17,3)</f>
        <v>33.69</v>
      </c>
      <c r="F17" s="42"/>
      <c r="G17" s="10"/>
    </row>
    <row r="18" spans="2:7" ht="15.75" x14ac:dyDescent="0.25">
      <c r="B18" s="2">
        <f t="shared" si="0"/>
        <v>2033</v>
      </c>
      <c r="C18" s="35">
        <f>ROUND(Total!D18-Total!C18,3)</f>
        <v>1.216</v>
      </c>
      <c r="D18" s="35">
        <f>ROUND(Total!F18-Total!E18,3)</f>
        <v>0.43099999999999999</v>
      </c>
      <c r="E18" s="35">
        <f>ROUND(Total!G18-Total!F18,3)</f>
        <v>32.762999999999998</v>
      </c>
      <c r="F18" s="42"/>
      <c r="G18" s="10"/>
    </row>
    <row r="19" spans="2:7" ht="15.75" x14ac:dyDescent="0.25">
      <c r="B19" s="2">
        <f t="shared" si="0"/>
        <v>2034</v>
      </c>
      <c r="C19" s="35">
        <f>ROUND(Total!D19-Total!C19,3)</f>
        <v>1.236</v>
      </c>
      <c r="D19" s="35">
        <f>ROUND(Total!F19-Total!E19,3)</f>
        <v>0.94099999999999995</v>
      </c>
      <c r="E19" s="35">
        <f>ROUND(Total!G19-Total!F19,3)</f>
        <v>33.082000000000001</v>
      </c>
      <c r="F19" s="42"/>
      <c r="G19" s="10"/>
    </row>
    <row r="20" spans="2:7" ht="15.75" x14ac:dyDescent="0.25">
      <c r="B20" s="2">
        <f t="shared" si="0"/>
        <v>2035</v>
      </c>
      <c r="C20" s="35">
        <f>ROUND(Total!D20-Total!C20,3)</f>
        <v>1.4690000000000001</v>
      </c>
      <c r="D20" s="35">
        <f>ROUND(Total!F20-Total!E20,3)</f>
        <v>0.49399999999999999</v>
      </c>
      <c r="E20" s="35">
        <f>ROUND(Total!G20-Total!F20,3)</f>
        <v>35.145000000000003</v>
      </c>
      <c r="F20" s="42"/>
      <c r="G20" s="10"/>
    </row>
    <row r="21" spans="2:7" ht="15.75" x14ac:dyDescent="0.25">
      <c r="B21" s="2">
        <f t="shared" si="0"/>
        <v>2036</v>
      </c>
      <c r="C21" s="35">
        <f>ROUND(Total!D21-Total!C21,3)</f>
        <v>0.81399999999999995</v>
      </c>
      <c r="D21" s="35">
        <f>ROUND(Total!F21-Total!E21,3)</f>
        <v>0.23400000000000001</v>
      </c>
      <c r="E21" s="35">
        <f>ROUND(Total!G21-Total!F21,3)</f>
        <v>38.014000000000003</v>
      </c>
      <c r="F21" s="42"/>
      <c r="G21" s="10"/>
    </row>
    <row r="22" spans="2:7" ht="15.75" x14ac:dyDescent="0.25">
      <c r="B22" s="2">
        <f t="shared" si="0"/>
        <v>2037</v>
      </c>
      <c r="C22" s="35">
        <f>ROUND(Total!D22-Total!C22,3)</f>
        <v>0.48799999999999999</v>
      </c>
      <c r="D22" s="35">
        <f>ROUND(Total!F22-Total!E22,3)</f>
        <v>0.05</v>
      </c>
      <c r="E22" s="35">
        <f>ROUND(Total!G22-Total!F22,3)</f>
        <v>40.198</v>
      </c>
      <c r="F22" s="42"/>
      <c r="G22" s="10"/>
    </row>
    <row r="23" spans="2:7" ht="15.75" x14ac:dyDescent="0.25">
      <c r="B23" s="2">
        <f t="shared" si="0"/>
        <v>2038</v>
      </c>
      <c r="C23" s="35">
        <f>ROUND(Total!D23-Total!C23,3)</f>
        <v>0.81</v>
      </c>
      <c r="D23" s="35">
        <f>ROUND(Total!F23-Total!E23,3)</f>
        <v>0.54700000000000004</v>
      </c>
      <c r="E23" s="35">
        <f>ROUND(Total!G23-Total!F23,3)</f>
        <v>40.338000000000001</v>
      </c>
      <c r="F23" s="42"/>
      <c r="G23" s="10"/>
    </row>
    <row r="24" spans="2:7" ht="15.75" x14ac:dyDescent="0.25">
      <c r="B24" s="2">
        <f t="shared" si="0"/>
        <v>2039</v>
      </c>
      <c r="C24" s="35">
        <f>ROUND(Total!D24-Total!C24,3)</f>
        <v>1.3460000000000001</v>
      </c>
      <c r="D24" s="35">
        <f>ROUND(Total!F24-Total!E24,3)</f>
        <v>0.08</v>
      </c>
      <c r="E24" s="35">
        <f>ROUND(Total!G24-Total!F24,3)</f>
        <v>40.53</v>
      </c>
      <c r="F24" s="42"/>
      <c r="G24" s="10"/>
    </row>
    <row r="25" spans="2:7" ht="15.75" x14ac:dyDescent="0.25">
      <c r="B25" s="2">
        <f t="shared" si="0"/>
        <v>2040</v>
      </c>
      <c r="C25" s="35">
        <f>ROUND(Total!D25-Total!C25,3)</f>
        <v>0.69899999999999995</v>
      </c>
      <c r="D25" s="35">
        <f>ROUND(Total!F25-Total!E25,3)</f>
        <v>0.35599999999999998</v>
      </c>
      <c r="E25" s="35">
        <f>ROUND(Total!G25-Total!F25,3)</f>
        <v>46.411999999999999</v>
      </c>
      <c r="F25" s="42"/>
      <c r="G25" s="10"/>
    </row>
    <row r="26" spans="2:7" ht="15.75" x14ac:dyDescent="0.25">
      <c r="B26" s="2">
        <f t="shared" si="0"/>
        <v>2041</v>
      </c>
      <c r="C26" s="35">
        <f>ROUND(Total!D26-Total!C26,3)</f>
        <v>1.103</v>
      </c>
      <c r="D26" s="35">
        <f>ROUND(Total!F26-Total!E26,3)</f>
        <v>0.41</v>
      </c>
      <c r="E26" s="35">
        <f>ROUND(Total!G26-Total!F26,3)</f>
        <v>-14.435</v>
      </c>
      <c r="F26" s="42"/>
      <c r="G26" s="10"/>
    </row>
    <row r="27" spans="2:7" ht="15.75" x14ac:dyDescent="0.25">
      <c r="B27" s="2">
        <f t="shared" si="0"/>
        <v>2042</v>
      </c>
      <c r="C27" s="35">
        <f>ROUND(Total!D27-Total!C27,3)</f>
        <v>1.518</v>
      </c>
      <c r="D27" s="35">
        <f>ROUND(Total!F27-Total!E27,3)</f>
        <v>-0.35</v>
      </c>
      <c r="E27" s="35">
        <f>ROUND(Total!G27-Total!F27,3)</f>
        <v>-9.8949999999999996</v>
      </c>
      <c r="F27" s="42"/>
      <c r="G27" s="10"/>
    </row>
    <row r="28" spans="2:7" ht="15.75" x14ac:dyDescent="0.25">
      <c r="B28" s="2">
        <f t="shared" si="0"/>
        <v>2043</v>
      </c>
      <c r="C28" s="35">
        <f>ROUND(Total!D28-Total!C28,3)</f>
        <v>0.505</v>
      </c>
      <c r="D28" s="35">
        <f>ROUND(Total!F28-Total!E28,3)</f>
        <v>-1.446</v>
      </c>
      <c r="E28" s="35">
        <f>ROUND(Total!G28-Total!F28,3)</f>
        <v>-5.29</v>
      </c>
      <c r="F28" s="42"/>
      <c r="G28" s="10"/>
    </row>
    <row r="29" spans="2:7" x14ac:dyDescent="0.2">
      <c r="C29" s="31"/>
      <c r="D29" s="31"/>
      <c r="E29" s="31"/>
    </row>
    <row r="30" spans="2:7" x14ac:dyDescent="0.2">
      <c r="B30" s="1" t="str">
        <f>Total!B30</f>
        <v>Nominal Levelized Payment at 6.380% Discount Rate (3)</v>
      </c>
      <c r="C30" s="35"/>
      <c r="D30" s="35"/>
      <c r="E30" s="35"/>
    </row>
    <row r="31" spans="2:7" x14ac:dyDescent="0.2">
      <c r="B31" s="6" t="str">
        <f>B11&amp;" - "&amp;B25</f>
        <v>2026 - 2040</v>
      </c>
      <c r="C31" s="36">
        <f>ROUND(Total!D31-Total!C31,3)</f>
        <v>0.14000000000000001</v>
      </c>
      <c r="D31" s="36">
        <f>ROUND(Total!F31-Total!E31,3)</f>
        <v>-0.11</v>
      </c>
      <c r="E31" s="36">
        <f>ROUND(Total!G31-Total!F31,3)</f>
        <v>20.67</v>
      </c>
      <c r="F31" s="40"/>
    </row>
    <row r="32" spans="2:7" x14ac:dyDescent="0.2">
      <c r="B32" s="6" t="str">
        <f>B12&amp;" - "&amp;B26</f>
        <v>2027 - 2041</v>
      </c>
      <c r="C32" s="36">
        <f>ROUND(Total!D32-Total!C32,3)</f>
        <v>0.48</v>
      </c>
      <c r="D32" s="36">
        <f>ROUND(Total!F32-Total!E32,3)</f>
        <v>0.15</v>
      </c>
      <c r="E32" s="36">
        <f>ROUND(Total!G32-Total!F32,3)</f>
        <v>21.39</v>
      </c>
      <c r="F32" s="40"/>
    </row>
    <row r="33" spans="2:6" x14ac:dyDescent="0.2">
      <c r="B33" s="6" t="str">
        <f>B13&amp;" - "&amp;B27</f>
        <v>2028 - 2042</v>
      </c>
      <c r="C33" s="36">
        <f>ROUND(Total!D33-Total!C33,3)</f>
        <v>0.72</v>
      </c>
      <c r="D33" s="36">
        <f>ROUND(Total!F33-Total!E33,3)</f>
        <v>0.27</v>
      </c>
      <c r="E33" s="36">
        <f>ROUND(Total!G33-Total!F33,3)</f>
        <v>22.33</v>
      </c>
      <c r="F33" s="40"/>
    </row>
    <row r="35" spans="2:6" x14ac:dyDescent="0.2">
      <c r="B35" s="1" t="str">
        <f>Total!B35</f>
        <v>(1)   Studies are sequential.  The order of the studies would affect the price impact.</v>
      </c>
    </row>
    <row r="36" spans="2:6" x14ac:dyDescent="0.2">
      <c r="B36" s="1" t="str">
        <f>Total!B36</f>
        <v>(2)   Official Forward Price Curve Dated December 2025</v>
      </c>
    </row>
    <row r="37" spans="2:6" x14ac:dyDescent="0.2">
      <c r="B37" s="1" t="str">
        <f>Total!B37</f>
        <v>(3)   Discount Rate - 2025 IRP - Calculated Annually</v>
      </c>
    </row>
    <row r="41" spans="2:6" hidden="1" x14ac:dyDescent="0.2">
      <c r="B41" s="1" t="s">
        <v>8</v>
      </c>
    </row>
    <row r="42" spans="2:6" hidden="1" x14ac:dyDescent="0.2">
      <c r="B42" s="25">
        <f>Discount_Rate</f>
        <v>6.3799999999999996E-2</v>
      </c>
      <c r="C42" s="25"/>
      <c r="D42" s="25"/>
      <c r="E42" s="25"/>
    </row>
  </sheetData>
  <phoneticPr fontId="2" type="noConversion"/>
  <printOptions horizontalCentered="1"/>
  <pageMargins left="0.25" right="0.25" top="0.75" bottom="0.75" header="0.3" footer="0.2"/>
  <pageSetup scale="82" orientation="landscape" r:id="rId1"/>
  <headerFooter alignWithMargins="0">
    <oddFooter>&amp;L&amp;8NPC Group - &amp;F   ( &amp;A )&amp;C&amp;8Page &amp;P of &amp;N&amp;R&amp;8&amp;D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42"/>
    <pageSetUpPr fitToPage="1"/>
  </sheetPr>
  <dimension ref="B1:O46"/>
  <sheetViews>
    <sheetView view="pageBreakPreview" zoomScale="70" zoomScaleNormal="70" zoomScaleSheetLayoutView="70" workbookViewId="0">
      <pane xSplit="2" ySplit="9" topLeftCell="C10" activePane="bottomRight" state="frozen"/>
      <selection activeCell="B28" sqref="B28"/>
      <selection pane="topRight" activeCell="B28" sqref="B28"/>
      <selection pane="bottomLeft" activeCell="B28" sqref="B28"/>
      <selection pane="bottomRight" activeCell="B28" sqref="B28"/>
    </sheetView>
  </sheetViews>
  <sheetFormatPr defaultColWidth="9.140625" defaultRowHeight="15" x14ac:dyDescent="0.2"/>
  <cols>
    <col min="1" max="1" width="1.85546875" style="1" customWidth="1"/>
    <col min="2" max="2" width="18.7109375" style="1" customWidth="1"/>
    <col min="3" max="3" width="19.5703125" style="1" customWidth="1"/>
    <col min="4" max="4" width="22.140625" style="1" customWidth="1"/>
    <col min="5" max="5" width="20.28515625" style="1" customWidth="1"/>
    <col min="6" max="7" width="17.7109375" style="1" customWidth="1"/>
    <col min="8" max="8" width="11.5703125" style="1" customWidth="1"/>
    <col min="9" max="9" width="16.42578125" style="1" customWidth="1"/>
    <col min="10" max="10" width="13.85546875" style="1" customWidth="1"/>
    <col min="11" max="13" width="9.140625" style="1"/>
    <col min="14" max="14" width="10.28515625" style="1" customWidth="1"/>
    <col min="15" max="16384" width="9.140625" style="1"/>
  </cols>
  <sheetData>
    <row r="1" spans="2:15" ht="15.75" x14ac:dyDescent="0.25">
      <c r="B1" s="4" t="s">
        <v>3</v>
      </c>
      <c r="C1" s="4"/>
      <c r="D1" s="4"/>
      <c r="E1" s="4"/>
      <c r="F1" s="4"/>
      <c r="G1" s="4"/>
    </row>
    <row r="2" spans="2:15" ht="8.25" customHeight="1" x14ac:dyDescent="0.25">
      <c r="B2" s="4"/>
      <c r="C2" s="4"/>
      <c r="D2" s="4"/>
      <c r="E2" s="4"/>
      <c r="F2" s="4"/>
      <c r="G2" s="4"/>
    </row>
    <row r="3" spans="2:15" ht="15.75" x14ac:dyDescent="0.25">
      <c r="B3" s="4" t="s">
        <v>1</v>
      </c>
      <c r="C3" s="4"/>
      <c r="D3" s="4"/>
      <c r="E3" s="4"/>
      <c r="F3" s="4"/>
      <c r="G3" s="4"/>
    </row>
    <row r="4" spans="2:15" ht="15.75" x14ac:dyDescent="0.25">
      <c r="B4" s="4" t="str">
        <f>Capacity!$B$4</f>
        <v>Step Study between 2025.Q4 and 2025.Q3 Compliance Filing</v>
      </c>
      <c r="C4" s="4"/>
      <c r="D4" s="4"/>
      <c r="E4" s="4"/>
      <c r="F4" s="4"/>
      <c r="G4" s="4"/>
    </row>
    <row r="5" spans="2:15" ht="15.75" x14ac:dyDescent="0.25">
      <c r="B5" s="4" t="s">
        <v>6</v>
      </c>
      <c r="C5" s="4"/>
      <c r="D5" s="4"/>
      <c r="E5" s="4"/>
      <c r="F5" s="4"/>
      <c r="G5" s="4"/>
    </row>
    <row r="6" spans="2:15" ht="15.75" x14ac:dyDescent="0.25">
      <c r="B6" s="4"/>
      <c r="C6" s="4"/>
      <c r="D6" s="4"/>
      <c r="E6" s="4"/>
      <c r="F6" s="9"/>
      <c r="G6" s="9"/>
    </row>
    <row r="7" spans="2:15" ht="31.5" customHeight="1" x14ac:dyDescent="0.25">
      <c r="B7" s="8"/>
      <c r="C7" s="70" t="str">
        <f>Energy!C$8</f>
        <v>2025.Q3 with Routine Update</v>
      </c>
      <c r="D7" s="63" t="str">
        <f>Energy!D$8</f>
        <v>2025.Q4 with Routine Update</v>
      </c>
      <c r="E7" s="63" t="str">
        <f>Energy!E$8</f>
        <v>2025.Q3 with Non-Routine Update</v>
      </c>
      <c r="F7" s="63" t="str">
        <f>Energy!F$8</f>
        <v>2025.Q4 with Non-Routine Update</v>
      </c>
      <c r="G7" s="63" t="str">
        <f>Energy!G$8</f>
        <v>2025.Q4 with Non-Routine Update</v>
      </c>
    </row>
    <row r="8" spans="2:15" ht="16.5" customHeight="1" x14ac:dyDescent="0.25">
      <c r="B8" s="5" t="s">
        <v>0</v>
      </c>
      <c r="C8" s="69"/>
      <c r="D8" s="41" t="s">
        <v>11</v>
      </c>
      <c r="E8" s="41"/>
      <c r="F8" s="41" t="s">
        <v>11</v>
      </c>
      <c r="G8" s="41" t="s">
        <v>11</v>
      </c>
    </row>
    <row r="9" spans="2:15" ht="15.75" x14ac:dyDescent="0.25">
      <c r="D9" s="41"/>
      <c r="E9" s="41"/>
    </row>
    <row r="10" spans="2:15" ht="5.25" customHeight="1" x14ac:dyDescent="0.25">
      <c r="B10" s="2"/>
      <c r="C10" s="38"/>
      <c r="D10" s="38"/>
      <c r="E10" s="38"/>
      <c r="F10" s="38"/>
      <c r="G10" s="38"/>
      <c r="H10" s="29"/>
      <c r="I10" s="33"/>
      <c r="J10" s="29"/>
      <c r="K10" s="29"/>
      <c r="L10" s="29"/>
      <c r="M10" s="29"/>
      <c r="N10" s="29"/>
    </row>
    <row r="11" spans="2:15" ht="19.5" customHeight="1" x14ac:dyDescent="0.25">
      <c r="B11" s="2">
        <f>Energy!B11</f>
        <v>2026</v>
      </c>
      <c r="C11" s="38">
        <f>ROUND(Capacity!$I11+Energy!C11,3)</f>
        <v>17.93</v>
      </c>
      <c r="D11" s="38">
        <f>ROUND(Capacity!J11+Energy!D11,3)</f>
        <v>15.182</v>
      </c>
      <c r="E11" s="38">
        <f>ROUND(Capacity!K11+Energy!E11,3)</f>
        <v>17.693000000000001</v>
      </c>
      <c r="F11" s="38">
        <f>ROUND(Capacity!L11+Energy!F11,3)</f>
        <v>15.206</v>
      </c>
      <c r="G11" s="38">
        <f>ROUND(Capacity!M11+Energy!G11,3)</f>
        <v>15.206</v>
      </c>
      <c r="H11" s="40"/>
      <c r="I11" s="40"/>
      <c r="J11" s="40"/>
      <c r="K11" s="29"/>
      <c r="L11" s="29"/>
      <c r="M11" s="29"/>
      <c r="N11" s="29"/>
    </row>
    <row r="12" spans="2:15" ht="18" customHeight="1" x14ac:dyDescent="0.25">
      <c r="B12" s="2">
        <f t="shared" ref="B12:B28" si="0">B11+1</f>
        <v>2027</v>
      </c>
      <c r="C12" s="38">
        <f>ROUND(Capacity!$I12+Energy!C12,3)</f>
        <v>21.567</v>
      </c>
      <c r="D12" s="38">
        <f>ROUND(Capacity!J12+Energy!D12,3)</f>
        <v>20.228000000000002</v>
      </c>
      <c r="E12" s="38">
        <f>ROUND(Capacity!K12+Energy!E12,3)</f>
        <v>20.687999999999999</v>
      </c>
      <c r="F12" s="38">
        <f>ROUND(Capacity!L12+Energy!F12,3)</f>
        <v>19.574999999999999</v>
      </c>
      <c r="G12" s="38">
        <f>ROUND(Capacity!M12+Energy!G12,3)</f>
        <v>19.574999999999999</v>
      </c>
      <c r="H12" s="40"/>
      <c r="I12" s="40"/>
      <c r="J12" s="40"/>
      <c r="K12" s="29"/>
      <c r="L12" s="29"/>
      <c r="M12" s="29"/>
      <c r="N12" s="29"/>
    </row>
    <row r="13" spans="2:15" ht="15.75" x14ac:dyDescent="0.25">
      <c r="B13" s="2">
        <f t="shared" si="0"/>
        <v>2028</v>
      </c>
      <c r="C13" s="38">
        <f>ROUND(Capacity!$I13+Energy!C13,3)</f>
        <v>23.253</v>
      </c>
      <c r="D13" s="38">
        <f>ROUND(Capacity!J13+Energy!D13,3)</f>
        <v>21.815000000000001</v>
      </c>
      <c r="E13" s="38">
        <f>ROUND(Capacity!K13+Energy!E13,3)</f>
        <v>22.024999999999999</v>
      </c>
      <c r="F13" s="38">
        <f>ROUND(Capacity!L13+Energy!F13,3)</f>
        <v>20.856000000000002</v>
      </c>
      <c r="G13" s="38">
        <f>ROUND(Capacity!M13+Energy!G13,3)</f>
        <v>20.856000000000002</v>
      </c>
      <c r="H13" s="40"/>
      <c r="I13" s="40"/>
      <c r="J13" s="40"/>
      <c r="K13" s="29"/>
      <c r="L13" s="29"/>
      <c r="M13" s="29"/>
      <c r="N13" s="29"/>
      <c r="O13" s="3"/>
    </row>
    <row r="14" spans="2:15" ht="15.75" x14ac:dyDescent="0.25">
      <c r="B14" s="2">
        <f t="shared" si="0"/>
        <v>2029</v>
      </c>
      <c r="C14" s="38">
        <f>ROUND(Capacity!$I14+Energy!C14,3)</f>
        <v>27.155000000000001</v>
      </c>
      <c r="D14" s="38">
        <f>ROUND(Capacity!J14+Energy!D14,3)</f>
        <v>26.596</v>
      </c>
      <c r="E14" s="38">
        <f>ROUND(Capacity!K14+Energy!E14,3)</f>
        <v>24.780999999999999</v>
      </c>
      <c r="F14" s="38">
        <f>ROUND(Capacity!L14+Energy!F14,3)</f>
        <v>25.093</v>
      </c>
      <c r="G14" s="38">
        <f>ROUND(Capacity!M14+Energy!G14,3)</f>
        <v>25.093</v>
      </c>
      <c r="H14" s="40"/>
      <c r="I14" s="40"/>
      <c r="J14" s="40"/>
      <c r="K14" s="29"/>
      <c r="L14" s="29"/>
      <c r="M14" s="29"/>
      <c r="N14" s="29"/>
    </row>
    <row r="15" spans="2:15" ht="15.75" x14ac:dyDescent="0.25">
      <c r="B15" s="2">
        <f t="shared" si="0"/>
        <v>2030</v>
      </c>
      <c r="C15" s="38">
        <f>ROUND(Capacity!$I15+Energy!C15,3)</f>
        <v>26.402999999999999</v>
      </c>
      <c r="D15" s="38">
        <f>ROUND(Capacity!J15+Energy!D15,3)</f>
        <v>27.754999999999999</v>
      </c>
      <c r="E15" s="38">
        <f>ROUND(Capacity!K15+Energy!E15,3)</f>
        <v>24.03</v>
      </c>
      <c r="F15" s="38">
        <f>ROUND(Capacity!L15+Energy!F15,3)</f>
        <v>25.344000000000001</v>
      </c>
      <c r="G15" s="38">
        <f>ROUND(Capacity!M15+Energy!G15,3)</f>
        <v>25.344000000000001</v>
      </c>
      <c r="H15" s="40"/>
      <c r="I15" s="40"/>
      <c r="J15" s="40"/>
      <c r="K15" s="29"/>
      <c r="L15" s="29"/>
      <c r="M15" s="29"/>
      <c r="N15" s="29"/>
    </row>
    <row r="16" spans="2:15" ht="15.75" x14ac:dyDescent="0.25">
      <c r="B16" s="2">
        <f t="shared" si="0"/>
        <v>2031</v>
      </c>
      <c r="C16" s="38">
        <f>ROUND(Capacity!$I16+Energy!C16,3)</f>
        <v>26.765000000000001</v>
      </c>
      <c r="D16" s="38">
        <f>ROUND(Capacity!J16+Energy!D16,3)</f>
        <v>28.202999999999999</v>
      </c>
      <c r="E16" s="38">
        <f>ROUND(Capacity!K16+Energy!E16,3)</f>
        <v>-11.308999999999999</v>
      </c>
      <c r="F16" s="38">
        <f>ROUND(Capacity!L16+Energy!F16,3)</f>
        <v>-10.973000000000001</v>
      </c>
      <c r="G16" s="38">
        <f>ROUND(Capacity!M16+Energy!G16,3)</f>
        <v>24.245000000000001</v>
      </c>
      <c r="H16" s="40"/>
      <c r="I16" s="40"/>
      <c r="J16" s="40"/>
      <c r="K16" s="29"/>
      <c r="L16" s="29"/>
      <c r="M16" s="29"/>
      <c r="N16" s="29"/>
    </row>
    <row r="17" spans="2:14" ht="15.75" x14ac:dyDescent="0.25">
      <c r="B17" s="2">
        <f t="shared" si="0"/>
        <v>2032</v>
      </c>
      <c r="C17" s="38">
        <f>ROUND(Capacity!$I17+Energy!C17,3)</f>
        <v>30.709</v>
      </c>
      <c r="D17" s="38">
        <f>ROUND(Capacity!J17+Energy!D17,3)</f>
        <v>31.675999999999998</v>
      </c>
      <c r="E17" s="38">
        <f>ROUND(Capacity!K17+Energy!E17,3)</f>
        <v>-11.122</v>
      </c>
      <c r="F17" s="38">
        <f>ROUND(Capacity!L17+Energy!F17,3)</f>
        <v>-10.978</v>
      </c>
      <c r="G17" s="38">
        <f>ROUND(Capacity!M17+Energy!G17,3)</f>
        <v>22.712</v>
      </c>
      <c r="H17" s="40"/>
      <c r="I17" s="40"/>
      <c r="J17" s="40"/>
      <c r="K17" s="29"/>
      <c r="L17" s="29"/>
      <c r="M17" s="29"/>
      <c r="N17" s="29"/>
    </row>
    <row r="18" spans="2:14" ht="15.75" x14ac:dyDescent="0.25">
      <c r="B18" s="2">
        <f t="shared" si="0"/>
        <v>2033</v>
      </c>
      <c r="C18" s="38">
        <f>ROUND(Capacity!$I18+Energy!C18,3)</f>
        <v>30.468</v>
      </c>
      <c r="D18" s="38">
        <f>ROUND(Capacity!J18+Energy!D18,3)</f>
        <v>31.684000000000001</v>
      </c>
      <c r="E18" s="38">
        <f>ROUND(Capacity!K18+Energy!E18,3)</f>
        <v>-11.353999999999999</v>
      </c>
      <c r="F18" s="38">
        <f>ROUND(Capacity!L18+Energy!F18,3)</f>
        <v>-10.923</v>
      </c>
      <c r="G18" s="38">
        <f>ROUND(Capacity!M18+Energy!G18,3)</f>
        <v>21.84</v>
      </c>
      <c r="H18" s="40"/>
      <c r="I18" s="40"/>
      <c r="J18" s="40"/>
      <c r="K18" s="29"/>
      <c r="L18" s="29"/>
      <c r="M18" s="29"/>
      <c r="N18" s="29"/>
    </row>
    <row r="19" spans="2:14" ht="15.75" x14ac:dyDescent="0.25">
      <c r="B19" s="2">
        <f t="shared" si="0"/>
        <v>2034</v>
      </c>
      <c r="C19" s="38">
        <f>ROUND(Capacity!$I19+Energy!C19,3)</f>
        <v>30.841999999999999</v>
      </c>
      <c r="D19" s="38">
        <f>ROUND(Capacity!J19+Energy!D19,3)</f>
        <v>32.078000000000003</v>
      </c>
      <c r="E19" s="38">
        <f>ROUND(Capacity!K19+Energy!E19,3)</f>
        <v>-11.561999999999999</v>
      </c>
      <c r="F19" s="38">
        <f>ROUND(Capacity!L19+Energy!F19,3)</f>
        <v>-10.621</v>
      </c>
      <c r="G19" s="38">
        <f>ROUND(Capacity!M19+Energy!G19,3)</f>
        <v>22.460999999999999</v>
      </c>
      <c r="H19" s="40"/>
      <c r="I19" s="40"/>
      <c r="J19" s="40"/>
      <c r="K19" s="29"/>
      <c r="L19" s="29"/>
      <c r="M19" s="29"/>
      <c r="N19" s="29"/>
    </row>
    <row r="20" spans="2:14" ht="15.75" x14ac:dyDescent="0.25">
      <c r="B20" s="2">
        <f t="shared" si="0"/>
        <v>2035</v>
      </c>
      <c r="C20" s="38">
        <f>ROUND(Capacity!$I20+Energy!C20,3)</f>
        <v>29.073</v>
      </c>
      <c r="D20" s="38">
        <f>ROUND(Capacity!J20+Energy!D20,3)</f>
        <v>30.542000000000002</v>
      </c>
      <c r="E20" s="38">
        <f>ROUND(Capacity!K20+Energy!E20,3)</f>
        <v>-12.361000000000001</v>
      </c>
      <c r="F20" s="38">
        <f>ROUND(Capacity!L20+Energy!F20,3)</f>
        <v>-11.867000000000001</v>
      </c>
      <c r="G20" s="38">
        <f>ROUND(Capacity!M20+Energy!G20,3)</f>
        <v>23.277999999999999</v>
      </c>
      <c r="H20" s="40"/>
      <c r="I20" s="40"/>
      <c r="J20" s="40"/>
      <c r="K20" s="29"/>
      <c r="L20" s="29"/>
      <c r="M20" s="29"/>
      <c r="N20" s="29"/>
    </row>
    <row r="21" spans="2:14" ht="15.75" x14ac:dyDescent="0.25">
      <c r="B21" s="2">
        <f t="shared" si="0"/>
        <v>2036</v>
      </c>
      <c r="C21" s="38">
        <f>ROUND(Capacity!$I21+Energy!C21,3)</f>
        <v>30.085999999999999</v>
      </c>
      <c r="D21" s="38">
        <f>ROUND(Capacity!J21+Energy!D21,3)</f>
        <v>30.9</v>
      </c>
      <c r="E21" s="38">
        <f>ROUND(Capacity!K21+Energy!E21,3)</f>
        <v>-12.843999999999999</v>
      </c>
      <c r="F21" s="38">
        <f>ROUND(Capacity!L21+Energy!F21,3)</f>
        <v>-12.61</v>
      </c>
      <c r="G21" s="38">
        <f>ROUND(Capacity!M21+Energy!G21,3)</f>
        <v>25.404</v>
      </c>
      <c r="H21" s="40"/>
      <c r="I21" s="40"/>
      <c r="J21" s="40"/>
      <c r="K21" s="29"/>
      <c r="L21" s="29"/>
      <c r="M21" s="29"/>
      <c r="N21" s="29"/>
    </row>
    <row r="22" spans="2:14" ht="15.75" x14ac:dyDescent="0.25">
      <c r="B22" s="2">
        <f t="shared" si="0"/>
        <v>2037</v>
      </c>
      <c r="C22" s="38">
        <f>ROUND(Capacity!$I22+Energy!C22,3)</f>
        <v>27.635000000000002</v>
      </c>
      <c r="D22" s="38">
        <f>ROUND(Capacity!J22+Energy!D22,3)</f>
        <v>28.123000000000001</v>
      </c>
      <c r="E22" s="38">
        <f>ROUND(Capacity!K22+Energy!E22,3)</f>
        <v>-13.455</v>
      </c>
      <c r="F22" s="38">
        <f>ROUND(Capacity!L22+Energy!F22,3)</f>
        <v>-13.404999999999999</v>
      </c>
      <c r="G22" s="38">
        <f>ROUND(Capacity!M22+Energy!G22,3)</f>
        <v>26.792999999999999</v>
      </c>
      <c r="H22" s="40"/>
      <c r="I22" s="40"/>
      <c r="J22" s="40"/>
      <c r="K22" s="29"/>
      <c r="L22" s="29"/>
      <c r="M22" s="29"/>
      <c r="N22" s="29"/>
    </row>
    <row r="23" spans="2:14" ht="15.75" x14ac:dyDescent="0.25">
      <c r="B23" s="2">
        <f t="shared" si="0"/>
        <v>2038</v>
      </c>
      <c r="C23" s="38">
        <f>ROUND(Capacity!$I23+Energy!C23,3)</f>
        <v>23.094000000000001</v>
      </c>
      <c r="D23" s="38">
        <f>ROUND(Capacity!J23+Energy!D23,3)</f>
        <v>23.904</v>
      </c>
      <c r="E23" s="38">
        <f>ROUND(Capacity!K23+Energy!E23,3)</f>
        <v>-12.765000000000001</v>
      </c>
      <c r="F23" s="38">
        <f>ROUND(Capacity!L23+Energy!F23,3)</f>
        <v>-12.218</v>
      </c>
      <c r="G23" s="38">
        <f>ROUND(Capacity!M23+Energy!G23,3)</f>
        <v>28.12</v>
      </c>
      <c r="H23" s="40"/>
      <c r="I23" s="40"/>
      <c r="J23" s="40"/>
      <c r="K23" s="29"/>
      <c r="L23" s="29"/>
      <c r="M23" s="29"/>
      <c r="N23" s="29"/>
    </row>
    <row r="24" spans="2:14" ht="15.75" x14ac:dyDescent="0.25">
      <c r="B24" s="2">
        <f t="shared" si="0"/>
        <v>2039</v>
      </c>
      <c r="C24" s="38">
        <f>ROUND(Capacity!$I24+Energy!C24,3)</f>
        <v>20.917999999999999</v>
      </c>
      <c r="D24" s="38">
        <f>ROUND(Capacity!J24+Energy!D24,3)</f>
        <v>22.263999999999999</v>
      </c>
      <c r="E24" s="38">
        <f>ROUND(Capacity!K24+Energy!E24,3)</f>
        <v>-12.760999999999999</v>
      </c>
      <c r="F24" s="38">
        <f>ROUND(Capacity!L24+Energy!F24,3)</f>
        <v>-12.680999999999999</v>
      </c>
      <c r="G24" s="38">
        <f>ROUND(Capacity!M24+Energy!G24,3)</f>
        <v>27.849</v>
      </c>
      <c r="H24" s="40"/>
      <c r="I24" s="40"/>
      <c r="J24" s="40"/>
      <c r="K24" s="29"/>
      <c r="L24" s="29"/>
      <c r="M24" s="29"/>
      <c r="N24" s="29"/>
    </row>
    <row r="25" spans="2:14" ht="15.75" x14ac:dyDescent="0.25">
      <c r="B25" s="2">
        <f t="shared" si="0"/>
        <v>2040</v>
      </c>
      <c r="C25" s="38">
        <f>ROUND(Capacity!$I25+Energy!C25,3)</f>
        <v>19.818999999999999</v>
      </c>
      <c r="D25" s="38">
        <f>ROUND(Capacity!J25+Energy!D25,3)</f>
        <v>20.518000000000001</v>
      </c>
      <c r="E25" s="38">
        <f>ROUND(Capacity!K25+Energy!E25,3)</f>
        <v>-14.257</v>
      </c>
      <c r="F25" s="38">
        <f>ROUND(Capacity!L25+Energy!F25,3)</f>
        <v>-13.901</v>
      </c>
      <c r="G25" s="38">
        <f>ROUND(Capacity!M25+Energy!G25,3)</f>
        <v>32.511000000000003</v>
      </c>
      <c r="H25" s="40"/>
      <c r="I25" s="40"/>
      <c r="J25" s="40"/>
      <c r="K25" s="29"/>
      <c r="L25" s="29"/>
      <c r="M25" s="29"/>
      <c r="N25" s="29"/>
    </row>
    <row r="26" spans="2:14" ht="15.75" x14ac:dyDescent="0.25">
      <c r="B26" s="2">
        <f t="shared" si="0"/>
        <v>2041</v>
      </c>
      <c r="C26" s="38">
        <f>ROUND(Capacity!$I26+Energy!C26,3)</f>
        <v>21.376999999999999</v>
      </c>
      <c r="D26" s="38">
        <f>ROUND(Capacity!J26+Energy!D26,3)</f>
        <v>22.48</v>
      </c>
      <c r="E26" s="38">
        <f>ROUND(Capacity!K26+Energy!E26,3)</f>
        <v>47.869</v>
      </c>
      <c r="F26" s="38">
        <f>ROUND(Capacity!L26+Energy!F26,3)</f>
        <v>48.279000000000003</v>
      </c>
      <c r="G26" s="38">
        <f>ROUND(Capacity!M26+Energy!G26,3)</f>
        <v>33.844000000000001</v>
      </c>
      <c r="H26" s="40"/>
      <c r="I26" s="40"/>
      <c r="J26" s="40"/>
      <c r="K26" s="29"/>
      <c r="L26" s="29"/>
      <c r="M26" s="29"/>
      <c r="N26" s="29"/>
    </row>
    <row r="27" spans="2:14" ht="15.75" x14ac:dyDescent="0.25">
      <c r="B27" s="2">
        <f t="shared" si="0"/>
        <v>2042</v>
      </c>
      <c r="C27" s="38">
        <f>ROUND(Capacity!$I27+Energy!C27,3)</f>
        <v>71.594999999999999</v>
      </c>
      <c r="D27" s="38">
        <f>ROUND(Capacity!J27+Energy!D27,3)</f>
        <v>73.113</v>
      </c>
      <c r="E27" s="38">
        <f>ROUND(Capacity!K27+Energy!E27,3)</f>
        <v>49.088000000000001</v>
      </c>
      <c r="F27" s="38">
        <f>ROUND(Capacity!L27+Energy!F27,3)</f>
        <v>48.738</v>
      </c>
      <c r="G27" s="38">
        <f>ROUND(Capacity!M27+Energy!G27,3)</f>
        <v>38.843000000000004</v>
      </c>
      <c r="H27" s="40"/>
      <c r="I27" s="40"/>
      <c r="J27" s="40"/>
      <c r="K27" s="29"/>
      <c r="L27" s="29"/>
      <c r="M27" s="29"/>
      <c r="N27" s="29"/>
    </row>
    <row r="28" spans="2:14" ht="15.75" x14ac:dyDescent="0.25">
      <c r="B28" s="2">
        <f t="shared" si="0"/>
        <v>2043</v>
      </c>
      <c r="C28" s="38">
        <f>ROUND(Capacity!$I28+Energy!C28,3)</f>
        <v>72.555999999999997</v>
      </c>
      <c r="D28" s="38">
        <f>ROUND(Capacity!J28+Energy!D28,3)</f>
        <v>73.061000000000007</v>
      </c>
      <c r="E28" s="38">
        <f>ROUND(Capacity!K28+Energy!E28,3)</f>
        <v>50.578000000000003</v>
      </c>
      <c r="F28" s="38">
        <f>ROUND(Capacity!L28+Energy!F28,3)</f>
        <v>49.131999999999998</v>
      </c>
      <c r="G28" s="38">
        <f>ROUND(Capacity!M28+Energy!G28,3)</f>
        <v>43.841999999999999</v>
      </c>
      <c r="H28" s="40"/>
      <c r="I28" s="40"/>
      <c r="J28" s="40"/>
      <c r="K28" s="29"/>
      <c r="L28" s="29"/>
      <c r="M28" s="29"/>
      <c r="N28" s="29"/>
    </row>
    <row r="29" spans="2:14" x14ac:dyDescent="0.2">
      <c r="C29" s="34"/>
      <c r="D29" s="34"/>
      <c r="E29" s="34"/>
      <c r="F29" s="34"/>
      <c r="G29" s="34"/>
      <c r="H29" s="29"/>
      <c r="I29" s="29"/>
    </row>
    <row r="30" spans="2:14" x14ac:dyDescent="0.2">
      <c r="B30" s="1" t="str">
        <f>"Nominal Levelized Payment at "&amp;TEXT(Discount_Rate,"0.000%")&amp;" Discount Rate (3)"</f>
        <v>Nominal Levelized Payment at 6.380% Discount Rate (3)</v>
      </c>
      <c r="C30" s="34"/>
      <c r="D30" s="34"/>
      <c r="E30" s="34"/>
      <c r="F30" s="34"/>
      <c r="G30" s="34"/>
      <c r="H30" s="29"/>
      <c r="I30" s="29"/>
    </row>
    <row r="31" spans="2:14" x14ac:dyDescent="0.2">
      <c r="B31" s="6" t="str">
        <f>B11&amp;" - "&amp;B25</f>
        <v>2026 - 2040</v>
      </c>
      <c r="C31" s="39">
        <f t="shared" ref="C31:F33" si="1">ROUND(PMT(Discount_Rate,COUNT(C11:C25),-NPV(Discount_Rate,C11:C25)),2)</f>
        <v>25.48</v>
      </c>
      <c r="D31" s="39">
        <f t="shared" ref="D31" si="2">ROUND(PMT(Discount_Rate,COUNT(D11:D25),-NPV(Discount_Rate,D11:D25)),2)</f>
        <v>25.62</v>
      </c>
      <c r="E31" s="39">
        <f>ROUND(PMT(Discount_Rate,COUNT(E11:E25),-NPV(Discount_Rate,E11:E25)),2)</f>
        <v>2.67</v>
      </c>
      <c r="F31" s="39">
        <f t="shared" si="1"/>
        <v>2.56</v>
      </c>
      <c r="G31" s="39">
        <f t="shared" ref="G31" si="3">ROUND(PMT(Discount_Rate,COUNT(G11:G25),-NPV(Discount_Rate,G11:G25)),2)</f>
        <v>23.23</v>
      </c>
      <c r="H31" s="29"/>
      <c r="I31" s="33"/>
    </row>
    <row r="32" spans="2:14" x14ac:dyDescent="0.2">
      <c r="B32" s="6" t="str">
        <f>B12&amp;" - "&amp;B26</f>
        <v>2027 - 2041</v>
      </c>
      <c r="C32" s="39">
        <f t="shared" si="1"/>
        <v>26.11</v>
      </c>
      <c r="D32" s="39">
        <f t="shared" ref="D32:E32" si="4">ROUND(PMT(Discount_Rate,COUNT(D12:D26),-NPV(Discount_Rate,D12:D26)),2)</f>
        <v>26.59</v>
      </c>
      <c r="E32" s="39">
        <f t="shared" si="4"/>
        <v>2.98</v>
      </c>
      <c r="F32" s="39">
        <f t="shared" si="1"/>
        <v>3.13</v>
      </c>
      <c r="G32" s="39">
        <f t="shared" ref="G32" si="5">ROUND(PMT(Discount_Rate,COUNT(G12:G26),-NPV(Discount_Rate,G12:G26)),2)</f>
        <v>24.52</v>
      </c>
      <c r="H32" s="29"/>
      <c r="I32" s="33"/>
    </row>
    <row r="33" spans="2:9" x14ac:dyDescent="0.2">
      <c r="B33" s="6" t="str">
        <f>B13&amp;" - "&amp;B27</f>
        <v>2028 - 2042</v>
      </c>
      <c r="C33" s="39">
        <f t="shared" si="1"/>
        <v>28.49</v>
      </c>
      <c r="D33" s="39">
        <f t="shared" ref="D33:E33" si="6">ROUND(PMT(Discount_Rate,COUNT(D13:D27),-NPV(Discount_Rate,D13:D27)),2)</f>
        <v>29.21</v>
      </c>
      <c r="E33" s="39">
        <f t="shared" si="6"/>
        <v>3.03</v>
      </c>
      <c r="F33" s="39">
        <f t="shared" si="1"/>
        <v>3.3</v>
      </c>
      <c r="G33" s="39">
        <f t="shared" ref="G33" si="7">ROUND(PMT(Discount_Rate,COUNT(G13:G27),-NPV(Discount_Rate,G13:G27)),2)</f>
        <v>25.63</v>
      </c>
      <c r="H33" s="29"/>
      <c r="I33" s="33"/>
    </row>
    <row r="34" spans="2:9" x14ac:dyDescent="0.2">
      <c r="F34" s="7"/>
      <c r="G34" s="7"/>
      <c r="H34" s="29"/>
      <c r="I34" s="29"/>
    </row>
    <row r="35" spans="2:9" x14ac:dyDescent="0.2">
      <c r="B35" s="6" t="s">
        <v>9</v>
      </c>
      <c r="H35" s="29"/>
      <c r="I35" s="29"/>
    </row>
    <row r="36" spans="2:9" x14ac:dyDescent="0.2">
      <c r="B36" s="1" t="str">
        <f>"(2)   Official Forward Price Curve Dated "&amp;TEXT(B44,"MMMM YYYY")</f>
        <v>(2)   Official Forward Price Curve Dated December 2025</v>
      </c>
      <c r="H36" s="29"/>
      <c r="I36" s="29"/>
    </row>
    <row r="37" spans="2:9" x14ac:dyDescent="0.2">
      <c r="B37" s="1" t="str">
        <f>"(3)   "&amp;B41&amp;" - Calculated Annually"</f>
        <v>(3)   Discount Rate - 2025 IRP - Calculated Annually</v>
      </c>
    </row>
    <row r="38" spans="2:9" x14ac:dyDescent="0.2">
      <c r="B38" s="14"/>
    </row>
    <row r="39" spans="2:9" x14ac:dyDescent="0.2">
      <c r="B39" s="14"/>
    </row>
    <row r="40" spans="2:9" x14ac:dyDescent="0.2">
      <c r="B40" s="14"/>
    </row>
    <row r="41" spans="2:9" x14ac:dyDescent="0.2">
      <c r="B41" s="1" t="s">
        <v>17</v>
      </c>
    </row>
    <row r="42" spans="2:9" x14ac:dyDescent="0.2">
      <c r="B42" s="11">
        <v>6.3799999999999996E-2</v>
      </c>
    </row>
    <row r="43" spans="2:9" x14ac:dyDescent="0.2">
      <c r="B43" s="1" t="s">
        <v>7</v>
      </c>
    </row>
    <row r="44" spans="2:9" x14ac:dyDescent="0.2">
      <c r="B44" s="12">
        <v>46022</v>
      </c>
      <c r="F44" s="10"/>
      <c r="G44" s="10"/>
    </row>
    <row r="45" spans="2:9" x14ac:dyDescent="0.2">
      <c r="B45" s="14" t="s">
        <v>13</v>
      </c>
    </row>
    <row r="46" spans="2:9" x14ac:dyDescent="0.2">
      <c r="B46" s="54">
        <v>1</v>
      </c>
    </row>
  </sheetData>
  <phoneticPr fontId="2" type="noConversion"/>
  <printOptions horizontalCentered="1"/>
  <pageMargins left="0.25" right="0.25" top="0.75" bottom="0.75" header="0.3" footer="0.2"/>
  <pageSetup scale="87" orientation="landscape" r:id="rId1"/>
  <headerFooter alignWithMargins="0">
    <oddFooter>&amp;L&amp;8NPC Group - &amp;F   ( &amp;A )&amp;C&amp;8Page &amp;P of &amp;N&amp;R&amp;8&amp;D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2"/>
    <pageSetUpPr fitToPage="1"/>
  </sheetPr>
  <dimension ref="B1:I44"/>
  <sheetViews>
    <sheetView view="pageBreakPreview" zoomScale="60" zoomScaleNormal="70" workbookViewId="0">
      <pane xSplit="2" ySplit="8" topLeftCell="C9" activePane="bottomRight" state="frozen"/>
      <selection activeCell="B28" sqref="B28"/>
      <selection pane="topRight" activeCell="B28" sqref="B28"/>
      <selection pane="bottomLeft" activeCell="B28" sqref="B28"/>
      <selection pane="bottomRight" activeCell="B28" sqref="B28"/>
    </sheetView>
  </sheetViews>
  <sheetFormatPr defaultColWidth="9.140625" defaultRowHeight="15" x14ac:dyDescent="0.2"/>
  <cols>
    <col min="1" max="1" width="1.85546875" style="14" customWidth="1"/>
    <col min="2" max="2" width="17.5703125" style="14" customWidth="1"/>
    <col min="3" max="3" width="19.140625" style="14" customWidth="1"/>
    <col min="4" max="4" width="21.7109375" style="14" customWidth="1"/>
    <col min="5" max="5" width="17.85546875" style="14" customWidth="1"/>
    <col min="6" max="6" width="18.85546875" style="14" customWidth="1"/>
    <col min="7" max="7" width="27.7109375" style="14" customWidth="1"/>
    <col min="8" max="8" width="18.85546875" style="14" customWidth="1"/>
    <col min="9" max="16384" width="9.140625" style="14"/>
  </cols>
  <sheetData>
    <row r="1" spans="2:9" ht="15.75" x14ac:dyDescent="0.25">
      <c r="B1" s="13" t="str">
        <f>Total!B1</f>
        <v>Appendix C</v>
      </c>
      <c r="C1" s="13"/>
      <c r="D1" s="13"/>
      <c r="E1" s="13"/>
      <c r="F1" s="13"/>
    </row>
    <row r="2" spans="2:9" ht="8.25" customHeight="1" x14ac:dyDescent="0.25">
      <c r="B2" s="13"/>
      <c r="C2" s="13"/>
      <c r="D2" s="13"/>
      <c r="E2" s="13"/>
      <c r="F2" s="13"/>
    </row>
    <row r="3" spans="2:9" ht="15.75" x14ac:dyDescent="0.25">
      <c r="B3" s="13" t="str">
        <f>Total!B3</f>
        <v>Utah Quarterly Compliance Filing</v>
      </c>
      <c r="C3" s="13"/>
      <c r="D3" s="13"/>
      <c r="E3" s="13"/>
      <c r="F3" s="13"/>
    </row>
    <row r="4" spans="2:9" ht="15.75" x14ac:dyDescent="0.25">
      <c r="B4" s="13" t="str">
        <f>Capacity!$B$4</f>
        <v>Step Study between 2025.Q4 and 2025.Q3 Compliance Filing</v>
      </c>
      <c r="C4" s="13"/>
      <c r="D4" s="13"/>
      <c r="E4" s="13"/>
      <c r="F4" s="13"/>
    </row>
    <row r="5" spans="2:9" ht="15.75" x14ac:dyDescent="0.25">
      <c r="B5" s="13" t="s">
        <v>14</v>
      </c>
      <c r="C5" s="13"/>
      <c r="D5" s="13"/>
      <c r="E5" s="13"/>
      <c r="F5" s="13"/>
    </row>
    <row r="6" spans="2:9" ht="15.75" x14ac:dyDescent="0.25">
      <c r="B6" s="13"/>
      <c r="C6" s="30"/>
      <c r="D6" s="30"/>
      <c r="E6" s="30"/>
      <c r="F6" s="30"/>
    </row>
    <row r="7" spans="2:9" ht="15.75" x14ac:dyDescent="0.25">
      <c r="B7" s="15"/>
      <c r="C7" s="66"/>
      <c r="D7" s="67"/>
      <c r="E7" s="64"/>
      <c r="F7" s="64"/>
      <c r="G7" s="96"/>
      <c r="H7" s="9"/>
      <c r="I7" s="1"/>
    </row>
    <row r="8" spans="2:9" ht="47.25" x14ac:dyDescent="0.25">
      <c r="B8" s="17" t="s">
        <v>0</v>
      </c>
      <c r="C8" s="68" t="str">
        <f>Capacity!C8</f>
        <v>2025.Q3 with Routine Update</v>
      </c>
      <c r="D8" s="68" t="str">
        <f>Capacity!D8</f>
        <v>2025.Q4 with Routine Update</v>
      </c>
      <c r="E8" s="68" t="str">
        <f>Capacity!E8</f>
        <v>2025.Q3 with Non-Routine Update</v>
      </c>
      <c r="F8" s="74" t="str">
        <f>Capacity!F8</f>
        <v>2025.Q4 with Non-Routine Update</v>
      </c>
      <c r="G8" s="74" t="str">
        <f>Capacity!G8</f>
        <v>2025.Q4 with Non-Routine Update</v>
      </c>
      <c r="H8" s="9"/>
      <c r="I8" s="1"/>
    </row>
    <row r="9" spans="2:9" ht="18.75" customHeight="1" x14ac:dyDescent="0.25">
      <c r="B9" s="71"/>
      <c r="C9" s="71"/>
      <c r="D9" s="72" t="s">
        <v>11</v>
      </c>
      <c r="E9" s="73"/>
      <c r="F9" s="72" t="s">
        <v>11</v>
      </c>
      <c r="G9" s="97"/>
      <c r="H9" s="56"/>
      <c r="I9" s="1"/>
    </row>
    <row r="10" spans="2:9" ht="13.5" customHeight="1" x14ac:dyDescent="0.25">
      <c r="B10" s="44"/>
      <c r="C10" s="59"/>
      <c r="D10" s="53"/>
      <c r="E10" s="58"/>
      <c r="F10" s="58"/>
      <c r="H10" s="57"/>
      <c r="I10" s="34"/>
    </row>
    <row r="11" spans="2:9" ht="15.75" x14ac:dyDescent="0.25">
      <c r="B11" s="44">
        <v>2026</v>
      </c>
      <c r="C11" s="53">
        <f>ROUND(VLOOKUP($B11,'[1]Table 1'!$B$13:$G$32,4,FALSE),3)</f>
        <v>17.93</v>
      </c>
      <c r="D11" s="53">
        <f>ROUND(VLOOKUP($B11,'[2]Table 1'!$B$13:$E$35,4,FALSE),3)</f>
        <v>15.182</v>
      </c>
      <c r="E11" s="53">
        <f>ROUND(VLOOKUP($B11,'[3]Table 1'!$B$13:$E$37,4,FALSE),3)</f>
        <v>17.693000000000001</v>
      </c>
      <c r="F11" s="53">
        <f>ROUND(VLOOKUP($B11,'[4]Table 1'!$B$13:$E$35,4,FALSE),3)</f>
        <v>15.206</v>
      </c>
      <c r="G11" s="53">
        <f>ROUND(VLOOKUP($B11,'[5]Table 1'!$B$13:$E$34,4,FALSE),3)</f>
        <v>15.206</v>
      </c>
      <c r="H11" s="57"/>
      <c r="I11" s="34"/>
    </row>
    <row r="12" spans="2:9" ht="15.75" x14ac:dyDescent="0.25">
      <c r="B12" s="44">
        <f t="shared" ref="B12:B28" si="0">B11+1</f>
        <v>2027</v>
      </c>
      <c r="C12" s="53">
        <f>ROUND(VLOOKUP($B12,'[1]Table 1'!$B$13:$G$32,4,FALSE),3)</f>
        <v>21.567</v>
      </c>
      <c r="D12" s="53">
        <f>ROUND(VLOOKUP($B12,'[2]Table 1'!$B$13:$E$35,4,FALSE),3)</f>
        <v>20.228000000000002</v>
      </c>
      <c r="E12" s="53">
        <f>ROUND(VLOOKUP($B12,'[3]Table 1'!$B$13:$E$37,4,FALSE),3)</f>
        <v>20.687999999999999</v>
      </c>
      <c r="F12" s="53">
        <f>ROUND(VLOOKUP($B12,'[4]Table 1'!$B$13:$E$35,4,FALSE),3)</f>
        <v>19.574999999999999</v>
      </c>
      <c r="G12" s="53">
        <f>ROUND(VLOOKUP($B12,'[5]Table 1'!$B$13:$E$34,4,FALSE),3)</f>
        <v>19.574999999999999</v>
      </c>
      <c r="H12" s="57"/>
      <c r="I12" s="34"/>
    </row>
    <row r="13" spans="2:9" ht="15.75" x14ac:dyDescent="0.25">
      <c r="B13" s="44">
        <f t="shared" si="0"/>
        <v>2028</v>
      </c>
      <c r="C13" s="53">
        <f>ROUND(VLOOKUP($B13,'[1]Table 1'!$B$13:$G$32,4,FALSE),3)</f>
        <v>23.253</v>
      </c>
      <c r="D13" s="53">
        <f>ROUND(VLOOKUP($B13,'[2]Table 1'!$B$13:$E$35,4,FALSE),3)</f>
        <v>21.815000000000001</v>
      </c>
      <c r="E13" s="53">
        <f>ROUND(VLOOKUP($B13,'[3]Table 1'!$B$13:$E$37,4,FALSE),3)</f>
        <v>22.024999999999999</v>
      </c>
      <c r="F13" s="53">
        <f>ROUND(VLOOKUP($B13,'[4]Table 1'!$B$13:$E$35,4,FALSE),3)</f>
        <v>20.856000000000002</v>
      </c>
      <c r="G13" s="53">
        <f>ROUND(VLOOKUP($B13,'[5]Table 1'!$B$13:$E$34,4,FALSE),3)</f>
        <v>20.856000000000002</v>
      </c>
      <c r="H13" s="57"/>
      <c r="I13" s="34"/>
    </row>
    <row r="14" spans="2:9" ht="15.75" x14ac:dyDescent="0.25">
      <c r="B14" s="44">
        <f t="shared" si="0"/>
        <v>2029</v>
      </c>
      <c r="C14" s="53">
        <f>ROUND(VLOOKUP($B14,'[1]Table 1'!$B$13:$G$32,4,FALSE),3)</f>
        <v>27.155000000000001</v>
      </c>
      <c r="D14" s="53">
        <f>ROUND(VLOOKUP($B14,'[2]Table 1'!$B$13:$E$35,4,FALSE),3)</f>
        <v>26.596</v>
      </c>
      <c r="E14" s="53">
        <f>ROUND(VLOOKUP($B14,'[3]Table 1'!$B$13:$E$37,4,FALSE),3)</f>
        <v>24.780999999999999</v>
      </c>
      <c r="F14" s="53">
        <f>ROUND(VLOOKUP($B14,'[4]Table 1'!$B$13:$E$35,4,FALSE),3)</f>
        <v>25.093</v>
      </c>
      <c r="G14" s="53">
        <f>ROUND(VLOOKUP($B14,'[5]Table 1'!$B$13:$E$34,4,FALSE),3)</f>
        <v>25.093</v>
      </c>
      <c r="H14" s="57"/>
      <c r="I14" s="34"/>
    </row>
    <row r="15" spans="2:9" ht="15.75" x14ac:dyDescent="0.25">
      <c r="B15" s="44">
        <f t="shared" si="0"/>
        <v>2030</v>
      </c>
      <c r="C15" s="53">
        <f>ROUND(VLOOKUP($B15,'[1]Table 1'!$B$13:$G$32,4,FALSE),3)</f>
        <v>26.402999999999999</v>
      </c>
      <c r="D15" s="53">
        <f>ROUND(VLOOKUP($B15,'[2]Table 1'!$B$13:$E$35,4,FALSE),3)</f>
        <v>27.754999999999999</v>
      </c>
      <c r="E15" s="53">
        <f>ROUND(VLOOKUP($B15,'[3]Table 1'!$B$13:$E$37,4,FALSE),3)</f>
        <v>24.03</v>
      </c>
      <c r="F15" s="53">
        <f>ROUND(VLOOKUP($B15,'[4]Table 1'!$B$13:$E$35,4,FALSE),3)</f>
        <v>25.344000000000001</v>
      </c>
      <c r="G15" s="53">
        <f>ROUND(VLOOKUP($B15,'[5]Table 1'!$B$13:$E$34,4,FALSE),3)</f>
        <v>25.344000000000001</v>
      </c>
      <c r="H15" s="57"/>
      <c r="I15" s="34"/>
    </row>
    <row r="16" spans="2:9" ht="15.75" x14ac:dyDescent="0.25">
      <c r="B16" s="44">
        <f t="shared" si="0"/>
        <v>2031</v>
      </c>
      <c r="C16" s="53">
        <f>ROUND(VLOOKUP($B16,'[1]Table 1'!$B$13:$G$32,4,FALSE),3)</f>
        <v>26.765000000000001</v>
      </c>
      <c r="D16" s="53">
        <f>ROUND(VLOOKUP($B16,'[2]Table 1'!$B$13:$E$35,4,FALSE),3)</f>
        <v>28.202999999999999</v>
      </c>
      <c r="E16" s="53">
        <f>ROUND(VLOOKUP($B16,'[3]Table 1'!$B$13:$E$37,4,FALSE),3)</f>
        <v>-49.432000000000002</v>
      </c>
      <c r="F16" s="53">
        <f>ROUND(VLOOKUP($B16,'[4]Table 1'!$B$13:$E$35,4,FALSE),3)</f>
        <v>-49.095999999999997</v>
      </c>
      <c r="G16" s="53">
        <f>ROUND(VLOOKUP($B16,'[5]Table 1'!$B$13:$E$34,4,FALSE),3)</f>
        <v>24.245000000000001</v>
      </c>
      <c r="H16" s="57"/>
      <c r="I16" s="34"/>
    </row>
    <row r="17" spans="2:9" ht="15.75" x14ac:dyDescent="0.25">
      <c r="B17" s="44">
        <f t="shared" si="0"/>
        <v>2032</v>
      </c>
      <c r="C17" s="53">
        <f>ROUND(VLOOKUP($B17,'[1]Table 1'!$B$13:$G$32,4,FALSE),3)</f>
        <v>-15.782999999999999</v>
      </c>
      <c r="D17" s="53">
        <f>ROUND(VLOOKUP($B17,'[2]Table 1'!$B$13:$E$35,4,FALSE),3)</f>
        <v>-15.05</v>
      </c>
      <c r="E17" s="53">
        <f>ROUND(VLOOKUP($B17,'[3]Table 1'!$B$13:$E$37,4,FALSE),3)</f>
        <v>-50.234000000000002</v>
      </c>
      <c r="F17" s="53">
        <f>ROUND(VLOOKUP($B17,'[4]Table 1'!$B$13:$E$35,4,FALSE),3)</f>
        <v>-50.088999999999999</v>
      </c>
      <c r="G17" s="53">
        <f>ROUND(VLOOKUP($B17,'[5]Table 1'!$B$13:$E$34,4,FALSE),3)</f>
        <v>22.712</v>
      </c>
      <c r="H17" s="57"/>
      <c r="I17" s="34"/>
    </row>
    <row r="18" spans="2:9" ht="15.75" x14ac:dyDescent="0.25">
      <c r="B18" s="44">
        <f t="shared" si="0"/>
        <v>2033</v>
      </c>
      <c r="C18" s="53">
        <f>ROUND(VLOOKUP($B18,'[1]Table 1'!$B$13:$G$32,4,FALSE),3)</f>
        <v>-17.36</v>
      </c>
      <c r="D18" s="53">
        <f>ROUND(VLOOKUP($B18,'[2]Table 1'!$B$13:$E$35,4,FALSE),3)</f>
        <v>-16.384</v>
      </c>
      <c r="E18" s="53">
        <f>ROUND(VLOOKUP($B18,'[3]Table 1'!$B$13:$E$37,4,FALSE),3)</f>
        <v>-51.59</v>
      </c>
      <c r="F18" s="53">
        <f>ROUND(VLOOKUP($B18,'[4]Table 1'!$B$13:$E$35,4,FALSE),3)</f>
        <v>-51.161999999999999</v>
      </c>
      <c r="G18" s="53">
        <f>ROUND(VLOOKUP($B18,'[5]Table 1'!$B$13:$E$34,4,FALSE),3)</f>
        <v>21.84</v>
      </c>
      <c r="H18" s="57"/>
      <c r="I18" s="34"/>
    </row>
    <row r="19" spans="2:9" ht="15.75" x14ac:dyDescent="0.25">
      <c r="B19" s="44">
        <f t="shared" si="0"/>
        <v>2034</v>
      </c>
      <c r="C19" s="53">
        <f>ROUND(VLOOKUP($B19,'[1]Table 1'!$B$13:$G$32,4,FALSE),3)</f>
        <v>-18.222999999999999</v>
      </c>
      <c r="D19" s="53">
        <f>ROUND(VLOOKUP($B19,'[2]Table 1'!$B$13:$E$35,4,FALSE),3)</f>
        <v>-17.234000000000002</v>
      </c>
      <c r="E19" s="53">
        <f>ROUND(VLOOKUP($B19,'[3]Table 1'!$B$13:$E$37,4,FALSE),3)</f>
        <v>-52.838999999999999</v>
      </c>
      <c r="F19" s="53">
        <f>ROUND(VLOOKUP($B19,'[4]Table 1'!$B$13:$E$35,4,FALSE),3)</f>
        <v>-51.893999999999998</v>
      </c>
      <c r="G19" s="53">
        <f>ROUND(VLOOKUP($B19,'[5]Table 1'!$B$13:$E$34,4,FALSE),3)</f>
        <v>22.460999999999999</v>
      </c>
      <c r="H19" s="57"/>
      <c r="I19" s="34"/>
    </row>
    <row r="20" spans="2:9" ht="15.75" x14ac:dyDescent="0.25">
      <c r="B20" s="44">
        <f t="shared" si="0"/>
        <v>2035</v>
      </c>
      <c r="C20" s="53">
        <f>ROUND(VLOOKUP($B20,'[1]Table 1'!$B$13:$G$32,4,FALSE),3)</f>
        <v>-21.37</v>
      </c>
      <c r="D20" s="53">
        <f>ROUND(VLOOKUP($B20,'[2]Table 1'!$B$13:$E$35,4,FALSE),3)</f>
        <v>-20.154</v>
      </c>
      <c r="E20" s="53">
        <f>ROUND(VLOOKUP($B20,'[3]Table 1'!$B$13:$E$37,4,FALSE),3)</f>
        <v>-54.795999999999999</v>
      </c>
      <c r="F20" s="53">
        <f>ROUND(VLOOKUP($B20,'[4]Table 1'!$B$13:$E$35,4,FALSE),3)</f>
        <v>-54.304000000000002</v>
      </c>
      <c r="G20" s="53">
        <f>ROUND(VLOOKUP($B20,'[5]Table 1'!$B$13:$E$34,4,FALSE),3)</f>
        <v>23.277999999999999</v>
      </c>
      <c r="H20" s="57"/>
      <c r="I20" s="34"/>
    </row>
    <row r="21" spans="2:9" ht="15.75" x14ac:dyDescent="0.25">
      <c r="B21" s="44">
        <f t="shared" si="0"/>
        <v>2036</v>
      </c>
      <c r="C21" s="58">
        <f>ROUND(VLOOKUP($B21,'[1]Table 1'!$B$13:$G$32,4,FALSE),3)</f>
        <v>-21.678999999999998</v>
      </c>
      <c r="D21" s="53">
        <f>ROUND(VLOOKUP($B21,'[2]Table 1'!$B$13:$E$35,4,FALSE),3)</f>
        <v>-21.125</v>
      </c>
      <c r="E21" s="53">
        <f>ROUND(VLOOKUP($B21,'[3]Table 1'!$B$13:$E$37,4,FALSE),3)</f>
        <v>-56.392000000000003</v>
      </c>
      <c r="F21" s="53">
        <f>ROUND(VLOOKUP($B21,'[4]Table 1'!$B$13:$E$35,4,FALSE),3)</f>
        <v>-56.158000000000001</v>
      </c>
      <c r="G21" s="53">
        <f>ROUND(VLOOKUP($B21,'[5]Table 1'!$B$13:$E$34,4,FALSE),3)</f>
        <v>25.404</v>
      </c>
      <c r="H21" s="57"/>
      <c r="I21" s="34"/>
    </row>
    <row r="22" spans="2:9" ht="15.75" x14ac:dyDescent="0.25">
      <c r="B22" s="44">
        <f t="shared" si="0"/>
        <v>2037</v>
      </c>
      <c r="C22" s="58">
        <f>ROUND(VLOOKUP($B22,'[1]Table 1'!$B$13:$G$32,4,FALSE),3)</f>
        <v>-25.526</v>
      </c>
      <c r="D22" s="53">
        <f>ROUND(VLOOKUP($B22,'[2]Table 1'!$B$13:$E$35,4,FALSE),3)</f>
        <v>-25.305</v>
      </c>
      <c r="E22" s="53">
        <f>ROUND(VLOOKUP($B22,'[3]Table 1'!$B$13:$E$37,4,FALSE),3)</f>
        <v>-58.177</v>
      </c>
      <c r="F22" s="53">
        <f>ROUND(VLOOKUP($B22,'[4]Table 1'!$B$13:$E$35,4,FALSE),3)</f>
        <v>-58.125999999999998</v>
      </c>
      <c r="G22" s="53">
        <f>ROUND(VLOOKUP($B22,'[5]Table 1'!$B$13:$E$34,4,FALSE),3)</f>
        <v>26.792999999999999</v>
      </c>
      <c r="H22" s="57"/>
      <c r="I22" s="34"/>
    </row>
    <row r="23" spans="2:9" ht="15.75" x14ac:dyDescent="0.25">
      <c r="B23" s="44">
        <f t="shared" si="0"/>
        <v>2038</v>
      </c>
      <c r="C23" s="58">
        <f>ROUND(VLOOKUP($B23,'[1]Table 1'!$B$13:$G$32,4,FALSE),3)</f>
        <v>-31.547000000000001</v>
      </c>
      <c r="D23" s="53">
        <f>ROUND(VLOOKUP($B23,'[2]Table 1'!$B$13:$E$35,4,FALSE),3)</f>
        <v>-31.010999999999999</v>
      </c>
      <c r="E23" s="53">
        <f>ROUND(VLOOKUP($B23,'[3]Table 1'!$B$13:$E$37,4,FALSE),3)</f>
        <v>-58.731999999999999</v>
      </c>
      <c r="F23" s="53">
        <f>ROUND(VLOOKUP($B23,'[4]Table 1'!$B$13:$E$35,4,FALSE),3)</f>
        <v>-58.183</v>
      </c>
      <c r="G23" s="53">
        <f>ROUND(VLOOKUP($B23,'[5]Table 1'!$B$13:$E$34,4,FALSE),3)</f>
        <v>28.12</v>
      </c>
      <c r="H23" s="57"/>
      <c r="I23" s="34"/>
    </row>
    <row r="24" spans="2:9" ht="15.75" x14ac:dyDescent="0.25">
      <c r="B24" s="44">
        <f t="shared" si="0"/>
        <v>2039</v>
      </c>
      <c r="C24" s="58">
        <f>ROUND(VLOOKUP($B24,'[1]Table 1'!$B$13:$G$32,4,FALSE),3)</f>
        <v>-35.180999999999997</v>
      </c>
      <c r="D24" s="53">
        <f>ROUND(VLOOKUP($B24,'[2]Table 1'!$B$13:$E$35,4,FALSE),3)</f>
        <v>-34.116999999999997</v>
      </c>
      <c r="E24" s="53">
        <f>ROUND(VLOOKUP($B24,'[3]Table 1'!$B$13:$E$37,4,FALSE),3)</f>
        <v>-59.954999999999998</v>
      </c>
      <c r="F24" s="53">
        <f>ROUND(VLOOKUP($B24,'[4]Table 1'!$B$13:$E$35,4,FALSE),3)</f>
        <v>-59.878</v>
      </c>
      <c r="G24" s="53">
        <f>ROUND(VLOOKUP($B24,'[5]Table 1'!$B$13:$E$34,4,FALSE),3)</f>
        <v>27.849</v>
      </c>
      <c r="H24" s="57"/>
      <c r="I24" s="34"/>
    </row>
    <row r="25" spans="2:9" ht="15.75" x14ac:dyDescent="0.25">
      <c r="B25" s="44">
        <f t="shared" si="0"/>
        <v>2040</v>
      </c>
      <c r="C25" s="58">
        <f>ROUND(VLOOKUP($B25,'[1]Table 1'!$B$13:$G$32,4,FALSE),3)</f>
        <v>-37.656999999999996</v>
      </c>
      <c r="D25" s="53">
        <f>ROUND(VLOOKUP($B25,'[2]Table 1'!$B$13:$E$35,4,FALSE),3)</f>
        <v>-37.247</v>
      </c>
      <c r="E25" s="53">
        <f>ROUND(VLOOKUP($B25,'[3]Table 1'!$B$13:$E$37,4,FALSE),3)</f>
        <v>-62.61</v>
      </c>
      <c r="F25" s="53">
        <f>ROUND(VLOOKUP($B25,'[4]Table 1'!$B$13:$E$35,4,FALSE),3)</f>
        <v>-62.256</v>
      </c>
      <c r="G25" s="53">
        <f>ROUND(VLOOKUP($B25,'[5]Table 1'!$B$13:$E$34,4,FALSE),3)</f>
        <v>32.511000000000003</v>
      </c>
      <c r="H25" s="57"/>
      <c r="I25" s="34"/>
    </row>
    <row r="26" spans="2:9" ht="15.75" x14ac:dyDescent="0.25">
      <c r="B26" s="44">
        <f t="shared" si="0"/>
        <v>2041</v>
      </c>
      <c r="C26" s="58">
        <f>ROUND(VLOOKUP($B26,'[1]Table 1'!$B$13:$G$32,4,FALSE),3)</f>
        <v>-37.783000000000001</v>
      </c>
      <c r="D26" s="53">
        <f>ROUND(VLOOKUP($B26,'[2]Table 1'!$B$13:$E$35,4,FALSE),3)</f>
        <v>-36.978000000000002</v>
      </c>
      <c r="E26" s="53">
        <f>ROUND(VLOOKUP($B26,'[3]Table 1'!$B$13:$E$37,4,FALSE),3)</f>
        <v>-1.9</v>
      </c>
      <c r="F26" s="53">
        <f>ROUND(VLOOKUP($B26,'[4]Table 1'!$B$13:$E$35,4,FALSE),3)</f>
        <v>-1.484</v>
      </c>
      <c r="G26" s="53">
        <f>ROUND(VLOOKUP($B26,'[5]Table 1'!$B$13:$E$34,4,FALSE),3)</f>
        <v>33.844000000000001</v>
      </c>
      <c r="H26" s="57"/>
      <c r="I26" s="34"/>
    </row>
    <row r="27" spans="2:9" ht="15.75" x14ac:dyDescent="0.25">
      <c r="B27" s="44">
        <f t="shared" si="0"/>
        <v>2042</v>
      </c>
      <c r="C27" s="58">
        <f>ROUND(VLOOKUP($B27,'[1]Table 1'!$B$13:$G$32,4,FALSE),3)</f>
        <v>10.894</v>
      </c>
      <c r="D27" s="53">
        <f>ROUND(VLOOKUP($B27,'[2]Table 1'!$B$13:$E$35,4,FALSE),3)</f>
        <v>12.106999999999999</v>
      </c>
      <c r="E27" s="53">
        <f>ROUND(VLOOKUP($B27,'[3]Table 1'!$B$13:$E$37,4,FALSE),3)</f>
        <v>-1.9770000000000001</v>
      </c>
      <c r="F27" s="53">
        <f>ROUND(VLOOKUP($B27,'[4]Table 1'!$B$13:$E$35,4,FALSE),3)</f>
        <v>-2.3340000000000001</v>
      </c>
      <c r="G27" s="53">
        <f>ROUND(VLOOKUP($B27,'[5]Table 1'!$B$13:$E$34,4,FALSE),3)</f>
        <v>38.843000000000004</v>
      </c>
      <c r="H27" s="57"/>
      <c r="I27" s="34"/>
    </row>
    <row r="28" spans="2:9" ht="15.75" x14ac:dyDescent="0.25">
      <c r="B28" s="44">
        <f t="shared" si="0"/>
        <v>2043</v>
      </c>
      <c r="C28" s="58">
        <f>ROUND(VLOOKUP($B28,'[1]Table 1'!$B$13:$G$32,4,FALSE),3)</f>
        <v>10.206</v>
      </c>
      <c r="D28" s="53">
        <f>ROUND(VLOOKUP($B28,'[2]Table 1'!$B$13:$E$35,4,FALSE),3)</f>
        <v>10.397</v>
      </c>
      <c r="E28" s="53">
        <f>ROUND(VLOOKUP($B28,'[3]Table 1'!$B$13:$E$37,4,FALSE),3)</f>
        <v>-1.875</v>
      </c>
      <c r="F28" s="53">
        <f>ROUND(VLOOKUP($B28,'[4]Table 1'!$B$13:$E$35,4,FALSE),3)</f>
        <v>-3.319</v>
      </c>
      <c r="G28" s="53">
        <f>ROUND(VLOOKUP($B28,'[5]Table 1'!$B$13:$E$34,4,FALSE),3)</f>
        <v>43.841999999999999</v>
      </c>
      <c r="H28" s="57"/>
      <c r="I28" s="34"/>
    </row>
    <row r="29" spans="2:9" x14ac:dyDescent="0.2">
      <c r="C29" s="27"/>
      <c r="D29" s="27"/>
      <c r="E29" s="27"/>
      <c r="F29" s="27"/>
      <c r="H29" s="57"/>
      <c r="I29" s="34"/>
    </row>
    <row r="30" spans="2:9" x14ac:dyDescent="0.2">
      <c r="B30" s="14" t="str">
        <f>"Nominal Levelized Payment at "&amp;TEXT($B$41,"0.00%")&amp;" Discount Rate (3)"</f>
        <v>Nominal Levelized Payment at 6.38% Discount Rate (3)</v>
      </c>
      <c r="C30" s="27"/>
      <c r="D30" s="27"/>
      <c r="E30" s="27"/>
      <c r="F30" s="27"/>
      <c r="H30" s="57"/>
      <c r="I30" s="34"/>
    </row>
    <row r="31" spans="2:9" x14ac:dyDescent="0.2">
      <c r="B31" s="22" t="str">
        <f>B11&amp;" - "&amp;B25</f>
        <v>2026 - 2040</v>
      </c>
      <c r="C31" s="37">
        <f t="shared" ref="C31:D33" si="1">ROUND(PMT($B$41,COUNT(C11:C25),-NPV($B$41,C11:C25)),3)</f>
        <v>0.48099999999999998</v>
      </c>
      <c r="D31" s="37">
        <f t="shared" si="1"/>
        <v>0.49299999999999999</v>
      </c>
      <c r="E31" s="37">
        <f t="shared" ref="E31" si="2">ROUND(PMT($B$41,COUNT(E11:E25),-NPV($B$41,E11:E25)),3)</f>
        <v>-21.135999999999999</v>
      </c>
      <c r="F31" s="37">
        <f t="shared" ref="F31:G31" si="3">ROUND(PMT($B$41,COUNT(F11:F25),-NPV($B$41,F11:F25)),3)</f>
        <v>-21.254999999999999</v>
      </c>
      <c r="G31" s="37">
        <f t="shared" si="3"/>
        <v>23.225999999999999</v>
      </c>
      <c r="H31" s="57"/>
      <c r="I31" s="34"/>
    </row>
    <row r="32" spans="2:9" x14ac:dyDescent="0.2">
      <c r="B32" s="22" t="str">
        <f>B12&amp;" - "&amp;B26</f>
        <v>2027 - 2041</v>
      </c>
      <c r="C32" s="37">
        <f t="shared" si="1"/>
        <v>-2.9569999999999999</v>
      </c>
      <c r="D32" s="37">
        <f t="shared" si="1"/>
        <v>-2.621</v>
      </c>
      <c r="E32" s="37">
        <f t="shared" ref="E32" si="4">ROUND(PMT($B$41,COUNT(E12:E26),-NPV($B$41,E12:E26)),3)</f>
        <v>-24.431000000000001</v>
      </c>
      <c r="F32" s="37">
        <f t="shared" ref="F32:G33" si="5">ROUND(PMT($B$41,COUNT(F12:F26),-NPV($B$41,F12:F26)),3)</f>
        <v>-24.277999999999999</v>
      </c>
      <c r="G32" s="37">
        <f t="shared" si="5"/>
        <v>24.515999999999998</v>
      </c>
      <c r="H32" s="57"/>
      <c r="I32" s="34"/>
    </row>
    <row r="33" spans="2:9" x14ac:dyDescent="0.2">
      <c r="B33" s="22" t="str">
        <f>B13&amp;" - "&amp;B27</f>
        <v>2028 - 2042</v>
      </c>
      <c r="C33" s="37">
        <f t="shared" si="1"/>
        <v>-4.968</v>
      </c>
      <c r="D33" s="37">
        <f t="shared" si="1"/>
        <v>-4.4180000000000001</v>
      </c>
      <c r="E33" s="37">
        <f t="shared" ref="E33" si="6">ROUND(PMT($B$41,COUNT(E13:E27),-NPV($B$41,E13:E27)),3)</f>
        <v>-28.256</v>
      </c>
      <c r="F33" s="37">
        <f t="shared" si="5"/>
        <v>-27.99</v>
      </c>
      <c r="G33" s="37">
        <f t="shared" si="5"/>
        <v>25.635000000000002</v>
      </c>
      <c r="H33" s="57"/>
      <c r="I33" s="34"/>
    </row>
    <row r="34" spans="2:9" x14ac:dyDescent="0.2">
      <c r="B34" s="22"/>
      <c r="C34" s="21"/>
      <c r="D34" s="21"/>
      <c r="E34" s="21"/>
      <c r="F34" s="21"/>
      <c r="H34" s="57"/>
    </row>
    <row r="35" spans="2:9" x14ac:dyDescent="0.2">
      <c r="B35" s="22" t="str">
        <f>Total!B35</f>
        <v>(1)   Studies are sequential.  The order of the studies would affect the price impact.</v>
      </c>
    </row>
    <row r="36" spans="2:9" x14ac:dyDescent="0.2">
      <c r="B36" s="1" t="str">
        <f>"(2)   Official Forward Price Curve Dated "&amp;TEXT(B43,"MMMM YYYY")</f>
        <v>(2)   Official Forward Price Curve Dated December 2025</v>
      </c>
    </row>
    <row r="37" spans="2:9" x14ac:dyDescent="0.2">
      <c r="B37" s="22" t="str">
        <f>Total!B37</f>
        <v>(3)   Discount Rate - 2025 IRP - Calculated Annually</v>
      </c>
    </row>
    <row r="38" spans="2:9" x14ac:dyDescent="0.2">
      <c r="B38" s="22"/>
    </row>
    <row r="40" spans="2:9" x14ac:dyDescent="0.2">
      <c r="B40" s="1" t="str">
        <f>Total!B41</f>
        <v>Discount Rate - 2025 IRP</v>
      </c>
    </row>
    <row r="41" spans="2:9" x14ac:dyDescent="0.2">
      <c r="B41" s="26">
        <f>Total!B42</f>
        <v>6.3799999999999996E-2</v>
      </c>
    </row>
    <row r="42" spans="2:9" x14ac:dyDescent="0.2">
      <c r="B42" s="1" t="s">
        <v>7</v>
      </c>
    </row>
    <row r="43" spans="2:9" x14ac:dyDescent="0.2">
      <c r="B43" s="12">
        <f>Total!B44</f>
        <v>46022</v>
      </c>
    </row>
    <row r="44" spans="2:9" x14ac:dyDescent="0.2">
      <c r="B44"/>
      <c r="C44"/>
      <c r="D44"/>
      <c r="E44"/>
      <c r="F44"/>
    </row>
  </sheetData>
  <printOptions horizontalCentered="1"/>
  <pageMargins left="0.25" right="0.25" top="0.75" bottom="0.75" header="0.3" footer="0.2"/>
  <pageSetup scale="84" orientation="landscape" r:id="rId1"/>
  <headerFooter alignWithMargins="0">
    <oddFooter>&amp;L&amp;8NPC Group - &amp;F   ( &amp;A )&amp;C&amp;8Page &amp;P of &amp;N&amp;R&amp;8&amp;D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2"/>
    <pageSetUpPr fitToPage="1"/>
  </sheetPr>
  <dimension ref="B1:P43"/>
  <sheetViews>
    <sheetView view="pageBreakPreview" zoomScale="60" zoomScaleNormal="60" workbookViewId="0">
      <pane xSplit="2" ySplit="9" topLeftCell="C10" activePane="bottomRight" state="frozen"/>
      <selection activeCell="B28" sqref="B28"/>
      <selection pane="topRight" activeCell="B28" sqref="B28"/>
      <selection pane="bottomLeft" activeCell="B28" sqref="B28"/>
      <selection pane="bottomRight" activeCell="B28" sqref="B28"/>
    </sheetView>
  </sheetViews>
  <sheetFormatPr defaultColWidth="9.140625" defaultRowHeight="15" x14ac:dyDescent="0.2"/>
  <cols>
    <col min="1" max="1" width="1.85546875" style="14" customWidth="1"/>
    <col min="2" max="2" width="20" style="14" customWidth="1"/>
    <col min="3" max="5" width="19.140625" style="14" customWidth="1"/>
    <col min="6" max="7" width="16.5703125" style="14" customWidth="1"/>
    <col min="8" max="8" width="3.7109375" style="14" customWidth="1"/>
    <col min="9" max="9" width="17.42578125" style="14" customWidth="1"/>
    <col min="10" max="13" width="19.140625" style="14" customWidth="1"/>
    <col min="14" max="15" width="2.140625" customWidth="1"/>
    <col min="16" max="16" width="9.140625" style="14" customWidth="1"/>
    <col min="17" max="16384" width="9.140625" style="14"/>
  </cols>
  <sheetData>
    <row r="1" spans="2:16" ht="15.75" x14ac:dyDescent="0.25">
      <c r="B1" s="13" t="str">
        <f>Total!B1</f>
        <v>Appendix C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6" ht="8.25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6" ht="15.75" x14ac:dyDescent="0.25">
      <c r="B3" s="13" t="str">
        <f>Total!B3</f>
        <v>Utah Quarterly Compliance Filing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6" ht="15.75" x14ac:dyDescent="0.25">
      <c r="B4" s="13" t="str">
        <f>"Step Study between "&amp;P8&amp;" and "&amp;P7&amp;" Compliance Filing"</f>
        <v>Step Study between 2025.Q4 and 2025.Q3 Compliance Filing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6" ht="15.75" x14ac:dyDescent="0.25">
      <c r="B5" s="13" t="s">
        <v>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6" ht="15.75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2:16" ht="15.75" x14ac:dyDescent="0.25">
      <c r="B7" s="15"/>
      <c r="C7" s="16" t="s">
        <v>2</v>
      </c>
      <c r="D7" s="16"/>
      <c r="E7" s="16"/>
      <c r="F7" s="16"/>
      <c r="G7" s="16"/>
      <c r="H7" s="16"/>
      <c r="I7" s="16" t="s">
        <v>4</v>
      </c>
      <c r="J7" s="16"/>
      <c r="K7" s="16"/>
      <c r="L7" s="28"/>
      <c r="M7" s="28"/>
      <c r="P7" s="18" t="s">
        <v>16</v>
      </c>
    </row>
    <row r="8" spans="2:16" ht="69.75" customHeight="1" x14ac:dyDescent="0.25">
      <c r="B8" s="17" t="s">
        <v>0</v>
      </c>
      <c r="C8" s="32" t="str">
        <f>P7&amp;""&amp;" with Routine Update"</f>
        <v>2025.Q3 with Routine Update</v>
      </c>
      <c r="D8" s="32" t="str">
        <f>P8&amp;""&amp;" with Routine Update"</f>
        <v>2025.Q4 with Routine Update</v>
      </c>
      <c r="E8" s="32" t="str">
        <f>P7&amp;""&amp;" with Non-Routine Update"</f>
        <v>2025.Q3 with Non-Routine Update</v>
      </c>
      <c r="F8" s="32" t="str">
        <f>P8&amp;""&amp;" with Non-Routine Update"</f>
        <v>2025.Q4 with Non-Routine Update</v>
      </c>
      <c r="G8" s="32" t="str">
        <f>P8&amp;""&amp;" with Non-Routine Update"</f>
        <v>2025.Q4 with Non-Routine Update</v>
      </c>
      <c r="H8" s="32"/>
      <c r="I8" s="32" t="str">
        <f>C8</f>
        <v>2025.Q3 with Routine Update</v>
      </c>
      <c r="J8" s="32" t="str">
        <f>D8</f>
        <v>2025.Q4 with Routine Update</v>
      </c>
      <c r="K8" s="32" t="str">
        <f>E8</f>
        <v>2025.Q3 with Non-Routine Update</v>
      </c>
      <c r="L8" s="32" t="str">
        <f>F8</f>
        <v>2025.Q4 with Non-Routine Update</v>
      </c>
      <c r="M8" s="32" t="str">
        <f>G8</f>
        <v>2025.Q4 with Non-Routine Update</v>
      </c>
      <c r="P8" s="18" t="s">
        <v>24</v>
      </c>
    </row>
    <row r="9" spans="2:16" ht="18" customHeight="1" x14ac:dyDescent="0.2"/>
    <row r="10" spans="2:16" ht="15.75" x14ac:dyDescent="0.25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2:16" ht="15.75" x14ac:dyDescent="0.25">
      <c r="B11" s="19">
        <v>2026</v>
      </c>
      <c r="C11" s="20">
        <f>IFERROR(IF(VLOOKUP($B11,'[1]Table 1'!$B$13:$C$35,2,FALSE)&lt;&gt;0,VLOOKUP($B11,'[1]Table 1'!$B$13:$C$35,2,FALSE),0),0)</f>
        <v>0</v>
      </c>
      <c r="D11" s="20">
        <f>IFERROR(IF(VLOOKUP($B11,'[2]Table 1'!$B$13:$C$35,2,FALSE)&lt;&gt;0,VLOOKUP($B11,'[2]Table 1'!$B$13:$C$35,2,FALSE),0),0)</f>
        <v>0</v>
      </c>
      <c r="E11" s="20">
        <f>IFERROR(IF(VLOOKUP($B11,'[3]Table 1'!$B$13:$C$40,2,FALSE)&lt;&gt;0,VLOOKUP($B11,'[3]Table 1'!$B$13:$C$40,2,FALSE),0),0)</f>
        <v>0</v>
      </c>
      <c r="F11" s="20">
        <f>IFERROR(IF(VLOOKUP($B11,'[4]Table 1'!$B$13:$C$35,2,FALSE)&lt;&gt;0,VLOOKUP($B11,'[4]Table 1'!$B$13:$C$33,2,FALSE),0),0)</f>
        <v>0</v>
      </c>
      <c r="G11" s="20">
        <f>IFERROR(IF(VLOOKUP($B11,'[5]Table 1'!$B$13:$C$34,2,FALSE)&lt;&gt;0,VLOOKUP($B11,'[5]Table 1'!$B$13:$C$34,2,FALSE),0),0)</f>
        <v>0</v>
      </c>
      <c r="H11" s="20"/>
      <c r="I11" s="20">
        <f>INDEX('[1]Table 5'!$R$16:$R$41,MATCH(B11,'[1]Table 5'!$L$16:$L$41,0),1)</f>
        <v>0</v>
      </c>
      <c r="J11" s="20">
        <f>INDEX('[2]Table 5'!$R$16:$R$41,MATCH(B11,'[2]Table 5'!$L$16:$L$41,0),1)</f>
        <v>0</v>
      </c>
      <c r="K11" s="20">
        <f>INDEX('[3]Table 5'!$R$16:$R$41,MATCH(B11,'[3]Table 5'!$L$16:$L$41,0),1)</f>
        <v>0</v>
      </c>
      <c r="L11" s="20">
        <f>INDEX('[4]Table 5'!$R$16:$R$41,MATCH(B11,'[4]Table 5'!$L$16:$L$41,0),1)</f>
        <v>0</v>
      </c>
      <c r="M11" s="20">
        <f>INDEX('[5]Table 5'!$R$16:$R$41,MATCH(B11,'[5]Table 5'!$L$16:$L$41,0),1)</f>
        <v>0</v>
      </c>
    </row>
    <row r="12" spans="2:16" ht="15.75" x14ac:dyDescent="0.25">
      <c r="B12" s="19">
        <f t="shared" ref="B12:B28" si="0">B11+1</f>
        <v>2027</v>
      </c>
      <c r="C12" s="20">
        <f>IFERROR(IF(VLOOKUP($B12,'[1]Table 1'!$B$13:$C$35,2,FALSE)&lt;&gt;0,VLOOKUP($B12,'[1]Table 1'!$B$13:$C$35,2,FALSE),0),0)</f>
        <v>0</v>
      </c>
      <c r="D12" s="20">
        <f>IFERROR(IF(VLOOKUP($B12,'[2]Table 1'!$B$13:$C$35,2,FALSE)&lt;&gt;0,VLOOKUP($B12,'[2]Table 1'!$B$13:$C$35,2,FALSE),0),0)</f>
        <v>0</v>
      </c>
      <c r="E12" s="20">
        <f>IFERROR(IF(VLOOKUP($B12,'[3]Table 1'!$B$13:$G$40,2,FALSE)&lt;&gt;0,VLOOKUP($B12,'[3]Table 1'!$B$13:$G$40,2,FALSE),0),0)</f>
        <v>0</v>
      </c>
      <c r="F12" s="20">
        <f>IFERROR(IF(VLOOKUP($B12,'[4]Table 1'!$B$13:$C$35,2,FALSE)&lt;&gt;0,VLOOKUP($B12,'[4]Table 1'!$B$13:$C$33,2,FALSE),0),0)</f>
        <v>0</v>
      </c>
      <c r="G12" s="20">
        <f>IFERROR(IF(VLOOKUP($B12,'[5]Table 1'!$B$13:$C$34,2,FALSE)&lt;&gt;0,VLOOKUP($B12,'[5]Table 1'!$B$13:$C$34,2,FALSE),0),0)</f>
        <v>0</v>
      </c>
      <c r="H12" s="20"/>
      <c r="I12" s="20">
        <f>INDEX('[1]Table 5'!$R$16:$R$41,MATCH(B12,'[1]Table 5'!$L$16:$L$41,0),1)</f>
        <v>0</v>
      </c>
      <c r="J12" s="20">
        <f>INDEX('[2]Table 5'!$R$16:$R$41,MATCH(B12,'[2]Table 5'!$L$16:$L$41,0),1)</f>
        <v>0</v>
      </c>
      <c r="K12" s="20">
        <f>INDEX('[3]Table 5'!$R$16:$R$41,MATCH(B12,'[3]Table 5'!$L$16:$L$41,0),1)</f>
        <v>0</v>
      </c>
      <c r="L12" s="20">
        <f>INDEX('[4]Table 5'!$R$16:$R$41,MATCH(B12,'[4]Table 5'!$L$16:$L$41,0),1)</f>
        <v>0</v>
      </c>
      <c r="M12" s="20">
        <f>INDEX('[5]Table 5'!$R$16:$R$41,MATCH(B12,'[5]Table 5'!$L$16:$L$41,0),1)</f>
        <v>0</v>
      </c>
    </row>
    <row r="13" spans="2:16" ht="15.75" x14ac:dyDescent="0.25">
      <c r="B13" s="19">
        <f t="shared" si="0"/>
        <v>2028</v>
      </c>
      <c r="C13" s="20">
        <f>IFERROR(IF(VLOOKUP($B13,'[1]Table 1'!$B$13:$C$35,2,FALSE)&lt;&gt;0,VLOOKUP($B13,'[1]Table 1'!$B$13:$C$35,2,FALSE),0),0)</f>
        <v>0</v>
      </c>
      <c r="D13" s="20">
        <f>IFERROR(IF(VLOOKUP($B13,'[2]Table 1'!$B$13:$C$35,2,FALSE)&lt;&gt;0,VLOOKUP($B13,'[2]Table 1'!$B$13:$C$35,2,FALSE),0),0)</f>
        <v>0</v>
      </c>
      <c r="E13" s="20">
        <f>IFERROR(IF(VLOOKUP($B13,'[3]Table 1'!$B$13:$G$40,2,FALSE)&lt;&gt;0,VLOOKUP($B13,'[3]Table 1'!$B$13:$G$40,2,FALSE),0),0)</f>
        <v>0</v>
      </c>
      <c r="F13" s="20">
        <f>IFERROR(IF(VLOOKUP($B13,'[4]Table 1'!$B$13:$C$35,2,FALSE)&lt;&gt;0,VLOOKUP($B13,'[4]Table 1'!$B$13:$C$33,2,FALSE),0),0)</f>
        <v>0</v>
      </c>
      <c r="G13" s="20">
        <f>IFERROR(IF(VLOOKUP($B13,'[5]Table 1'!$B$13:$C$34,2,FALSE)&lt;&gt;0,VLOOKUP($B13,'[5]Table 1'!$B$13:$C$34,2,FALSE),0),0)</f>
        <v>0</v>
      </c>
      <c r="H13" s="20"/>
      <c r="I13" s="20">
        <f>INDEX('[1]Table 5'!$R$16:$R$41,MATCH(B13,'[1]Table 5'!$L$16:$L$41,0),1)</f>
        <v>0</v>
      </c>
      <c r="J13" s="20">
        <f>INDEX('[2]Table 5'!$R$16:$R$41,MATCH(B13,'[2]Table 5'!$L$16:$L$41,0),1)</f>
        <v>0</v>
      </c>
      <c r="K13" s="20">
        <f>INDEX('[3]Table 5'!$R$16:$R$41,MATCH(B13,'[3]Table 5'!$L$16:$L$41,0),1)</f>
        <v>0</v>
      </c>
      <c r="L13" s="20">
        <f>INDEX('[4]Table 5'!$R$16:$R$41,MATCH(B13,'[4]Table 5'!$L$16:$L$41,0),1)</f>
        <v>0</v>
      </c>
      <c r="M13" s="20">
        <f>INDEX('[5]Table 5'!$R$16:$R$41,MATCH(B13,'[5]Table 5'!$L$16:$L$41,0),1)</f>
        <v>0</v>
      </c>
    </row>
    <row r="14" spans="2:16" ht="15.75" x14ac:dyDescent="0.25">
      <c r="B14" s="19">
        <f t="shared" si="0"/>
        <v>2029</v>
      </c>
      <c r="C14" s="20">
        <f>IFERROR(IF(VLOOKUP($B14,'[1]Table 1'!$B$13:$C$35,2,FALSE)&lt;&gt;0,VLOOKUP($B14,'[1]Table 1'!$B$13:$C$35,2,FALSE),0),0)</f>
        <v>0</v>
      </c>
      <c r="D14" s="20">
        <f>IFERROR(IF(VLOOKUP($B14,'[2]Table 1'!$B$13:$C$35,2,FALSE)&lt;&gt;0,VLOOKUP($B14,'[2]Table 1'!$B$13:$C$35,2,FALSE),0),0)</f>
        <v>0</v>
      </c>
      <c r="E14" s="20">
        <f>IFERROR(IF(VLOOKUP($B14,'[3]Table 1'!$B$13:$G$40,2,FALSE)&lt;&gt;0,VLOOKUP($B14,'[3]Table 1'!$B$13:$G$40,2,FALSE),0),0)</f>
        <v>0</v>
      </c>
      <c r="F14" s="20">
        <f>IFERROR(IF(VLOOKUP($B14,'[4]Table 1'!$B$13:$C$35,2,FALSE)&lt;&gt;0,VLOOKUP($B14,'[4]Table 1'!$B$13:$C$33,2,FALSE),0),0)</f>
        <v>0</v>
      </c>
      <c r="G14" s="20">
        <f>IFERROR(IF(VLOOKUP($B14,'[5]Table 1'!$B$13:$C$34,2,FALSE)&lt;&gt;0,VLOOKUP($B14,'[5]Table 1'!$B$13:$C$34,2,FALSE),0),0)</f>
        <v>0</v>
      </c>
      <c r="H14" s="20"/>
      <c r="I14" s="20">
        <f>INDEX('[1]Table 5'!$R$16:$R$41,MATCH(B14,'[1]Table 5'!$L$16:$L$41,0),1)</f>
        <v>0</v>
      </c>
      <c r="J14" s="20">
        <f>INDEX('[2]Table 5'!$R$16:$R$41,MATCH(B14,'[2]Table 5'!$L$16:$L$41,0),1)</f>
        <v>0</v>
      </c>
      <c r="K14" s="20">
        <f>INDEX('[3]Table 5'!$R$16:$R$41,MATCH(B14,'[3]Table 5'!$L$16:$L$41,0),1)</f>
        <v>0</v>
      </c>
      <c r="L14" s="20">
        <f>INDEX('[4]Table 5'!$R$16:$R$41,MATCH(B14,'[4]Table 5'!$L$16:$L$41,0),1)</f>
        <v>0</v>
      </c>
      <c r="M14" s="20">
        <f>INDEX('[5]Table 5'!$R$16:$R$41,MATCH(B14,'[5]Table 5'!$L$16:$L$41,0),1)</f>
        <v>0</v>
      </c>
    </row>
    <row r="15" spans="2:16" ht="15.75" x14ac:dyDescent="0.25">
      <c r="B15" s="19">
        <f t="shared" si="0"/>
        <v>2030</v>
      </c>
      <c r="C15" s="20">
        <f>IFERROR(IF(VLOOKUP($B15,'[1]Table 1'!$B$13:$C$35,2,FALSE)&lt;&gt;0,VLOOKUP($B15,'[1]Table 1'!$B$13:$C$35,2,FALSE),0),0)</f>
        <v>0</v>
      </c>
      <c r="D15" s="20">
        <f>IFERROR(IF(VLOOKUP($B15,'[2]Table 1'!$B$13:$C$35,2,FALSE)&lt;&gt;0,VLOOKUP($B15,'[2]Table 1'!$B$13:$C$35,2,FALSE),0),0)</f>
        <v>0</v>
      </c>
      <c r="E15" s="20">
        <f>IFERROR(IF(VLOOKUP($B15,'[3]Table 1'!$B$13:$G$40,2,FALSE)&lt;&gt;0,VLOOKUP($B15,'[3]Table 1'!$B$13:$G$40,2,FALSE),0),0)</f>
        <v>0</v>
      </c>
      <c r="F15" s="20">
        <f>IFERROR(IF(VLOOKUP($B15,'[4]Table 1'!$B$13:$C$35,2,FALSE)&lt;&gt;0,VLOOKUP($B15,'[4]Table 1'!$B$13:$C$33,2,FALSE),0),0)</f>
        <v>0</v>
      </c>
      <c r="G15" s="20">
        <f>IFERROR(IF(VLOOKUP($B15,'[5]Table 1'!$B$13:$C$34,2,FALSE)&lt;&gt;0,VLOOKUP($B15,'[5]Table 1'!$B$13:$C$34,2,FALSE),0),0)</f>
        <v>0</v>
      </c>
      <c r="H15" s="20"/>
      <c r="I15" s="20">
        <f>INDEX('[1]Table 5'!$R$16:$R$41,MATCH(B15,'[1]Table 5'!$L$16:$L$41,0),1)</f>
        <v>0</v>
      </c>
      <c r="J15" s="20">
        <f>INDEX('[2]Table 5'!$R$16:$R$41,MATCH(B15,'[2]Table 5'!$L$16:$L$41,0),1)</f>
        <v>0</v>
      </c>
      <c r="K15" s="20">
        <f>INDEX('[3]Table 5'!$R$16:$R$41,MATCH(B15,'[3]Table 5'!$L$16:$L$41,0),1)</f>
        <v>0</v>
      </c>
      <c r="L15" s="20">
        <f>INDEX('[4]Table 5'!$R$16:$R$41,MATCH(B15,'[4]Table 5'!$L$16:$L$41,0),1)</f>
        <v>0</v>
      </c>
      <c r="M15" s="20">
        <f>INDEX('[5]Table 5'!$R$16:$R$41,MATCH(B15,'[5]Table 5'!$L$16:$L$41,0),1)</f>
        <v>0</v>
      </c>
    </row>
    <row r="16" spans="2:16" ht="15.75" x14ac:dyDescent="0.25">
      <c r="B16" s="19">
        <f t="shared" si="0"/>
        <v>2031</v>
      </c>
      <c r="C16" s="20">
        <f>IFERROR(IF(VLOOKUP($B16,'[1]Table 1'!$B$13:$C$35,2,FALSE)&lt;&gt;0,VLOOKUP($B16,'[1]Table 1'!$B$13:$C$35,2,FALSE),0),0)</f>
        <v>0</v>
      </c>
      <c r="D16" s="20">
        <f>IFERROR(IF(VLOOKUP($B16,'[2]Table 1'!$B$13:$C$35,2,FALSE)&lt;&gt;0,VLOOKUP($B16,'[2]Table 1'!$B$13:$C$35,2,FALSE),0),0)</f>
        <v>0</v>
      </c>
      <c r="E16" s="20">
        <f>IFERROR(IF(VLOOKUP($B16,'[3]Table 1'!$B$13:$G$40,2,FALSE)&lt;&gt;0,VLOOKUP($B16,'[3]Table 1'!$B$13:$G$40,2,FALSE),0),0)</f>
        <v>97.92304792875585</v>
      </c>
      <c r="F16" s="20">
        <f>IFERROR(IF(VLOOKUP($B16,'[4]Table 1'!$B$13:$C$35,2,FALSE)&lt;&gt;0,VLOOKUP($B16,'[4]Table 1'!$B$13:$C$33,2,FALSE),0),0)</f>
        <v>98.415123546488289</v>
      </c>
      <c r="G16" s="20">
        <f>IFERROR(IF(VLOOKUP($B16,'[5]Table 1'!$B$13:$C$34,2,FALSE)&lt;&gt;0,VLOOKUP($B16,'[5]Table 1'!$B$13:$C$34,2,FALSE),0),0)</f>
        <v>0</v>
      </c>
      <c r="H16" s="20"/>
      <c r="I16" s="20">
        <f>INDEX('[1]Table 5'!$R$16:$R$41,MATCH(B16,'[1]Table 5'!$L$16:$L$41,0),1)</f>
        <v>0</v>
      </c>
      <c r="J16" s="20">
        <f>INDEX('[2]Table 5'!$R$16:$R$41,MATCH(B16,'[2]Table 5'!$L$16:$L$41,0),1)</f>
        <v>0</v>
      </c>
      <c r="K16" s="20">
        <f>INDEX('[3]Table 5'!$R$16:$R$41,MATCH(B16,'[3]Table 5'!$L$16:$L$41,0),1)</f>
        <v>38.122505480400122</v>
      </c>
      <c r="L16" s="20">
        <f>INDEX('[4]Table 5'!$R$16:$R$41,MATCH(B16,'[4]Table 5'!$L$16:$L$41,0),1)</f>
        <v>38.122554588398067</v>
      </c>
      <c r="M16" s="20">
        <f>INDEX('[5]Table 5'!$R$16:$R$41,MATCH(B16,'[5]Table 5'!$L$16:$L$41,0),1)</f>
        <v>0</v>
      </c>
    </row>
    <row r="17" spans="2:13" ht="15.75" x14ac:dyDescent="0.25">
      <c r="B17" s="19">
        <f t="shared" si="0"/>
        <v>2032</v>
      </c>
      <c r="C17" s="20">
        <f>IFERROR(IF(VLOOKUP($B17,'[1]Table 1'!$B$13:$C$35,2,FALSE)&lt;&gt;0,VLOOKUP($B17,'[1]Table 1'!$B$13:$C$35,2,FALSE),0),0)</f>
        <v>118.93773045375903</v>
      </c>
      <c r="D17" s="20">
        <f>IFERROR(IF(VLOOKUP($B17,'[2]Table 1'!$B$13:$C$35,2,FALSE)&lt;&gt;0,VLOOKUP($B17,'[2]Table 1'!$B$13:$C$35,2,FALSE),0),0)</f>
        <v>119.5354074912151</v>
      </c>
      <c r="E17" s="20">
        <f>IFERROR(IF(VLOOKUP($B17,'[3]Table 1'!$B$13:$G$40,2,FALSE)&lt;&gt;0,VLOOKUP($B17,'[3]Table 1'!$B$13:$G$40,2,FALSE),0),0)</f>
        <v>100.05777034643907</v>
      </c>
      <c r="F17" s="20">
        <f>IFERROR(IF(VLOOKUP($B17,'[4]Table 1'!$B$13:$C$35,2,FALSE)&lt;&gt;0,VLOOKUP($B17,'[4]Table 1'!$B$13:$C$33,2,FALSE),0),0)</f>
        <v>100.56057321250161</v>
      </c>
      <c r="G17" s="20">
        <f>IFERROR(IF(VLOOKUP($B17,'[5]Table 1'!$B$13:$C$34,2,FALSE)&lt;&gt;0,VLOOKUP($B17,'[5]Table 1'!$B$13:$C$34,2,FALSE),0),0)</f>
        <v>0</v>
      </c>
      <c r="H17" s="20"/>
      <c r="I17" s="20">
        <f>INDEX('[1]Table 5'!$R$16:$R$41,MATCH(B17,'[1]Table 5'!$L$16:$L$41,0),1)</f>
        <v>46.492277231549885</v>
      </c>
      <c r="J17" s="20">
        <f>INDEX('[2]Table 5'!$R$16:$R$41,MATCH(B17,'[2]Table 5'!$L$16:$L$41,0),1)</f>
        <v>46.72590676537677</v>
      </c>
      <c r="K17" s="20">
        <f>INDEX('[3]Table 5'!$R$16:$R$41,MATCH(B17,'[3]Table 5'!$L$16:$L$41,0),1)</f>
        <v>39.112177274359404</v>
      </c>
      <c r="L17" s="20">
        <f>INDEX('[4]Table 5'!$R$16:$R$41,MATCH(B17,'[4]Table 5'!$L$16:$L$41,0),1)</f>
        <v>39.111240508531345</v>
      </c>
      <c r="M17" s="20">
        <f>INDEX('[5]Table 5'!$R$16:$R$41,MATCH(B17,'[5]Table 5'!$L$16:$L$41,0),1)</f>
        <v>0</v>
      </c>
    </row>
    <row r="18" spans="2:13" ht="15.75" x14ac:dyDescent="0.25">
      <c r="B18" s="19">
        <f t="shared" si="0"/>
        <v>2033</v>
      </c>
      <c r="C18" s="20">
        <f>IFERROR(IF(VLOOKUP($B18,'[1]Table 1'!$B$13:$C$35,2,FALSE)&lt;&gt;0,VLOOKUP($B18,'[1]Table 1'!$B$13:$C$35,2,FALSE),0),0)</f>
        <v>121.53057297907223</v>
      </c>
      <c r="D18" s="20">
        <f>IFERROR(IF(VLOOKUP($B18,'[2]Table 1'!$B$13:$C$35,2,FALSE)&lt;&gt;0,VLOOKUP($B18,'[2]Table 1'!$B$13:$C$35,2,FALSE),0),0)</f>
        <v>122.141279375952</v>
      </c>
      <c r="E18" s="20">
        <f>IFERROR(IF(VLOOKUP($B18,'[3]Table 1'!$B$13:$G$40,2,FALSE)&lt;&gt;0,VLOOKUP($B18,'[3]Table 1'!$B$13:$G$40,2,FALSE),0),0)</f>
        <v>102.23902974118711</v>
      </c>
      <c r="F18" s="20">
        <f>IFERROR(IF(VLOOKUP($B18,'[4]Table 1'!$B$13:$C$35,2,FALSE)&lt;&gt;0,VLOOKUP($B18,'[4]Table 1'!$B$13:$C$33,2,FALSE),0),0)</f>
        <v>102.75279370973578</v>
      </c>
      <c r="G18" s="20">
        <f>IFERROR(IF(VLOOKUP($B18,'[5]Table 1'!$B$13:$C$34,2,FALSE)&lt;&gt;0,VLOOKUP($B18,'[5]Table 1'!$B$13:$C$34,2,FALSE),0),0)</f>
        <v>0</v>
      </c>
      <c r="H18" s="20"/>
      <c r="I18" s="20">
        <f>INDEX('[1]Table 5'!$R$16:$R$41,MATCH(B18,'[1]Table 5'!$L$16:$L$41,0),1)</f>
        <v>47.828087806758184</v>
      </c>
      <c r="J18" s="20">
        <f>INDEX('[2]Table 5'!$R$16:$R$41,MATCH(B18,'[2]Table 5'!$L$16:$L$41,0),1)</f>
        <v>48.068429956540889</v>
      </c>
      <c r="K18" s="20">
        <f>INDEX('[3]Table 5'!$R$16:$R$41,MATCH(B18,'[3]Table 5'!$L$16:$L$41,0),1)</f>
        <v>40.235943696087944</v>
      </c>
      <c r="L18" s="20">
        <f>INDEX('[4]Table 5'!$R$16:$R$41,MATCH(B18,'[4]Table 5'!$L$16:$L$41,0),1)</f>
        <v>40.239189636427888</v>
      </c>
      <c r="M18" s="20">
        <f>INDEX('[5]Table 5'!$R$16:$R$41,MATCH(B18,'[5]Table 5'!$L$16:$L$41,0),1)</f>
        <v>0</v>
      </c>
    </row>
    <row r="19" spans="2:13" ht="15.75" x14ac:dyDescent="0.25">
      <c r="B19" s="19">
        <f t="shared" si="0"/>
        <v>2034</v>
      </c>
      <c r="C19" s="20">
        <f>IFERROR(IF(VLOOKUP($B19,'[1]Table 1'!$B$13:$C$35,2,FALSE)&lt;&gt;0,VLOOKUP($B19,'[1]Table 1'!$B$13:$C$35,2,FALSE),0),0)</f>
        <v>124.17993956061784</v>
      </c>
      <c r="D19" s="20">
        <f>IFERROR(IF(VLOOKUP($B19,'[2]Table 1'!$B$13:$C$35,2,FALSE)&lt;&gt;0,VLOOKUP($B19,'[2]Table 1'!$B$13:$C$35,2,FALSE),0),0)</f>
        <v>124.80395935740486</v>
      </c>
      <c r="E19" s="20">
        <f>IFERROR(IF(VLOOKUP($B19,'[3]Table 1'!$B$13:$G$40,2,FALSE)&lt;&gt;0,VLOOKUP($B19,'[3]Table 1'!$B$13:$G$40,2,FALSE),0),0)</f>
        <v>104.46784066576485</v>
      </c>
      <c r="F19" s="20">
        <f>IFERROR(IF(VLOOKUP($B19,'[4]Table 1'!$B$13:$C$35,2,FALSE)&lt;&gt;0,VLOOKUP($B19,'[4]Table 1'!$B$13:$C$33,2,FALSE),0),0)</f>
        <v>104.9928046892109</v>
      </c>
      <c r="G19" s="20">
        <f>IFERROR(IF(VLOOKUP($B19,'[5]Table 1'!$B$13:$C$34,2,FALSE)&lt;&gt;0,VLOOKUP($B19,'[5]Table 1'!$B$13:$C$34,2,FALSE),0),0)</f>
        <v>0</v>
      </c>
      <c r="H19" s="20"/>
      <c r="I19" s="20">
        <f>INDEX('[1]Table 5'!$R$16:$R$41,MATCH(B19,'[1]Table 5'!$L$16:$L$41,0),1)</f>
        <v>49.064989052439685</v>
      </c>
      <c r="J19" s="20">
        <f>INDEX('[2]Table 5'!$R$16:$R$41,MATCH(B19,'[2]Table 5'!$L$16:$L$41,0),1)</f>
        <v>49.311546786371544</v>
      </c>
      <c r="K19" s="20">
        <f>INDEX('[3]Table 5'!$R$16:$R$41,MATCH(B19,'[3]Table 5'!$L$16:$L$41,0),1)</f>
        <v>41.276501476276486</v>
      </c>
      <c r="L19" s="20">
        <f>INDEX('[4]Table 5'!$R$16:$R$41,MATCH(B19,'[4]Table 5'!$L$16:$L$41,0),1)</f>
        <v>41.273424995012313</v>
      </c>
      <c r="M19" s="20">
        <f>INDEX('[5]Table 5'!$R$16:$R$41,MATCH(B19,'[5]Table 5'!$L$16:$L$41,0),1)</f>
        <v>0</v>
      </c>
    </row>
    <row r="20" spans="2:13" ht="15.75" x14ac:dyDescent="0.25">
      <c r="B20" s="19">
        <f t="shared" si="0"/>
        <v>2035</v>
      </c>
      <c r="C20" s="20">
        <f>IFERROR(IF(VLOOKUP($B20,'[1]Table 1'!$B$13:$C$35,2,FALSE)&lt;&gt;0,VLOOKUP($B20,'[1]Table 1'!$B$13:$C$35,2,FALSE),0),0)</f>
        <v>126.88706221123057</v>
      </c>
      <c r="D20" s="20">
        <f>IFERROR(IF(VLOOKUP($B20,'[2]Table 1'!$B$13:$C$35,2,FALSE)&lt;&gt;0,VLOOKUP($B20,'[2]Table 1'!$B$13:$C$35,2,FALSE),0),0)</f>
        <v>127.5246856394277</v>
      </c>
      <c r="E20" s="20">
        <f>IFERROR(IF(VLOOKUP($B20,'[3]Table 1'!$B$13:$G$40,2,FALSE)&lt;&gt;0,VLOOKUP($B20,'[3]Table 1'!$B$13:$G$40,2,FALSE),0),0)</f>
        <v>106.74523956551904</v>
      </c>
      <c r="F20" s="20">
        <f>IFERROR(IF(VLOOKUP($B20,'[4]Table 1'!$B$13:$C$35,2,FALSE)&lt;&gt;0,VLOOKUP($B20,'[4]Table 1'!$B$13:$C$33,2,FALSE),0),0)</f>
        <v>107.28164780454176</v>
      </c>
      <c r="G20" s="20">
        <f>IFERROR(IF(VLOOKUP($B20,'[5]Table 1'!$B$13:$C$34,2,FALSE)&lt;&gt;0,VLOOKUP($B20,'[5]Table 1'!$B$13:$C$34,2,FALSE),0),0)</f>
        <v>0</v>
      </c>
      <c r="H20" s="20"/>
      <c r="I20" s="20">
        <f>INDEX('[1]Table 5'!$R$16:$R$41,MATCH(B20,'[1]Table 5'!$L$16:$L$41,0),1)</f>
        <v>50.442611815829672</v>
      </c>
      <c r="J20" s="20">
        <f>INDEX('[2]Table 5'!$R$16:$R$41,MATCH(B20,'[2]Table 5'!$L$16:$L$41,0),1)</f>
        <v>50.696092277215747</v>
      </c>
      <c r="K20" s="20">
        <f>INDEX('[3]Table 5'!$R$16:$R$41,MATCH(B20,'[3]Table 5'!$L$16:$L$41,0),1)</f>
        <v>42.435442895096415</v>
      </c>
      <c r="L20" s="20">
        <f>INDEX('[4]Table 5'!$R$16:$R$41,MATCH(B20,'[4]Table 5'!$L$16:$L$41,0),1)</f>
        <v>42.436753532111808</v>
      </c>
      <c r="M20" s="20">
        <f>INDEX('[5]Table 5'!$R$16:$R$41,MATCH(B20,'[5]Table 5'!$L$16:$L$41,0),1)</f>
        <v>0</v>
      </c>
    </row>
    <row r="21" spans="2:13" ht="15.75" x14ac:dyDescent="0.25">
      <c r="B21" s="19">
        <f t="shared" si="0"/>
        <v>2036</v>
      </c>
      <c r="C21" s="20">
        <f>IFERROR(IF(VLOOKUP($B21,'[1]Table 1'!$B$13:$C$35,2,FALSE)&lt;&gt;0,VLOOKUP($B21,'[1]Table 1'!$B$13:$C$35,2,FALSE),0),0)</f>
        <v>129.65320016833621</v>
      </c>
      <c r="D21" s="20">
        <f>IFERROR(IF(VLOOKUP($B21,'[2]Table 1'!$B$13:$C$35,2,FALSE)&lt;&gt;0,VLOOKUP($B21,'[2]Table 1'!$B$13:$C$35,2,FALSE),0),0)</f>
        <v>130.30472378727256</v>
      </c>
      <c r="E21" s="20">
        <f>IFERROR(IF(VLOOKUP($B21,'[3]Table 1'!$B$13:$G$40,2,FALSE)&lt;&gt;0,VLOOKUP($B21,'[3]Table 1'!$B$13:$G$40,2,FALSE),0),0)</f>
        <v>109.0722857888052</v>
      </c>
      <c r="F21" s="20">
        <f>IFERROR(IF(VLOOKUP($B21,'[4]Table 1'!$B$13:$C$35,2,FALSE)&lt;&gt;0,VLOOKUP($B21,'[4]Table 1'!$B$13:$C$33,2,FALSE),0),0)</f>
        <v>109.62038772744241</v>
      </c>
      <c r="G21" s="20">
        <f>IFERROR(IF(VLOOKUP($B21,'[5]Table 1'!$B$13:$C$34,2,FALSE)&lt;&gt;0,VLOOKUP($B21,'[5]Table 1'!$B$13:$C$34,2,FALSE),0),0)</f>
        <v>0</v>
      </c>
      <c r="H21" s="20"/>
      <c r="I21" s="20">
        <f>INDEX('[1]Table 5'!$R$16:$R$41,MATCH(B21,'[1]Table 5'!$L$16:$L$41,0),1)</f>
        <v>51.764751845342658</v>
      </c>
      <c r="J21" s="20">
        <f>INDEX('[2]Table 5'!$R$16:$R$41,MATCH(B21,'[2]Table 5'!$L$16:$L$41,0),1)</f>
        <v>52.024876226475044</v>
      </c>
      <c r="K21" s="20">
        <f>INDEX('[3]Table 5'!$R$16:$R$41,MATCH(B21,'[3]Table 5'!$L$16:$L$41,0),1)</f>
        <v>43.547708808815671</v>
      </c>
      <c r="L21" s="20">
        <f>INDEX('[4]Table 5'!$R$16:$R$41,MATCH(B21,'[4]Table 5'!$L$16:$L$41,0),1)</f>
        <v>43.547967646299199</v>
      </c>
      <c r="M21" s="20">
        <f>INDEX('[5]Table 5'!$R$16:$R$41,MATCH(B21,'[5]Table 5'!$L$16:$L$41,0),1)</f>
        <v>0</v>
      </c>
    </row>
    <row r="22" spans="2:13" ht="15.75" x14ac:dyDescent="0.25">
      <c r="B22" s="19">
        <f t="shared" si="0"/>
        <v>2037</v>
      </c>
      <c r="C22" s="20">
        <f>IFERROR(IF(VLOOKUP($B22,'[1]Table 1'!$B$13:$C$35,2,FALSE)&lt;&gt;0,VLOOKUP($B22,'[1]Table 1'!$B$13:$C$35,2,FALSE),0),0)</f>
        <v>132.47963989395157</v>
      </c>
      <c r="D22" s="20">
        <f>IFERROR(IF(VLOOKUP($B22,'[2]Table 1'!$B$13:$C$35,2,FALSE)&lt;&gt;0,VLOOKUP($B22,'[2]Table 1'!$B$13:$C$35,2,FALSE),0),0)</f>
        <v>133.14536672758953</v>
      </c>
      <c r="E22" s="20">
        <f>IFERROR(IF(VLOOKUP($B22,'[3]Table 1'!$B$13:$G$40,2,FALSE)&lt;&gt;0,VLOOKUP($B22,'[3]Table 1'!$B$13:$G$40,2,FALSE),0),0)</f>
        <v>111.45006158698747</v>
      </c>
      <c r="F22" s="20">
        <f>IFERROR(IF(VLOOKUP($B22,'[4]Table 1'!$B$13:$C$35,2,FALSE)&lt;&gt;0,VLOOKUP($B22,'[4]Table 1'!$B$13:$C$33,2,FALSE),0),0)</f>
        <v>112.01011214772609</v>
      </c>
      <c r="G22" s="20">
        <f>IFERROR(IF(VLOOKUP($B22,'[5]Table 1'!$B$13:$C$34,2,FALSE)&lt;&gt;0,VLOOKUP($B22,'[5]Table 1'!$B$13:$C$34,2,FALSE),0),0)</f>
        <v>0</v>
      </c>
      <c r="H22" s="20"/>
      <c r="I22" s="20">
        <f>INDEX('[1]Table 5'!$R$16:$R$41,MATCH(B22,'[1]Table 5'!$L$16:$L$41,0),1)</f>
        <v>53.160911572103942</v>
      </c>
      <c r="J22" s="20">
        <f>INDEX('[2]Table 5'!$R$16:$R$41,MATCH(B22,'[2]Table 5'!$L$16:$L$41,0),1)</f>
        <v>53.428051831260248</v>
      </c>
      <c r="K22" s="20">
        <f>INDEX('[3]Table 5'!$R$16:$R$41,MATCH(B22,'[3]Table 5'!$L$16:$L$41,0),1)</f>
        <v>44.72224466698507</v>
      </c>
      <c r="L22" s="20">
        <f>INDEX('[4]Table 5'!$R$16:$R$41,MATCH(B22,'[4]Table 5'!$L$16:$L$41,0),1)</f>
        <v>44.72138384120867</v>
      </c>
      <c r="M22" s="20">
        <f>INDEX('[5]Table 5'!$R$16:$R$41,MATCH(B22,'[5]Table 5'!$L$16:$L$41,0),1)</f>
        <v>0</v>
      </c>
    </row>
    <row r="23" spans="2:13" ht="15.75" x14ac:dyDescent="0.25">
      <c r="B23" s="19">
        <f t="shared" si="0"/>
        <v>2038</v>
      </c>
      <c r="C23" s="20">
        <f>IFERROR(IF(VLOOKUP($B23,'[1]Table 1'!$B$13:$C$35,2,FALSE)&lt;&gt;0,VLOOKUP($B23,'[1]Table 1'!$B$13:$C$35,2,FALSE),0),0)</f>
        <v>135.36769607558858</v>
      </c>
      <c r="D23" s="20">
        <f>IFERROR(IF(VLOOKUP($B23,'[2]Table 1'!$B$13:$C$35,2,FALSE)&lt;&gt;0,VLOOKUP($B23,'[2]Table 1'!$B$13:$C$35,2,FALSE),0),0)</f>
        <v>136.0479357543604</v>
      </c>
      <c r="E23" s="20">
        <f>IFERROR(IF(VLOOKUP($B23,'[3]Table 1'!$B$13:$G$40,2,FALSE)&lt;&gt;0,VLOOKUP($B23,'[3]Table 1'!$B$13:$G$40,2,FALSE),0),0)</f>
        <v>113.87967295646115</v>
      </c>
      <c r="F23" s="20">
        <f>IFERROR(IF(VLOOKUP($B23,'[4]Table 1'!$B$13:$C$35,2,FALSE)&lt;&gt;0,VLOOKUP($B23,'[4]Table 1'!$B$13:$C$33,2,FALSE),0),0)</f>
        <v>114.45193261955895</v>
      </c>
      <c r="G23" s="20">
        <f>IFERROR(IF(VLOOKUP($B23,'[5]Table 1'!$B$13:$C$34,2,FALSE)&lt;&gt;0,VLOOKUP($B23,'[5]Table 1'!$B$13:$C$34,2,FALSE),0),0)</f>
        <v>0</v>
      </c>
      <c r="H23" s="20"/>
      <c r="I23" s="20">
        <f>INDEX('[1]Table 5'!$R$16:$R$41,MATCH(B23,'[1]Table 5'!$L$16:$L$41,0),1)</f>
        <v>54.640650232548779</v>
      </c>
      <c r="J23" s="20">
        <f>INDEX('[2]Table 5'!$R$16:$R$41,MATCH(B23,'[2]Table 5'!$L$16:$L$41,0),1)</f>
        <v>54.915226364370639</v>
      </c>
      <c r="K23" s="20">
        <f>INDEX('[3]Table 5'!$R$16:$R$41,MATCH(B23,'[3]Table 5'!$L$16:$L$41,0),1)</f>
        <v>45.967092290146162</v>
      </c>
      <c r="L23" s="20">
        <f>INDEX('[4]Table 5'!$R$16:$R$41,MATCH(B23,'[4]Table 5'!$L$16:$L$41,0),1)</f>
        <v>45.96503781546506</v>
      </c>
      <c r="M23" s="20">
        <f>INDEX('[5]Table 5'!$R$16:$R$41,MATCH(B23,'[5]Table 5'!$L$16:$L$41,0),1)</f>
        <v>0</v>
      </c>
    </row>
    <row r="24" spans="2:13" ht="15.75" x14ac:dyDescent="0.25">
      <c r="B24" s="19">
        <f t="shared" si="0"/>
        <v>2039</v>
      </c>
      <c r="C24" s="20">
        <f>IFERROR(IF(VLOOKUP($B24,'[1]Table 1'!$B$13:$C$35,2,FALSE)&lt;&gt;0,VLOOKUP($B24,'[1]Table 1'!$B$13:$C$35,2,FALSE),0),0)</f>
        <v>138.31871182643511</v>
      </c>
      <c r="D24" s="20">
        <f>IFERROR(IF(VLOOKUP($B24,'[2]Table 1'!$B$13:$C$35,2,FALSE)&lt;&gt;0,VLOOKUP($B24,'[2]Table 1'!$B$13:$C$35,2,FALSE),0),0)</f>
        <v>139.01378073008556</v>
      </c>
      <c r="E24" s="20">
        <f>IFERROR(IF(VLOOKUP($B24,'[3]Table 1'!$B$13:$G$40,2,FALSE)&lt;&gt;0,VLOOKUP($B24,'[3]Table 1'!$B$13:$G$40,2,FALSE),0),0)</f>
        <v>116.36224980705713</v>
      </c>
      <c r="F24" s="20">
        <f>IFERROR(IF(VLOOKUP($B24,'[4]Table 1'!$B$13:$C$35,2,FALSE)&lt;&gt;0,VLOOKUP($B24,'[4]Table 1'!$B$13:$C$33,2,FALSE),0),0)</f>
        <v>116.94698473071068</v>
      </c>
      <c r="G24" s="20">
        <f>IFERROR(IF(VLOOKUP($B24,'[5]Table 1'!$B$13:$C$34,2,FALSE)&lt;&gt;0,VLOOKUP($B24,'[5]Table 1'!$B$13:$C$34,2,FALSE),0),0)</f>
        <v>0</v>
      </c>
      <c r="H24" s="20"/>
      <c r="I24" s="20">
        <f>INDEX('[1]Table 5'!$R$16:$R$41,MATCH(B24,'[1]Table 5'!$L$16:$L$41,0),1)</f>
        <v>56.099166559389694</v>
      </c>
      <c r="J24" s="20">
        <f>INDEX('[2]Table 5'!$R$16:$R$41,MATCH(B24,'[2]Table 5'!$L$16:$L$41,0),1)</f>
        <v>56.381071918984631</v>
      </c>
      <c r="K24" s="20">
        <f>INDEX('[3]Table 5'!$R$16:$R$41,MATCH(B24,'[3]Table 5'!$L$16:$L$41,0),1)</f>
        <v>47.194086374536539</v>
      </c>
      <c r="L24" s="20">
        <f>INDEX('[4]Table 5'!$R$16:$R$41,MATCH(B24,'[4]Table 5'!$L$16:$L$41,0),1)</f>
        <v>47.197092357197903</v>
      </c>
      <c r="M24" s="20">
        <f>INDEX('[5]Table 5'!$R$16:$R$41,MATCH(B24,'[5]Table 5'!$L$16:$L$41,0),1)</f>
        <v>0</v>
      </c>
    </row>
    <row r="25" spans="2:13" ht="15.75" x14ac:dyDescent="0.25">
      <c r="B25" s="19">
        <f t="shared" si="0"/>
        <v>2040</v>
      </c>
      <c r="C25" s="20">
        <f>IFERROR(IF(VLOOKUP($B25,'[1]Table 1'!$B$13:$C$35,2,FALSE)&lt;&gt;0,VLOOKUP($B25,'[1]Table 1'!$B$13:$C$35,2,FALSE),0),0)</f>
        <v>141.33405978634943</v>
      </c>
      <c r="D25" s="20">
        <f>IFERROR(IF(VLOOKUP($B25,'[2]Table 1'!$B$13:$C$35,2,FALSE)&lt;&gt;0,VLOOKUP($B25,'[2]Table 1'!$B$13:$C$35,2,FALSE),0),0)</f>
        <v>142.04428119231096</v>
      </c>
      <c r="E25" s="20">
        <f>IFERROR(IF(VLOOKUP($B25,'[3]Table 1'!$B$13:$G$40,2,FALSE)&lt;&gt;0,VLOOKUP($B25,'[3]Table 1'!$B$13:$G$40,2,FALSE),0),0)</f>
        <v>118.89894688826641</v>
      </c>
      <c r="F25" s="20">
        <f>IFERROR(IF(VLOOKUP($B25,'[4]Table 1'!$B$13:$C$35,2,FALSE)&lt;&gt;0,VLOOKUP($B25,'[4]Table 1'!$B$13:$C$33,2,FALSE),0),0)</f>
        <v>119.49642903343359</v>
      </c>
      <c r="G25" s="20">
        <f>IFERROR(IF(VLOOKUP($B25,'[5]Table 1'!$B$13:$C$34,2,FALSE)&lt;&gt;0,VLOOKUP($B25,'[5]Table 1'!$B$13:$C$34,2,FALSE),0),0)</f>
        <v>0</v>
      </c>
      <c r="H25" s="20"/>
      <c r="I25" s="20">
        <f>INDEX('[1]Table 5'!$R$16:$R$41,MATCH(B25,'[1]Table 5'!$L$16:$L$41,0),1)</f>
        <v>57.476361580980182</v>
      </c>
      <c r="J25" s="20">
        <f>INDEX('[2]Table 5'!$R$16:$R$41,MATCH(B25,'[2]Table 5'!$L$16:$L$41,0),1)</f>
        <v>57.765187518573043</v>
      </c>
      <c r="K25" s="20">
        <f>INDEX('[3]Table 5'!$R$16:$R$41,MATCH(B25,'[3]Table 5'!$L$16:$L$41,0),1)</f>
        <v>48.352667950516206</v>
      </c>
      <c r="L25" s="20">
        <f>INDEX('[4]Table 5'!$R$16:$R$41,MATCH(B25,'[4]Table 5'!$L$16:$L$41,0),1)</f>
        <v>48.354557563990355</v>
      </c>
      <c r="M25" s="20">
        <f>INDEX('[5]Table 5'!$R$16:$R$41,MATCH(B25,'[5]Table 5'!$L$16:$L$41,0),1)</f>
        <v>0</v>
      </c>
    </row>
    <row r="26" spans="2:13" ht="15.75" x14ac:dyDescent="0.25">
      <c r="B26" s="19">
        <f t="shared" si="0"/>
        <v>2041</v>
      </c>
      <c r="C26" s="20">
        <f>IFERROR(IF(VLOOKUP($B26,'[1]Table 1'!$B$13:$C$35,2,FALSE)&lt;&gt;0,VLOOKUP($B26,'[1]Table 1'!$B$13:$C$35,2,FALSE),0),0)</f>
        <v>144.41514222195062</v>
      </c>
      <c r="D26" s="20">
        <f>IFERROR(IF(VLOOKUP($B26,'[2]Table 1'!$B$13:$C$35,2,FALSE)&lt;&gt;0,VLOOKUP($B26,'[2]Table 1'!$B$13:$C$35,2,FALSE),0),0)</f>
        <v>145.14084645422173</v>
      </c>
      <c r="E26" s="20">
        <f>IFERROR(IF(VLOOKUP($B26,'[3]Table 1'!$B$13:$G$40,2,FALSE)&lt;&gt;0,VLOOKUP($B26,'[3]Table 1'!$B$13:$G$40,2,FALSE),0),0)</f>
        <v>121.49094387344255</v>
      </c>
      <c r="F26" s="20">
        <f>IFERROR(IF(VLOOKUP($B26,'[4]Table 1'!$B$13:$C$35,2,FALSE)&lt;&gt;0,VLOOKUP($B26,'[4]Table 1'!$B$13:$C$33,2,FALSE),0),0)</f>
        <v>122.10145112908799</v>
      </c>
      <c r="G26" s="20">
        <f>IFERROR(IF(VLOOKUP($B26,'[5]Table 1'!$B$13:$C$34,2,FALSE)&lt;&gt;0,VLOOKUP($B26,'[5]Table 1'!$B$13:$C$34,2,FALSE),0),0)</f>
        <v>0</v>
      </c>
      <c r="H26" s="20"/>
      <c r="I26" s="20">
        <f>INDEX('[1]Table 5'!$R$16:$R$41,MATCH(B26,'[1]Table 5'!$L$16:$L$41,0),1)</f>
        <v>59.16023421015958</v>
      </c>
      <c r="J26" s="20">
        <f>INDEX('[2]Table 5'!$R$16:$R$41,MATCH(B26,'[2]Table 5'!$L$16:$L$41,0),1)</f>
        <v>59.457521819255888</v>
      </c>
      <c r="K26" s="20">
        <f>INDEX('[3]Table 5'!$R$16:$R$41,MATCH(B26,'[3]Table 5'!$L$16:$L$41,0),1)</f>
        <v>49.769245685607544</v>
      </c>
      <c r="L26" s="20">
        <f>INDEX('[4]Table 5'!$R$16:$R$41,MATCH(B26,'[4]Table 5'!$L$16:$L$41,0),1)</f>
        <v>49.763213168258623</v>
      </c>
      <c r="M26" s="20">
        <f>INDEX('[5]Table 5'!$R$16:$R$41,MATCH(B26,'[5]Table 5'!$L$16:$L$41,0),1)</f>
        <v>0</v>
      </c>
    </row>
    <row r="27" spans="2:13" ht="15.75" x14ac:dyDescent="0.25">
      <c r="B27" s="19">
        <f t="shared" si="0"/>
        <v>2042</v>
      </c>
      <c r="C27" s="20">
        <f>IFERROR(IF(VLOOKUP($B27,'[1]Table 1'!$B$13:$C$35,2,FALSE)&lt;&gt;0,VLOOKUP($B27,'[1]Table 1'!$B$13:$C$35,2,FALSE),0),0)</f>
        <v>147.56339232779405</v>
      </c>
      <c r="D27" s="20">
        <f>IFERROR(IF(VLOOKUP($B27,'[2]Table 1'!$B$13:$C$35,2,FALSE)&lt;&gt;0,VLOOKUP($B27,'[2]Table 1'!$B$13:$C$35,2,FALSE),0),0)</f>
        <v>148.30491691235585</v>
      </c>
      <c r="E27" s="20">
        <f>IFERROR(IF(VLOOKUP($B27,'[3]Table 1'!$B$13:$G$40,2,FALSE)&lt;&gt;0,VLOOKUP($B27,'[3]Table 1'!$B$13:$G$40,2,FALSE),0),0)</f>
        <v>124.1394464544305</v>
      </c>
      <c r="F27" s="20">
        <f>IFERROR(IF(VLOOKUP($B27,'[4]Table 1'!$B$13:$C$35,2,FALSE)&lt;&gt;0,VLOOKUP($B27,'[4]Table 1'!$B$13:$C$33,2,FALSE),0),0)</f>
        <v>124.76326276827186</v>
      </c>
      <c r="G27" s="20">
        <f>IFERROR(IF(VLOOKUP($B27,'[5]Table 1'!$B$13:$C$34,2,FALSE)&lt;&gt;0,VLOOKUP($B27,'[5]Table 1'!$B$13:$C$34,2,FALSE),0),0)</f>
        <v>0</v>
      </c>
      <c r="H27" s="20"/>
      <c r="I27" s="20">
        <f>INDEX('[1]Table 5'!$R$16:$R$41,MATCH(B27,'[1]Table 5'!$L$16:$L$41,0),1)</f>
        <v>60.700838420019259</v>
      </c>
      <c r="J27" s="20">
        <f>INDEX('[2]Table 5'!$R$16:$R$41,MATCH(B27,'[2]Table 5'!$L$16:$L$41,0),1)</f>
        <v>61.005867758813338</v>
      </c>
      <c r="K27" s="20">
        <f>INDEX('[3]Table 5'!$R$16:$R$41,MATCH(B27,'[3]Table 5'!$L$16:$L$41,0),1)</f>
        <v>51.065297171009171</v>
      </c>
      <c r="L27" s="20">
        <f>INDEX('[4]Table 5'!$R$16:$R$41,MATCH(B27,'[4]Table 5'!$L$16:$L$41,0),1)</f>
        <v>51.071657667416197</v>
      </c>
      <c r="M27" s="20">
        <f>INDEX('[5]Table 5'!$R$16:$R$41,MATCH(B27,'[5]Table 5'!$L$16:$L$41,0),1)</f>
        <v>0</v>
      </c>
    </row>
    <row r="28" spans="2:13" ht="15.75" x14ac:dyDescent="0.25">
      <c r="B28" s="19">
        <f t="shared" si="0"/>
        <v>2043</v>
      </c>
      <c r="C28" s="20">
        <f>IFERROR(IF(VLOOKUP($B28,'[1]Table 1'!$B$13:$C$35,2,FALSE)&lt;&gt;0,VLOOKUP($B28,'[1]Table 1'!$B$13:$C$35,2,FALSE),0),0)</f>
        <v>150.78027432646144</v>
      </c>
      <c r="D28" s="20">
        <f>IFERROR(IF(VLOOKUP($B28,'[2]Table 1'!$B$13:$C$35,2,FALSE)&lt;&gt;0,VLOOKUP($B28,'[2]Table 1'!$B$13:$C$35,2,FALSE),0),0)</f>
        <v>151.53796414719744</v>
      </c>
      <c r="E28" s="20">
        <f>IFERROR(IF(VLOOKUP($B28,'[3]Table 1'!$B$13:$G$40,2,FALSE)&lt;&gt;0,VLOOKUP($B28,'[3]Table 1'!$B$13:$G$40,2,FALSE),0),0)</f>
        <v>126.8456864257691</v>
      </c>
      <c r="F28" s="20">
        <f>IFERROR(IF(VLOOKUP($B28,'[4]Table 1'!$B$13:$C$35,2,FALSE)&lt;&gt;0,VLOOKUP($B28,'[4]Table 1'!$B$13:$C$33,2,FALSE),0),0)</f>
        <v>127.48310193544633</v>
      </c>
      <c r="G28" s="20">
        <f>IFERROR(IF(VLOOKUP($B28,'[5]Table 1'!$B$13:$C$34,2,FALSE)&lt;&gt;0,VLOOKUP($B28,'[5]Table 1'!$B$13:$C$34,2,FALSE),0),0)</f>
        <v>0</v>
      </c>
      <c r="H28" s="20"/>
      <c r="I28" s="20">
        <f>INDEX('[1]Table 5'!$R$16:$R$41,MATCH(B28,'[1]Table 5'!$L$16:$L$41,0),1)</f>
        <v>62.350278835034359</v>
      </c>
      <c r="J28" s="20">
        <f>INDEX('[2]Table 5'!$R$16:$R$41,MATCH(B28,'[2]Table 5'!$L$16:$L$41,0),1)</f>
        <v>62.663596819130021</v>
      </c>
      <c r="K28" s="20">
        <f>INDEX('[3]Table 5'!$R$16:$R$41,MATCH(B28,'[3]Table 5'!$L$16:$L$41,0),1)</f>
        <v>52.452908399305485</v>
      </c>
      <c r="L28" s="20">
        <f>INDEX('[4]Table 5'!$R$16:$R$41,MATCH(B28,'[4]Table 5'!$L$16:$L$41,0),1)</f>
        <v>52.451006960594249</v>
      </c>
      <c r="M28" s="20">
        <f>INDEX('[5]Table 5'!$R$16:$R$41,MATCH(B28,'[5]Table 5'!$L$16:$L$41,0),1)</f>
        <v>0</v>
      </c>
    </row>
    <row r="29" spans="2:13" ht="15.75" x14ac:dyDescent="0.25">
      <c r="B29" s="19"/>
      <c r="C29" s="21"/>
      <c r="D29" s="21"/>
      <c r="E29" s="21"/>
      <c r="F29" s="21"/>
      <c r="G29" s="21"/>
      <c r="H29" s="21"/>
      <c r="I29" s="21"/>
      <c r="J29" s="21"/>
      <c r="K29" s="21"/>
    </row>
    <row r="30" spans="2:13" x14ac:dyDescent="0.2">
      <c r="B30" s="14" t="str">
        <f>"Nominal Levelized Payment at "&amp;TEXT($B$41,"0.000%")&amp;" Discount Rate (2)"</f>
        <v>Nominal Levelized Payment at 6.380% Discount Rate (2)</v>
      </c>
    </row>
    <row r="31" spans="2:13" x14ac:dyDescent="0.2">
      <c r="B31" s="22" t="str">
        <f>$B$11&amp;" - "&amp;B25</f>
        <v>2026 - 2040</v>
      </c>
      <c r="C31" s="23">
        <f t="shared" ref="C31:F33" si="1">PMT($B$41,COUNT(C11:C25),-NPV($B$41,C11:C25))</f>
        <v>62.705606305479584</v>
      </c>
      <c r="D31" s="23">
        <f t="shared" ref="D31:E31" si="2">PMT($B$41,COUNT(D11:D25),-NPV($B$41,D11:D25))</f>
        <v>63.020709854753363</v>
      </c>
      <c r="E31" s="23">
        <f t="shared" si="2"/>
        <v>59.882317402298952</v>
      </c>
      <c r="F31" s="23">
        <f t="shared" si="1"/>
        <v>60.183233570149689</v>
      </c>
      <c r="G31" s="23">
        <f t="shared" ref="G31" si="3">PMT($B$41,COUNT(G11:G25),-NPV($B$41,G11:G25))</f>
        <v>0</v>
      </c>
      <c r="H31" s="23"/>
      <c r="I31" s="23">
        <f t="shared" ref="I31:L33" si="4">PMT($B$41,COUNT(I11:I25),-NPV($B$41,I11:I25))</f>
        <v>25.003452912256748</v>
      </c>
      <c r="J31" s="23">
        <f t="shared" ref="J31:K31" si="5">PMT($B$41,COUNT(J11:J25),-NPV($B$41,J11:J25))</f>
        <v>25.129098404278135</v>
      </c>
      <c r="K31" s="23">
        <f t="shared" si="5"/>
        <v>23.810425474489911</v>
      </c>
      <c r="L31" s="23">
        <f t="shared" si="4"/>
        <v>23.810548096098572</v>
      </c>
      <c r="M31" s="23">
        <f t="shared" ref="M31" si="6">PMT($B$41,COUNT(M11:M25),-NPV($B$41,M11:M25))</f>
        <v>0</v>
      </c>
    </row>
    <row r="32" spans="2:13" x14ac:dyDescent="0.2">
      <c r="B32" s="22" t="str">
        <f>$B$12&amp;" - "&amp;B26</f>
        <v>2027 - 2041</v>
      </c>
      <c r="C32" s="23">
        <f t="shared" si="1"/>
        <v>72.733305168138344</v>
      </c>
      <c r="D32" s="23">
        <f t="shared" ref="D32:E32" si="7">PMT($B$41,COUNT(D12:D26),-NPV($B$41,D12:D26))</f>
        <v>73.098799163958148</v>
      </c>
      <c r="E32" s="23">
        <f t="shared" si="7"/>
        <v>68.773162472725517</v>
      </c>
      <c r="F32" s="23">
        <f t="shared" si="1"/>
        <v>69.118756253995485</v>
      </c>
      <c r="G32" s="23">
        <f t="shared" ref="G32" si="8">PMT($B$41,COUNT(G12:G26),-NPV($B$41,G12:G26))</f>
        <v>0</v>
      </c>
      <c r="H32" s="23"/>
      <c r="I32" s="23">
        <f t="shared" si="4"/>
        <v>29.067690852249296</v>
      </c>
      <c r="J32" s="23">
        <f t="shared" ref="J32:K32" si="9">PMT($B$41,COUNT(J12:J26),-NPV($B$41,J12:J26))</f>
        <v>29.213759650501807</v>
      </c>
      <c r="K32" s="23">
        <f t="shared" si="9"/>
        <v>27.406620870948657</v>
      </c>
      <c r="L32" s="23">
        <f t="shared" si="4"/>
        <v>27.40649955224584</v>
      </c>
      <c r="M32" s="23">
        <f t="shared" ref="M32" si="10">PMT($B$41,COUNT(M12:M26),-NPV($B$41,M12:M26))</f>
        <v>0</v>
      </c>
    </row>
    <row r="33" spans="2:15" x14ac:dyDescent="0.2">
      <c r="B33" s="22" t="str">
        <f>$B$13&amp;" - "&amp;B27</f>
        <v>2028 - 2042</v>
      </c>
      <c r="C33" s="23">
        <f t="shared" si="1"/>
        <v>83.532161588192395</v>
      </c>
      <c r="D33" s="23">
        <f t="shared" ref="D33:E33" si="11">PMT($B$41,COUNT(D13:D27),-NPV($B$41,D13:D27))</f>
        <v>83.951921194163219</v>
      </c>
      <c r="E33" s="23">
        <f t="shared" si="11"/>
        <v>78.341777159034507</v>
      </c>
      <c r="F33" s="23">
        <f t="shared" si="1"/>
        <v>78.735454431190448</v>
      </c>
      <c r="G33" s="23">
        <f t="shared" ref="G33" si="12">PMT($B$41,COUNT(G13:G27),-NPV($B$41,G13:G27))</f>
        <v>0</v>
      </c>
      <c r="H33" s="23"/>
      <c r="I33" s="23">
        <f t="shared" si="4"/>
        <v>33.455523385085698</v>
      </c>
      <c r="J33" s="23">
        <f t="shared" ref="J33:K33" si="13">PMT($B$41,COUNT(J13:J27),-NPV($B$41,J13:J27))</f>
        <v>33.623641593050969</v>
      </c>
      <c r="K33" s="23">
        <f t="shared" si="13"/>
        <v>31.286343481585519</v>
      </c>
      <c r="L33" s="23">
        <f t="shared" si="4"/>
        <v>31.286479874333033</v>
      </c>
      <c r="M33" s="23">
        <f t="shared" ref="M33" si="14">PMT($B$41,COUNT(M13:M27),-NPV($B$41,M13:M27))</f>
        <v>0</v>
      </c>
    </row>
    <row r="35" spans="2:15" x14ac:dyDescent="0.2">
      <c r="B35" s="14" t="str">
        <f>"(1)   Capacity costs are allocated based on assumed "&amp;TEXT(B43,"00%")&amp;" capacity factor."</f>
        <v>(1)   Capacity costs are allocated based on assumed 00% capacity factor.</v>
      </c>
    </row>
    <row r="36" spans="2:15" s="1" customFormat="1" x14ac:dyDescent="0.2">
      <c r="B36" s="14" t="str">
        <f>"(2)   "&amp;MID(Total!B36,7,99)</f>
        <v>(2)   Official Forward Price Curve Dated December 2025</v>
      </c>
      <c r="C36" s="14"/>
      <c r="D36" s="14"/>
      <c r="E36" s="14"/>
      <c r="F36" s="14"/>
      <c r="G36" s="14"/>
      <c r="H36" s="14"/>
      <c r="I36" s="14"/>
      <c r="J36" s="14"/>
      <c r="K36" s="14"/>
      <c r="N36"/>
      <c r="O36"/>
    </row>
    <row r="37" spans="2:15" x14ac:dyDescent="0.2">
      <c r="B37" s="14" t="s">
        <v>12</v>
      </c>
    </row>
    <row r="40" spans="2:15" x14ac:dyDescent="0.2">
      <c r="B40" s="14" t="str">
        <f>MID(Total!B36,7,99)</f>
        <v>Official Forward Price Curve Dated December 2025</v>
      </c>
    </row>
    <row r="41" spans="2:15" x14ac:dyDescent="0.2">
      <c r="B41" s="24">
        <f>Discount_Rate</f>
        <v>6.3799999999999996E-2</v>
      </c>
    </row>
    <row r="43" spans="2:15" x14ac:dyDescent="0.2">
      <c r="B43" s="54"/>
    </row>
  </sheetData>
  <printOptions horizontalCentered="1"/>
  <pageMargins left="0.25" right="0.25" top="0.75" bottom="0.75" header="0.3" footer="0.2"/>
  <pageSetup scale="65" orientation="landscape" r:id="rId1"/>
  <headerFooter alignWithMargins="0">
    <oddFooter>&amp;L&amp;8NPC Group - &amp;F   ( &amp;A )&amp;C&amp;8Page &amp;P of &amp;N&amp;R&amp;8&amp;D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660F878EBB14C9C0EACA228947D1F" ma:contentTypeVersion="10" ma:contentTypeDescription="Create a new document." ma:contentTypeScope="" ma:versionID="6d22e891dda8e2264cc044b07f753d31">
  <xsd:schema xmlns:xsd="http://www.w3.org/2001/XMLSchema" xmlns:xs="http://www.w3.org/2001/XMLSchema" xmlns:p="http://schemas.microsoft.com/office/2006/metadata/properties" xmlns:ns1="http://schemas.microsoft.com/sharepoint/v3" xmlns:ns2="8d2ccb4a-2d3f-46ea-a8a7-18f2e8db3b7b" xmlns:ns3="dd95e425-d589-47f0-8d5d-becc6564e3ac" targetNamespace="http://schemas.microsoft.com/office/2006/metadata/properties" ma:root="true" ma:fieldsID="ad2a839b5969f61ed6e7d502d8ea4ef1" ns1:_="" ns2:_="" ns3:_="">
    <xsd:import namespace="http://schemas.microsoft.com/sharepoint/v3"/>
    <xsd:import namespace="8d2ccb4a-2d3f-46ea-a8a7-18f2e8db3b7b"/>
    <xsd:import namespace="dd95e425-d589-47f0-8d5d-becc6564e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ccb4a-2d3f-46ea-a8a7-18f2e8db3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5e425-d589-47f0-8d5d-becc6564e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0F6C09-3966-441B-A299-5A9F83BD4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2ccb4a-2d3f-46ea-a8a7-18f2e8db3b7b"/>
    <ds:schemaRef ds:uri="dd95e425-d589-47f0-8d5d-becc6564e3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9E2B1-2992-493C-B8A1-D9C2AC20B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3BA98-97DD-4864-9944-488C47958D9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Summary</vt:lpstr>
      <vt:lpstr>Incremental</vt:lpstr>
      <vt:lpstr>Total</vt:lpstr>
      <vt:lpstr>Energy</vt:lpstr>
      <vt:lpstr>Capacity</vt:lpstr>
      <vt:lpstr>Summary!Discount_Rate</vt:lpstr>
      <vt:lpstr>Discount_Rate</vt:lpstr>
      <vt:lpstr>Capacity!Print_Area</vt:lpstr>
      <vt:lpstr>Energy!Print_Area</vt:lpstr>
      <vt:lpstr>Incremental!Print_Area</vt:lpstr>
      <vt:lpstr>Total!Print_Area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Farmer</dc:creator>
  <cp:lastModifiedBy>Fred Nass</cp:lastModifiedBy>
  <cp:lastPrinted>2026-03-24T17:51:34Z</cp:lastPrinted>
  <dcterms:created xsi:type="dcterms:W3CDTF">2006-07-10T20:43:15Z</dcterms:created>
  <dcterms:modified xsi:type="dcterms:W3CDTF">2026-03-24T21:20:45Z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0x010100602660F878EBB14C9C0EACA228947D1F</vt:lpwstr>
  </property>
</Properties>
</file>