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30\"/>
    </mc:Choice>
  </mc:AlternateContent>
  <xr:revisionPtr revIDLastSave="0" documentId="8_{4CAA2103-E724-4819-B20D-46F0FB265FDD}" xr6:coauthVersionLast="47" xr6:coauthVersionMax="47" xr10:uidLastSave="{00000000-0000-0000-0000-000000000000}"/>
  <bookViews>
    <workbookView xWindow="1500" yWindow="855" windowWidth="25020" windowHeight="19845" xr2:uid="{00000000-000D-0000-FFFF-FFFF00000000}"/>
  </bookViews>
  <sheets>
    <sheet name="Summary" sheetId="14" r:id="rId1"/>
    <sheet name="Incremental" sheetId="6" r:id="rId2"/>
    <sheet name="Total" sheetId="5" r:id="rId3"/>
    <sheet name="Energy" sheetId="12" r:id="rId4"/>
    <sheet name="Capacity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Order1" hidden="1">255</definedName>
    <definedName name="_Order2" hidden="1">0</definedName>
    <definedName name="Discount_Rate" localSheetId="0">Total!$B$42</definedName>
    <definedName name="Discount_Rate">Total!$B$42</definedName>
    <definedName name="_xlnm.Print_Area" localSheetId="4">Capacity!$A$1:$N$38</definedName>
    <definedName name="_xlnm.Print_Area" localSheetId="3">Energy!$A$1:$G$38</definedName>
    <definedName name="_xlnm.Print_Area" localSheetId="1">Incremental!$A$1:$E$38</definedName>
    <definedName name="_xlnm.Print_Area" localSheetId="2">Total!$A$1:$G$38</definedName>
    <definedName name="Study_CF">#REF!</definedName>
    <definedName name="Study_MW">#REF!</definedName>
    <definedName name="Study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4" l="1"/>
  <c r="G13" i="14" l="1"/>
  <c r="H14" i="14" s="1"/>
  <c r="E13" i="14"/>
  <c r="C13" i="14"/>
  <c r="D14" i="14"/>
  <c r="F14" i="14"/>
  <c r="C14" i="14"/>
  <c r="E7" i="6" l="1"/>
  <c r="G7" i="5"/>
  <c r="G8" i="12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G11" i="10"/>
  <c r="G20" i="12" l="1"/>
  <c r="G20" i="5" s="1"/>
  <c r="E20" i="6" s="1"/>
  <c r="G12" i="12"/>
  <c r="G12" i="5" s="1"/>
  <c r="E12" i="6" s="1"/>
  <c r="G15" i="12"/>
  <c r="G15" i="5" s="1"/>
  <c r="E15" i="6" s="1"/>
  <c r="G18" i="12"/>
  <c r="G18" i="5" s="1"/>
  <c r="E18" i="6" s="1"/>
  <c r="G19" i="12"/>
  <c r="G19" i="5" s="1"/>
  <c r="E19" i="6" s="1"/>
  <c r="G13" i="12"/>
  <c r="G13" i="5" s="1"/>
  <c r="E13" i="6" s="1"/>
  <c r="G21" i="12"/>
  <c r="G21" i="5" s="1"/>
  <c r="E21" i="6" s="1"/>
  <c r="G17" i="12"/>
  <c r="G17" i="5" s="1"/>
  <c r="E17" i="6" s="1"/>
  <c r="G22" i="12"/>
  <c r="G22" i="5" s="1"/>
  <c r="E22" i="6" s="1"/>
  <c r="G14" i="12"/>
  <c r="G14" i="5" s="1"/>
  <c r="E14" i="6" s="1"/>
  <c r="G16" i="12"/>
  <c r="G16" i="5" s="1"/>
  <c r="E16" i="6" s="1"/>
  <c r="G11" i="12"/>
  <c r="G11" i="5" s="1"/>
  <c r="E11" i="6" s="1"/>
  <c r="G23" i="12" l="1"/>
  <c r="G23" i="5" s="1"/>
  <c r="E23" i="6" s="1"/>
  <c r="G25" i="12" l="1"/>
  <c r="G25" i="5" s="1"/>
  <c r="E25" i="6" s="1"/>
  <c r="G24" i="12"/>
  <c r="G24" i="5" s="1"/>
  <c r="G31" i="5" l="1"/>
  <c r="E24" i="6"/>
  <c r="G31" i="12"/>
  <c r="E31" i="6" l="1"/>
  <c r="G26" i="12" l="1"/>
  <c r="G26" i="5" s="1"/>
  <c r="E26" i="6" s="1"/>
  <c r="G32" i="5" l="1"/>
  <c r="G27" i="12"/>
  <c r="G27" i="5" s="1"/>
  <c r="G32" i="12"/>
  <c r="G33" i="12" l="1"/>
  <c r="E32" i="6"/>
  <c r="E14" i="14"/>
  <c r="G33" i="5"/>
  <c r="E27" i="6"/>
  <c r="G28" i="12"/>
  <c r="G28" i="5" s="1"/>
  <c r="E28" i="6" s="1"/>
  <c r="E33" i="6" l="1"/>
  <c r="G14" i="14"/>
  <c r="G8" i="10" l="1"/>
  <c r="M8" i="10" s="1"/>
  <c r="I11" i="10"/>
  <c r="C11" i="10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K11" i="10"/>
  <c r="E11" i="10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J11" i="10"/>
  <c r="D11" i="10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L11" i="10"/>
  <c r="F11" i="10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B6" i="14"/>
  <c r="E8" i="10" l="1"/>
  <c r="E8" i="12" l="1"/>
  <c r="E7" i="5" s="1"/>
  <c r="F8" i="10"/>
  <c r="F8" i="12" s="1"/>
  <c r="F7" i="5" s="1"/>
  <c r="D7" i="6" s="1"/>
  <c r="K8" i="10"/>
  <c r="D8" i="10"/>
  <c r="D8" i="12" s="1"/>
  <c r="D7" i="5" s="1"/>
  <c r="C7" i="6" s="1"/>
  <c r="C8" i="10"/>
  <c r="E11" i="5" l="1"/>
  <c r="B43" i="12" l="1"/>
  <c r="B41" i="12"/>
  <c r="B40" i="12"/>
  <c r="E31" i="12" l="1"/>
  <c r="E32" i="12"/>
  <c r="E33" i="12"/>
  <c r="B3" i="10"/>
  <c r="B1" i="10"/>
  <c r="J8" i="10" l="1"/>
  <c r="B11" i="5" l="1"/>
  <c r="B11" i="6" s="1"/>
  <c r="B35" i="10" l="1"/>
  <c r="B36" i="12"/>
  <c r="L8" i="10" l="1"/>
  <c r="B4" i="10"/>
  <c r="B12" i="10" l="1"/>
  <c r="G12" i="10" s="1"/>
  <c r="L12" i="10" l="1"/>
  <c r="F12" i="10"/>
  <c r="I12" i="10"/>
  <c r="K12" i="10"/>
  <c r="J12" i="10"/>
  <c r="D12" i="10"/>
  <c r="C12" i="10"/>
  <c r="E12" i="10"/>
  <c r="E12" i="5"/>
  <c r="B13" i="10"/>
  <c r="G13" i="10" s="1"/>
  <c r="J13" i="10" l="1"/>
  <c r="L13" i="10"/>
  <c r="K13" i="10"/>
  <c r="I13" i="10"/>
  <c r="E13" i="10"/>
  <c r="D13" i="10"/>
  <c r="C13" i="10"/>
  <c r="F13" i="10"/>
  <c r="E13" i="5"/>
  <c r="B14" i="10"/>
  <c r="G14" i="10" s="1"/>
  <c r="J14" i="10" l="1"/>
  <c r="L14" i="10"/>
  <c r="F14" i="10"/>
  <c r="K14" i="10"/>
  <c r="E14" i="5" s="1"/>
  <c r="E14" i="10"/>
  <c r="D14" i="10"/>
  <c r="I14" i="10"/>
  <c r="C14" i="10"/>
  <c r="B15" i="10"/>
  <c r="G15" i="10" s="1"/>
  <c r="D15" i="10" l="1"/>
  <c r="C15" i="10"/>
  <c r="E15" i="10"/>
  <c r="L15" i="10"/>
  <c r="J15" i="10"/>
  <c r="I15" i="10"/>
  <c r="F15" i="10"/>
  <c r="K15" i="10"/>
  <c r="E15" i="5" s="1"/>
  <c r="B16" i="10"/>
  <c r="G16" i="10" s="1"/>
  <c r="D16" i="10" l="1"/>
  <c r="I16" i="10"/>
  <c r="E16" i="10"/>
  <c r="C16" i="10"/>
  <c r="L16" i="10"/>
  <c r="F16" i="10"/>
  <c r="K16" i="10"/>
  <c r="E16" i="5" s="1"/>
  <c r="J16" i="10"/>
  <c r="B17" i="10"/>
  <c r="G17" i="10" s="1"/>
  <c r="I17" i="10" l="1"/>
  <c r="C17" i="10"/>
  <c r="F17" i="10"/>
  <c r="E17" i="10"/>
  <c r="J17" i="10"/>
  <c r="D17" i="10"/>
  <c r="L17" i="10"/>
  <c r="K17" i="10"/>
  <c r="E17" i="5" s="1"/>
  <c r="B18" i="10"/>
  <c r="G18" i="10" s="1"/>
  <c r="I18" i="10" l="1"/>
  <c r="L18" i="10"/>
  <c r="K18" i="10"/>
  <c r="E18" i="5" s="1"/>
  <c r="E18" i="10"/>
  <c r="F18" i="10"/>
  <c r="J18" i="10"/>
  <c r="C18" i="10"/>
  <c r="D18" i="10"/>
  <c r="B19" i="10"/>
  <c r="G19" i="10" s="1"/>
  <c r="C19" i="10" l="1"/>
  <c r="L19" i="10"/>
  <c r="E19" i="10"/>
  <c r="J19" i="10"/>
  <c r="K19" i="10"/>
  <c r="E19" i="5" s="1"/>
  <c r="D19" i="10"/>
  <c r="F19" i="10"/>
  <c r="I19" i="10"/>
  <c r="B20" i="10"/>
  <c r="G20" i="10" s="1"/>
  <c r="C20" i="10" l="1"/>
  <c r="L20" i="10"/>
  <c r="J20" i="10"/>
  <c r="E20" i="10"/>
  <c r="D20" i="10"/>
  <c r="F20" i="10"/>
  <c r="K20" i="10"/>
  <c r="E20" i="5" s="1"/>
  <c r="I20" i="10"/>
  <c r="B21" i="10"/>
  <c r="G21" i="10" s="1"/>
  <c r="K21" i="10" l="1"/>
  <c r="E21" i="5" s="1"/>
  <c r="D21" i="10"/>
  <c r="L21" i="10"/>
  <c r="F21" i="10"/>
  <c r="E21" i="10"/>
  <c r="J21" i="10"/>
  <c r="I21" i="10"/>
  <c r="C21" i="10"/>
  <c r="B22" i="10"/>
  <c r="G22" i="10" s="1"/>
  <c r="F22" i="10" l="1"/>
  <c r="D22" i="10"/>
  <c r="I22" i="10"/>
  <c r="K22" i="10"/>
  <c r="E22" i="5" s="1"/>
  <c r="J22" i="10"/>
  <c r="C22" i="10"/>
  <c r="L22" i="10"/>
  <c r="E22" i="10"/>
  <c r="B23" i="10"/>
  <c r="G23" i="10" s="1"/>
  <c r="K23" i="10" l="1"/>
  <c r="E23" i="5" s="1"/>
  <c r="J23" i="10"/>
  <c r="I23" i="10"/>
  <c r="D23" i="10"/>
  <c r="L23" i="10"/>
  <c r="F23" i="10"/>
  <c r="E23" i="10"/>
  <c r="C23" i="10"/>
  <c r="B24" i="10"/>
  <c r="G24" i="10" s="1"/>
  <c r="K24" i="10" l="1"/>
  <c r="E24" i="5" s="1"/>
  <c r="E24" i="10"/>
  <c r="J24" i="10"/>
  <c r="D24" i="10"/>
  <c r="I24" i="10"/>
  <c r="C24" i="10"/>
  <c r="L24" i="10"/>
  <c r="F24" i="10"/>
  <c r="B25" i="10"/>
  <c r="G25" i="10" s="1"/>
  <c r="E25" i="10" l="1"/>
  <c r="C25" i="10"/>
  <c r="L25" i="10"/>
  <c r="J25" i="10"/>
  <c r="F25" i="10"/>
  <c r="D25" i="10"/>
  <c r="I25" i="10"/>
  <c r="K25" i="10"/>
  <c r="E25" i="5" s="1"/>
  <c r="E31" i="5" s="1"/>
  <c r="B31" i="10"/>
  <c r="B26" i="10"/>
  <c r="G26" i="10" s="1"/>
  <c r="E26" i="10" l="1"/>
  <c r="C26" i="10"/>
  <c r="L26" i="10"/>
  <c r="F26" i="10"/>
  <c r="J26" i="10"/>
  <c r="D26" i="10"/>
  <c r="I26" i="10"/>
  <c r="K26" i="10"/>
  <c r="C10" i="14"/>
  <c r="E26" i="5"/>
  <c r="E32" i="5" s="1"/>
  <c r="E10" i="14" s="1"/>
  <c r="B32" i="10"/>
  <c r="B27" i="10"/>
  <c r="G27" i="10" s="1"/>
  <c r="D27" i="10" l="1"/>
  <c r="F27" i="10"/>
  <c r="J27" i="10"/>
  <c r="I27" i="10"/>
  <c r="L27" i="10"/>
  <c r="K27" i="10"/>
  <c r="C27" i="10"/>
  <c r="E27" i="10"/>
  <c r="E27" i="5"/>
  <c r="E33" i="5" s="1"/>
  <c r="G10" i="14" s="1"/>
  <c r="B28" i="10"/>
  <c r="G28" i="10" s="1"/>
  <c r="B33" i="10"/>
  <c r="J28" i="10" l="1"/>
  <c r="I28" i="10"/>
  <c r="F28" i="10"/>
  <c r="K28" i="10"/>
  <c r="E28" i="5" s="1"/>
  <c r="L28" i="10"/>
  <c r="C28" i="10"/>
  <c r="E28" i="10"/>
  <c r="D28" i="10"/>
  <c r="C8" i="12"/>
  <c r="C7" i="5" s="1"/>
  <c r="B1" i="12" l="1"/>
  <c r="B3" i="12"/>
  <c r="B35" i="12"/>
  <c r="B12" i="12" l="1"/>
  <c r="C12" i="5" l="1"/>
  <c r="C11" i="5"/>
  <c r="B13" i="12"/>
  <c r="B14" i="12" l="1"/>
  <c r="C14" i="5" l="1"/>
  <c r="C13" i="5"/>
  <c r="B15" i="12"/>
  <c r="C15" i="5" l="1"/>
  <c r="B16" i="12"/>
  <c r="C16" i="5" l="1"/>
  <c r="B17" i="12"/>
  <c r="C17" i="5" l="1"/>
  <c r="B18" i="12"/>
  <c r="C18" i="5" l="1"/>
  <c r="B19" i="12"/>
  <c r="C19" i="5" l="1"/>
  <c r="B20" i="12"/>
  <c r="C20" i="5" l="1"/>
  <c r="B21" i="12"/>
  <c r="C21" i="5" l="1"/>
  <c r="B22" i="12"/>
  <c r="C22" i="5" l="1"/>
  <c r="B23" i="12"/>
  <c r="C23" i="5" l="1"/>
  <c r="B24" i="12"/>
  <c r="C24" i="5" l="1"/>
  <c r="B25" i="12"/>
  <c r="C25" i="5" l="1"/>
  <c r="B26" i="12"/>
  <c r="B31" i="12"/>
  <c r="C26" i="5" l="1"/>
  <c r="B27" i="12"/>
  <c r="B32" i="12"/>
  <c r="B35" i="6"/>
  <c r="B33" i="12" l="1"/>
  <c r="B28" i="12"/>
  <c r="C33" i="12" l="1"/>
  <c r="C27" i="5"/>
  <c r="C28" i="5"/>
  <c r="B10" i="6"/>
  <c r="B3" i="6"/>
  <c r="B1" i="6"/>
  <c r="B12" i="5" l="1"/>
  <c r="B13" i="5" l="1"/>
  <c r="B12" i="6"/>
  <c r="B13" i="6" l="1"/>
  <c r="B14" i="5"/>
  <c r="B4" i="12"/>
  <c r="B4" i="6"/>
  <c r="B4" i="5"/>
  <c r="B14" i="6" l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31" i="6" s="1"/>
  <c r="C3" i="14" s="1"/>
  <c r="C9" i="14" s="1"/>
  <c r="B15" i="5"/>
  <c r="B26" i="6" l="1"/>
  <c r="B32" i="6" s="1"/>
  <c r="E3" i="14" s="1"/>
  <c r="E9" i="14" s="1"/>
  <c r="B16" i="5"/>
  <c r="B27" i="6" l="1"/>
  <c r="B17" i="5"/>
  <c r="B33" i="6" l="1"/>
  <c r="G3" i="14" s="1"/>
  <c r="G9" i="14" s="1"/>
  <c r="B28" i="6"/>
  <c r="B18" i="5"/>
  <c r="B19" i="5" l="1"/>
  <c r="B20" i="5" l="1"/>
  <c r="B21" i="5" l="1"/>
  <c r="B22" i="5" l="1"/>
  <c r="B23" i="5" l="1"/>
  <c r="B24" i="5" l="1"/>
  <c r="B25" i="5" l="1"/>
  <c r="B31" i="5" s="1"/>
  <c r="B36" i="5"/>
  <c r="B36" i="10" l="1"/>
  <c r="B40" i="10"/>
  <c r="B26" i="5"/>
  <c r="B32" i="5" s="1"/>
  <c r="B36" i="6"/>
  <c r="B27" i="5" l="1"/>
  <c r="B33" i="5" l="1"/>
  <c r="B28" i="5"/>
  <c r="I8" i="10" l="1"/>
  <c r="C32" i="12" l="1"/>
  <c r="B30" i="12"/>
  <c r="C31" i="12"/>
  <c r="B37" i="5" l="1"/>
  <c r="B37" i="6" l="1"/>
  <c r="B37" i="12"/>
  <c r="C33" i="5" l="1"/>
  <c r="B30" i="5"/>
  <c r="B30" i="6" s="1"/>
  <c r="B41" i="10"/>
  <c r="C31" i="5"/>
  <c r="C32" i="5"/>
  <c r="B42" i="6"/>
  <c r="M33" i="10" l="1"/>
  <c r="M32" i="10"/>
  <c r="M31" i="10"/>
  <c r="G33" i="10"/>
  <c r="G32" i="10"/>
  <c r="G31" i="10"/>
  <c r="E31" i="10"/>
  <c r="K31" i="10"/>
  <c r="E32" i="10"/>
  <c r="K32" i="10"/>
  <c r="E33" i="10"/>
  <c r="K33" i="10"/>
  <c r="E4" i="14"/>
  <c r="C4" i="14"/>
  <c r="G4" i="14"/>
  <c r="D31" i="10"/>
  <c r="D32" i="10"/>
  <c r="J33" i="10"/>
  <c r="B30" i="10"/>
  <c r="J31" i="10"/>
  <c r="I33" i="10"/>
  <c r="C32" i="10"/>
  <c r="I31" i="10"/>
  <c r="I32" i="10"/>
  <c r="C33" i="10"/>
  <c r="J32" i="10"/>
  <c r="C31" i="10"/>
  <c r="D33" i="10"/>
  <c r="F33" i="10" l="1"/>
  <c r="F31" i="10"/>
  <c r="F32" i="10"/>
  <c r="L31" i="10" l="1"/>
  <c r="L32" i="10"/>
  <c r="L33" i="10"/>
  <c r="D15" i="5" l="1"/>
  <c r="C15" i="6" s="1"/>
  <c r="D20" i="5"/>
  <c r="C20" i="6" s="1"/>
  <c r="D28" i="5"/>
  <c r="C28" i="6" s="1"/>
  <c r="D27" i="5"/>
  <c r="C27" i="6" s="1"/>
  <c r="D14" i="5"/>
  <c r="C14" i="6" s="1"/>
  <c r="D23" i="5"/>
  <c r="C23" i="6" s="1"/>
  <c r="D21" i="5"/>
  <c r="C21" i="6" s="1"/>
  <c r="D17" i="5"/>
  <c r="C17" i="6" s="1"/>
  <c r="D19" i="5"/>
  <c r="C19" i="6" s="1"/>
  <c r="D22" i="5"/>
  <c r="C22" i="6" s="1"/>
  <c r="D26" i="5"/>
  <c r="C26" i="6" s="1"/>
  <c r="D24" i="5"/>
  <c r="C24" i="6" s="1"/>
  <c r="D25" i="5"/>
  <c r="C25" i="6" s="1"/>
  <c r="D18" i="5"/>
  <c r="C18" i="6" s="1"/>
  <c r="D16" i="5"/>
  <c r="C16" i="6" s="1"/>
  <c r="D33" i="12" l="1"/>
  <c r="D13" i="5"/>
  <c r="C13" i="6" s="1"/>
  <c r="D11" i="5"/>
  <c r="D31" i="12"/>
  <c r="D12" i="5"/>
  <c r="C12" i="6" s="1"/>
  <c r="D32" i="12"/>
  <c r="C11" i="6" l="1"/>
  <c r="D31" i="5"/>
  <c r="C31" i="6" s="1"/>
  <c r="D33" i="5"/>
  <c r="D32" i="5"/>
  <c r="C33" i="6" l="1"/>
  <c r="C32" i="6"/>
  <c r="E5" i="14"/>
  <c r="F5" i="14" s="1"/>
  <c r="G5" i="14"/>
  <c r="H5" i="14" s="1"/>
  <c r="C5" i="14"/>
  <c r="D5" i="14" s="1"/>
  <c r="F14" i="5"/>
  <c r="F15" i="5"/>
  <c r="D15" i="6" l="1"/>
  <c r="D14" i="6"/>
  <c r="F16" i="5"/>
  <c r="F13" i="5"/>
  <c r="D13" i="6" s="1"/>
  <c r="F12" i="5"/>
  <c r="D12" i="6" s="1"/>
  <c r="F11" i="5"/>
  <c r="D11" i="6" s="1"/>
  <c r="D16" i="6" l="1"/>
  <c r="F18" i="5" l="1"/>
  <c r="F17" i="5"/>
  <c r="D17" i="6" s="1"/>
  <c r="D18" i="6" l="1"/>
  <c r="F20" i="5" l="1"/>
  <c r="F19" i="5"/>
  <c r="D19" i="6" s="1"/>
  <c r="D20" i="6" l="1"/>
  <c r="F22" i="5" l="1"/>
  <c r="F21" i="5"/>
  <c r="D21" i="6" s="1"/>
  <c r="D22" i="6" l="1"/>
  <c r="F24" i="5" l="1"/>
  <c r="F23" i="5"/>
  <c r="D23" i="6" s="1"/>
  <c r="D24" i="6" l="1"/>
  <c r="F25" i="5" l="1"/>
  <c r="D25" i="6" s="1"/>
  <c r="F31" i="12"/>
  <c r="F31" i="5" l="1"/>
  <c r="F26" i="5"/>
  <c r="D26" i="6" s="1"/>
  <c r="F32" i="12"/>
  <c r="C11" i="14" l="1"/>
  <c r="D31" i="6"/>
  <c r="F28" i="5"/>
  <c r="F32" i="5"/>
  <c r="F27" i="5"/>
  <c r="D27" i="6" s="1"/>
  <c r="F33" i="12"/>
  <c r="D11" i="14" l="1"/>
  <c r="D32" i="6"/>
  <c r="E11" i="14"/>
  <c r="D28" i="6"/>
  <c r="F33" i="5"/>
  <c r="F11" i="14" l="1"/>
  <c r="D33" i="6"/>
  <c r="G11" i="14"/>
  <c r="H11" i="14" l="1"/>
</calcChain>
</file>

<file path=xl/sharedStrings.xml><?xml version="1.0" encoding="utf-8"?>
<sst xmlns="http://schemas.openxmlformats.org/spreadsheetml/2006/main" count="42" uniqueCount="26">
  <si>
    <t>Year</t>
  </si>
  <si>
    <t>Utah Quarterly Compliance Filing</t>
  </si>
  <si>
    <t>$/kW-Year</t>
  </si>
  <si>
    <t>Appendix C</t>
  </si>
  <si>
    <t>$/MWH  (1)</t>
  </si>
  <si>
    <t>Capacity Avoided Cost Prices</t>
  </si>
  <si>
    <t>Total Avoided Cost Prices $/MWH (1) (4)</t>
  </si>
  <si>
    <t>OFPC Date</t>
  </si>
  <si>
    <t>Discount Rate - 2015 IRP Page 141</t>
  </si>
  <si>
    <t>(1)   Studies are sequential.  The order of the studies would affect the price impact.</t>
  </si>
  <si>
    <t>Avoided Cost Impact of Changing Assumptions $/MWH (1)</t>
  </si>
  <si>
    <t>(2)</t>
  </si>
  <si>
    <t>(3)   No Capacity costs - No deferrable thermal resources</t>
  </si>
  <si>
    <t>Capacity Factor</t>
  </si>
  <si>
    <t>Model Calculated Energy Avoided Cost Prices $/MWH (1)</t>
  </si>
  <si>
    <t>Proposed Term:</t>
  </si>
  <si>
    <t>2025.Q3</t>
  </si>
  <si>
    <t>Discount Rate - 2025 IRP</t>
  </si>
  <si>
    <t>Wind QF (Routine)</t>
  </si>
  <si>
    <t>Wind QF (Non-Routine)</t>
  </si>
  <si>
    <t>Indicative Avoided Cost, $/MWh</t>
  </si>
  <si>
    <t xml:space="preserve">Routine Update-OFPC Dec 2025 </t>
  </si>
  <si>
    <t>2025.Q3 Routine Update (Utah 2025 IRP)</t>
  </si>
  <si>
    <t>2025.Q3 Non-Routine Update (Final 2025 IRP)</t>
  </si>
  <si>
    <t>2025.Q4</t>
  </si>
  <si>
    <t>2025.Q3 Non-Routine Update (No Displacement)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</si>
</sst>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(* #,##0_);[Red]_(* \(#,##0\);_(* &quot;-&quot;_);_(@_)"/>
    <numFmt numFmtId="166" formatCode="_(&quot;$&quot;\ #,##0.00_);[Red]_(&quot;$&quot;\ \(#,##0.00\);_(\ &quot;-&quot;?_);_(@_)"/>
    <numFmt numFmtId="167" formatCode="0.000%"/>
    <numFmt numFmtId="168" formatCode="_(* #,##0.000_);[Red]_(* \(#,##0.000\);_(* &quot;-&quot;_);_(@_)"/>
    <numFmt numFmtId="169" formatCode="&quot;$&quot;###0;[Red]\(&quot;$&quot;###0\)"/>
    <numFmt numFmtId="170" formatCode="0.0"/>
    <numFmt numFmtId="171" formatCode="0.0%"/>
    <numFmt numFmtId="172" formatCode="\'\ \(\2\)\'"/>
    <numFmt numFmtId="173" formatCode="#,##0.0000_);[Red]\(#,##0.0000\)"/>
    <numFmt numFmtId="174" formatCode="#,##0.000_);[Red]\(#,##0.000\)"/>
    <numFmt numFmtId="175" formatCode="_(* #,##0.0_);[Red]_(* \(#,##0.0\);_(* &quot;-&quot;_);_(@_)"/>
    <numFmt numFmtId="176" formatCode="_(* #,##0.00_);[Red]_(* \(#,##0.00\);_(* &quot;-&quot;_);_(@_)"/>
    <numFmt numFmtId="177" formatCode="\+&quot;$&quot;#,##0.00_);\-&quot;$&quot;#,##0.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8"/>
      <color indexed="18"/>
      <name val="Helv"/>
    </font>
    <font>
      <sz val="10"/>
      <color indexed="12"/>
      <name val="Arial"/>
      <family val="2"/>
    </font>
    <font>
      <sz val="10"/>
      <name val="Times New Roman"/>
      <family val="1"/>
    </font>
    <font>
      <sz val="8"/>
      <name val="Helv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165" fontId="0" fillId="0" borderId="0"/>
    <xf numFmtId="0" fontId="5" fillId="0" borderId="0" applyNumberFormat="0" applyFill="0" applyBorder="0" applyAlignment="0">
      <protection locked="0"/>
    </xf>
    <xf numFmtId="0" fontId="1" fillId="0" borderId="0"/>
    <xf numFmtId="9" fontId="1" fillId="0" borderId="0" applyFont="0" applyFill="0" applyBorder="0" applyAlignment="0" applyProtection="0"/>
    <xf numFmtId="165" fontId="1" fillId="0" borderId="0"/>
    <xf numFmtId="165" fontId="7" fillId="0" borderId="0"/>
    <xf numFmtId="165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8" fillId="0" borderId="0" applyFont="0" applyFill="0" applyBorder="0" applyProtection="0">
      <alignment horizontal="right"/>
    </xf>
    <xf numFmtId="170" fontId="9" fillId="0" borderId="0" applyNumberFormat="0" applyFill="0" applyBorder="0" applyAlignment="0" applyProtection="0"/>
    <xf numFmtId="0" fontId="2" fillId="0" borderId="6" applyNumberFormat="0" applyBorder="0" applyAlignment="0"/>
    <xf numFmtId="171" fontId="1" fillId="0" borderId="0"/>
    <xf numFmtId="12" fontId="3" fillId="3" borderId="7">
      <alignment horizontal="left"/>
    </xf>
    <xf numFmtId="37" fontId="2" fillId="4" borderId="0" applyNumberFormat="0" applyBorder="0" applyAlignment="0" applyProtection="0"/>
    <xf numFmtId="37" fontId="2" fillId="0" borderId="0"/>
    <xf numFmtId="3" fontId="10" fillId="5" borderId="8" applyProtection="0"/>
    <xf numFmtId="43" fontId="11" fillId="0" borderId="0" applyFont="0" applyFill="0" applyBorder="0" applyAlignment="0" applyProtection="0"/>
    <xf numFmtId="41" fontId="7" fillId="0" borderId="0"/>
  </cellStyleXfs>
  <cellXfs count="108">
    <xf numFmtId="165" fontId="0" fillId="0" borderId="0" xfId="0"/>
    <xf numFmtId="165" fontId="4" fillId="0" borderId="0" xfId="0" applyFont="1"/>
    <xf numFmtId="0" fontId="3" fillId="0" borderId="0" xfId="0" applyNumberFormat="1" applyFont="1" applyAlignment="1">
      <alignment horizontal="center"/>
    </xf>
    <xf numFmtId="1" fontId="1" fillId="0" borderId="0" xfId="2" applyNumberFormat="1" applyAlignment="1" applyProtection="1">
      <alignment horizontal="center"/>
      <protection locked="0"/>
    </xf>
    <xf numFmtId="165" fontId="3" fillId="0" borderId="0" xfId="0" applyFont="1" applyAlignment="1">
      <alignment horizontal="centerContinuous"/>
    </xf>
    <xf numFmtId="165" fontId="3" fillId="0" borderId="4" xfId="0" applyFont="1" applyBorder="1" applyAlignment="1">
      <alignment horizontal="center"/>
    </xf>
    <xf numFmtId="165" fontId="4" fillId="0" borderId="0" xfId="0" quotePrefix="1" applyFont="1"/>
    <xf numFmtId="164" fontId="4" fillId="0" borderId="0" xfId="0" applyNumberFormat="1" applyFont="1"/>
    <xf numFmtId="165" fontId="3" fillId="0" borderId="3" xfId="0" applyFont="1" applyBorder="1"/>
    <xf numFmtId="165" fontId="3" fillId="0" borderId="0" xfId="0" applyFont="1" applyAlignment="1">
      <alignment horizontal="center"/>
    </xf>
    <xf numFmtId="168" fontId="4" fillId="0" borderId="0" xfId="0" applyNumberFormat="1" applyFont="1"/>
    <xf numFmtId="167" fontId="4" fillId="0" borderId="0" xfId="0" applyNumberFormat="1" applyFont="1"/>
    <xf numFmtId="14" fontId="6" fillId="2" borderId="2" xfId="0" applyNumberFormat="1" applyFont="1" applyFill="1" applyBorder="1" applyAlignment="1">
      <alignment horizontal="center"/>
    </xf>
    <xf numFmtId="165" fontId="3" fillId="0" borderId="0" xfId="4" applyFont="1" applyAlignment="1">
      <alignment horizontal="centerContinuous"/>
    </xf>
    <xf numFmtId="165" fontId="4" fillId="0" borderId="0" xfId="4" applyFont="1" applyAlignment="1">
      <alignment horizontal="centerContinuous"/>
    </xf>
    <xf numFmtId="165" fontId="4" fillId="0" borderId="0" xfId="4" applyFont="1"/>
    <xf numFmtId="165" fontId="3" fillId="0" borderId="3" xfId="4" applyFont="1" applyBorder="1"/>
    <xf numFmtId="165" fontId="3" fillId="0" borderId="3" xfId="4" applyFont="1" applyBorder="1" applyAlignment="1">
      <alignment horizontal="centerContinuous"/>
    </xf>
    <xf numFmtId="165" fontId="3" fillId="0" borderId="4" xfId="4" applyFont="1" applyBorder="1" applyAlignment="1">
      <alignment horizontal="center"/>
    </xf>
    <xf numFmtId="165" fontId="3" fillId="0" borderId="2" xfId="4" applyFont="1" applyBorder="1" applyAlignment="1">
      <alignment horizontal="center"/>
    </xf>
    <xf numFmtId="0" fontId="3" fillId="0" borderId="0" xfId="4" applyNumberFormat="1" applyFont="1" applyAlignment="1">
      <alignment horizontal="center"/>
    </xf>
    <xf numFmtId="166" fontId="4" fillId="0" borderId="0" xfId="4" applyNumberFormat="1" applyFont="1" applyAlignment="1">
      <alignment horizontal="center"/>
    </xf>
    <xf numFmtId="7" fontId="4" fillId="0" borderId="0" xfId="4" applyNumberFormat="1" applyFont="1" applyAlignment="1">
      <alignment horizontal="center"/>
    </xf>
    <xf numFmtId="165" fontId="4" fillId="0" borderId="0" xfId="4" quotePrefix="1" applyFont="1"/>
    <xf numFmtId="7" fontId="4" fillId="0" borderId="2" xfId="4" applyNumberFormat="1" applyFont="1" applyBorder="1" applyAlignment="1">
      <alignment horizontal="center"/>
    </xf>
    <xf numFmtId="167" fontId="4" fillId="0" borderId="0" xfId="4" applyNumberFormat="1" applyFont="1" applyAlignment="1">
      <alignment horizontal="center"/>
    </xf>
    <xf numFmtId="167" fontId="4" fillId="0" borderId="0" xfId="3" applyNumberFormat="1" applyFont="1"/>
    <xf numFmtId="167" fontId="4" fillId="0" borderId="0" xfId="4" applyNumberFormat="1" applyFont="1"/>
    <xf numFmtId="8" fontId="4" fillId="0" borderId="0" xfId="4" applyNumberFormat="1" applyFont="1"/>
    <xf numFmtId="165" fontId="3" fillId="0" borderId="5" xfId="4" applyFont="1" applyBorder="1" applyAlignment="1">
      <alignment horizontal="centerContinuous"/>
    </xf>
    <xf numFmtId="8" fontId="4" fillId="0" borderId="0" xfId="17" applyNumberFormat="1" applyFont="1"/>
    <xf numFmtId="165" fontId="3" fillId="0" borderId="0" xfId="4" quotePrefix="1" applyFont="1" applyAlignment="1">
      <alignment horizontal="centerContinuous"/>
    </xf>
    <xf numFmtId="166" fontId="4" fillId="0" borderId="0" xfId="0" applyNumberFormat="1" applyFont="1"/>
    <xf numFmtId="165" fontId="3" fillId="0" borderId="2" xfId="4" applyFont="1" applyBorder="1" applyAlignment="1">
      <alignment horizontal="center" wrapText="1"/>
    </xf>
    <xf numFmtId="43" fontId="4" fillId="0" borderId="0" xfId="17" applyFont="1"/>
    <xf numFmtId="8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8" fontId="4" fillId="0" borderId="2" xfId="4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8" fontId="4" fillId="0" borderId="2" xfId="0" applyNumberFormat="1" applyFont="1" applyBorder="1" applyAlignment="1">
      <alignment horizontal="center"/>
    </xf>
    <xf numFmtId="173" fontId="4" fillId="0" borderId="0" xfId="0" applyNumberFormat="1" applyFont="1"/>
    <xf numFmtId="165" fontId="3" fillId="0" borderId="1" xfId="0" quotePrefix="1" applyFont="1" applyBorder="1" applyAlignment="1">
      <alignment horizontal="center"/>
    </xf>
    <xf numFmtId="174" fontId="4" fillId="0" borderId="0" xfId="0" applyNumberFormat="1" applyFont="1"/>
    <xf numFmtId="172" fontId="3" fillId="0" borderId="1" xfId="0" quotePrefix="1" applyNumberFormat="1" applyFont="1" applyBorder="1" applyAlignment="1">
      <alignment horizontal="center"/>
    </xf>
    <xf numFmtId="0" fontId="3" fillId="0" borderId="9" xfId="4" applyNumberFormat="1" applyFont="1" applyBorder="1" applyAlignment="1">
      <alignment horizontal="center"/>
    </xf>
    <xf numFmtId="165" fontId="1" fillId="6" borderId="0" xfId="4" applyFill="1"/>
    <xf numFmtId="165" fontId="1" fillId="0" borderId="0" xfId="4"/>
    <xf numFmtId="165" fontId="12" fillId="6" borderId="0" xfId="0" applyFont="1" applyFill="1"/>
    <xf numFmtId="165" fontId="0" fillId="6" borderId="0" xfId="0" applyFill="1"/>
    <xf numFmtId="165" fontId="0" fillId="0" borderId="0" xfId="0" applyAlignment="1">
      <alignment horizontal="right"/>
    </xf>
    <xf numFmtId="8" fontId="0" fillId="0" borderId="0" xfId="7" applyNumberFormat="1" applyFont="1" applyFill="1"/>
    <xf numFmtId="8" fontId="7" fillId="0" borderId="0" xfId="18" applyNumberFormat="1" applyAlignment="1">
      <alignment horizontal="center"/>
    </xf>
    <xf numFmtId="175" fontId="0" fillId="0" borderId="0" xfId="0" applyNumberFormat="1"/>
    <xf numFmtId="8" fontId="4" fillId="0" borderId="10" xfId="4" applyNumberFormat="1" applyFont="1" applyBorder="1" applyAlignment="1">
      <alignment horizontal="center"/>
    </xf>
    <xf numFmtId="9" fontId="4" fillId="0" borderId="0" xfId="3" applyFont="1"/>
    <xf numFmtId="176" fontId="1" fillId="0" borderId="0" xfId="4" applyNumberFormat="1"/>
    <xf numFmtId="176" fontId="4" fillId="0" borderId="0" xfId="0" applyNumberFormat="1" applyFont="1"/>
    <xf numFmtId="176" fontId="4" fillId="0" borderId="0" xfId="0" applyNumberFormat="1" applyFont="1" applyAlignment="1">
      <alignment horizontal="center"/>
    </xf>
    <xf numFmtId="8" fontId="4" fillId="0" borderId="11" xfId="4" applyNumberFormat="1" applyFont="1" applyBorder="1" applyAlignment="1">
      <alignment horizontal="center"/>
    </xf>
    <xf numFmtId="8" fontId="4" fillId="0" borderId="9" xfId="4" applyNumberFormat="1" applyFont="1" applyBorder="1" applyAlignment="1">
      <alignment horizontal="center"/>
    </xf>
    <xf numFmtId="7" fontId="0" fillId="6" borderId="13" xfId="7" applyNumberFormat="1" applyFont="1" applyFill="1" applyBorder="1" applyAlignment="1">
      <alignment horizontal="center"/>
    </xf>
    <xf numFmtId="7" fontId="0" fillId="6" borderId="14" xfId="7" applyNumberFormat="1" applyFont="1" applyFill="1" applyBorder="1" applyAlignment="1">
      <alignment horizontal="center"/>
    </xf>
    <xf numFmtId="165" fontId="3" fillId="0" borderId="5" xfId="0" applyFont="1" applyBorder="1" applyAlignment="1">
      <alignment horizontal="center" wrapText="1"/>
    </xf>
    <xf numFmtId="165" fontId="3" fillId="0" borderId="12" xfId="4" quotePrefix="1" applyFont="1" applyBorder="1" applyAlignment="1">
      <alignment horizontal="center" wrapText="1"/>
    </xf>
    <xf numFmtId="7" fontId="13" fillId="6" borderId="16" xfId="7" applyNumberFormat="1" applyFont="1" applyFill="1" applyBorder="1" applyAlignment="1">
      <alignment horizontal="center"/>
    </xf>
    <xf numFmtId="165" fontId="3" fillId="0" borderId="3" xfId="4" applyFont="1" applyBorder="1" applyAlignment="1">
      <alignment horizontal="center" wrapText="1"/>
    </xf>
    <xf numFmtId="165" fontId="3" fillId="0" borderId="5" xfId="4" quotePrefix="1" applyFont="1" applyBorder="1" applyAlignment="1">
      <alignment horizontal="center" wrapText="1"/>
    </xf>
    <xf numFmtId="165" fontId="3" fillId="0" borderId="4" xfId="4" applyFont="1" applyBorder="1" applyAlignment="1">
      <alignment horizontal="left" vertical="top" wrapText="1"/>
    </xf>
    <xf numFmtId="165" fontId="3" fillId="0" borderId="1" xfId="0" applyFont="1" applyBorder="1" applyAlignment="1">
      <alignment horizontal="center" vertical="center" wrapText="1"/>
    </xf>
    <xf numFmtId="165" fontId="3" fillId="0" borderId="5" xfId="0" applyFont="1" applyBorder="1" applyAlignment="1">
      <alignment horizontal="center" vertical="top" wrapText="1"/>
    </xf>
    <xf numFmtId="165" fontId="4" fillId="0" borderId="18" xfId="4" applyFont="1" applyBorder="1"/>
    <xf numFmtId="165" fontId="3" fillId="0" borderId="2" xfId="4" quotePrefix="1" applyFont="1" applyBorder="1" applyAlignment="1">
      <alignment horizontal="center"/>
    </xf>
    <xf numFmtId="165" fontId="4" fillId="0" borderId="19" xfId="4" applyFont="1" applyBorder="1"/>
    <xf numFmtId="165" fontId="3" fillId="0" borderId="1" xfId="4" applyFont="1" applyBorder="1" applyAlignment="1">
      <alignment horizontal="left" vertical="top" wrapText="1"/>
    </xf>
    <xf numFmtId="176" fontId="0" fillId="6" borderId="0" xfId="0" applyNumberFormat="1" applyFill="1"/>
    <xf numFmtId="176" fontId="0" fillId="0" borderId="0" xfId="0" applyNumberFormat="1"/>
    <xf numFmtId="165" fontId="12" fillId="6" borderId="13" xfId="4" applyFont="1" applyFill="1" applyBorder="1" applyAlignment="1">
      <alignment horizontal="left"/>
    </xf>
    <xf numFmtId="165" fontId="12" fillId="6" borderId="20" xfId="4" applyFont="1" applyFill="1" applyBorder="1"/>
    <xf numFmtId="165" fontId="1" fillId="0" borderId="21" xfId="4" applyBorder="1"/>
    <xf numFmtId="165" fontId="14" fillId="0" borderId="21" xfId="4" applyFont="1" applyBorder="1" applyAlignment="1">
      <alignment horizontal="right"/>
    </xf>
    <xf numFmtId="165" fontId="14" fillId="0" borderId="21" xfId="4" applyFont="1" applyBorder="1"/>
    <xf numFmtId="165" fontId="12" fillId="6" borderId="21" xfId="4" applyFont="1" applyFill="1" applyBorder="1" applyAlignment="1">
      <alignment horizontal="left"/>
    </xf>
    <xf numFmtId="165" fontId="15" fillId="0" borderId="21" xfId="4" applyFont="1" applyBorder="1" applyAlignment="1">
      <alignment horizontal="right"/>
    </xf>
    <xf numFmtId="165" fontId="1" fillId="6" borderId="15" xfId="4" applyFill="1" applyBorder="1"/>
    <xf numFmtId="177" fontId="13" fillId="6" borderId="17" xfId="7" applyNumberFormat="1" applyFont="1" applyFill="1" applyBorder="1" applyAlignment="1">
      <alignment horizontal="center"/>
    </xf>
    <xf numFmtId="165" fontId="12" fillId="6" borderId="0" xfId="4" applyFont="1" applyFill="1" applyAlignment="1">
      <alignment horizontal="right"/>
    </xf>
    <xf numFmtId="165" fontId="15" fillId="6" borderId="0" xfId="4" applyFont="1" applyFill="1" applyAlignment="1">
      <alignment horizontal="right" vertical="top"/>
    </xf>
    <xf numFmtId="165" fontId="15" fillId="6" borderId="0" xfId="4" applyFont="1" applyFill="1"/>
    <xf numFmtId="7" fontId="1" fillId="6" borderId="0" xfId="4" applyNumberFormat="1" applyFill="1"/>
    <xf numFmtId="165" fontId="14" fillId="0" borderId="0" xfId="4" applyFont="1"/>
    <xf numFmtId="165" fontId="16" fillId="6" borderId="0" xfId="4" applyFont="1" applyFill="1"/>
    <xf numFmtId="165" fontId="16" fillId="6" borderId="0" xfId="4" applyFont="1" applyFill="1" applyAlignment="1">
      <alignment horizontal="right"/>
    </xf>
    <xf numFmtId="165" fontId="1" fillId="0" borderId="22" xfId="4" applyBorder="1"/>
    <xf numFmtId="165" fontId="15" fillId="6" borderId="7" xfId="4" applyFont="1" applyFill="1" applyBorder="1"/>
    <xf numFmtId="7" fontId="1" fillId="6" borderId="7" xfId="4" applyNumberFormat="1" applyFill="1" applyBorder="1"/>
    <xf numFmtId="165" fontId="1" fillId="6" borderId="7" xfId="4" applyFill="1" applyBorder="1"/>
    <xf numFmtId="165" fontId="1" fillId="6" borderId="23" xfId="4" applyFill="1" applyBorder="1"/>
    <xf numFmtId="165" fontId="12" fillId="6" borderId="0" xfId="4" applyFont="1" applyFill="1" applyAlignment="1">
      <alignment horizontal="center" vertical="center"/>
    </xf>
    <xf numFmtId="165" fontId="12" fillId="6" borderId="20" xfId="4" applyFont="1" applyFill="1" applyBorder="1" applyAlignment="1">
      <alignment horizontal="center"/>
    </xf>
    <xf numFmtId="165" fontId="12" fillId="6" borderId="14" xfId="4" applyFont="1" applyFill="1" applyBorder="1" applyAlignment="1">
      <alignment horizontal="center"/>
    </xf>
    <xf numFmtId="165" fontId="12" fillId="6" borderId="15" xfId="4" applyFont="1" applyFill="1" applyBorder="1" applyAlignment="1">
      <alignment horizontal="center" vertical="center"/>
    </xf>
    <xf numFmtId="165" fontId="12" fillId="6" borderId="0" xfId="4" applyFont="1" applyFill="1" applyAlignment="1">
      <alignment horizontal="center"/>
    </xf>
    <xf numFmtId="165" fontId="12" fillId="6" borderId="15" xfId="4" applyFont="1" applyFill="1" applyBorder="1" applyAlignment="1">
      <alignment horizontal="center"/>
    </xf>
    <xf numFmtId="165" fontId="14" fillId="6" borderId="21" xfId="4" applyFont="1" applyFill="1" applyBorder="1" applyAlignment="1">
      <alignment horizontal="right"/>
    </xf>
    <xf numFmtId="165" fontId="14" fillId="6" borderId="15" xfId="4" applyFont="1" applyFill="1" applyBorder="1" applyAlignment="1">
      <alignment horizontal="right"/>
    </xf>
    <xf numFmtId="165" fontId="14" fillId="6" borderId="21" xfId="4" applyFont="1" applyFill="1" applyBorder="1" applyAlignment="1">
      <alignment horizontal="right" vertical="top"/>
    </xf>
    <xf numFmtId="165" fontId="14" fillId="6" borderId="15" xfId="4" applyFont="1" applyFill="1" applyBorder="1" applyAlignment="1">
      <alignment horizontal="right" vertical="top"/>
    </xf>
  </cellXfs>
  <cellStyles count="19">
    <cellStyle name="Comma" xfId="17" builtinId="3"/>
    <cellStyle name="Comma 2" xfId="7" xr:uid="{00000000-0005-0000-0000-000001000000}"/>
    <cellStyle name="Currency 2" xfId="8" xr:uid="{00000000-0005-0000-0000-000002000000}"/>
    <cellStyle name="Currency No Comma" xfId="9" xr:uid="{00000000-0005-0000-0000-000003000000}"/>
    <cellStyle name="Input" xfId="1" builtinId="20" customBuiltin="1"/>
    <cellStyle name="MCP" xfId="10" xr:uid="{00000000-0005-0000-0000-000005000000}"/>
    <cellStyle name="noninput" xfId="11" xr:uid="{00000000-0005-0000-0000-000006000000}"/>
    <cellStyle name="Normal" xfId="0" builtinId="0" customBuiltin="1"/>
    <cellStyle name="Normal 2" xfId="4" xr:uid="{00000000-0005-0000-0000-000008000000}"/>
    <cellStyle name="Normal 2 2" xfId="6" xr:uid="{00000000-0005-0000-0000-000009000000}"/>
    <cellStyle name="Normal 3" xfId="12" xr:uid="{00000000-0005-0000-0000-00000A000000}"/>
    <cellStyle name="Normal 5" xfId="5" xr:uid="{00000000-0005-0000-0000-00000B000000}"/>
    <cellStyle name="Normal_T-INF-10-15-04-TEMPLATE" xfId="2" xr:uid="{00000000-0005-0000-0000-00000C000000}"/>
    <cellStyle name="Normal_UT 2008.Q2 - Compliance - Appendix B - AC Study_2008 08 05" xfId="18" xr:uid="{00000000-0005-0000-0000-00000D000000}"/>
    <cellStyle name="Password" xfId="13" xr:uid="{00000000-0005-0000-0000-00000E000000}"/>
    <cellStyle name="Percent" xfId="3" builtinId="5"/>
    <cellStyle name="Unprot" xfId="14" xr:uid="{00000000-0005-0000-0000-000010000000}"/>
    <cellStyle name="Unprot$" xfId="15" xr:uid="{00000000-0005-0000-0000-000011000000}"/>
    <cellStyle name="Unprotect" xfId="16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voided%20Cost%20-%202025\21%20-%20UTSch38_2025Q3%20IRPMar2025%20-%20Dec%202025\Sch%2038%20Filing\6_Appendix%20C.3%20-%20UT2025Q3%20-%20Step%20Study%20NON_CONF%20Wind.xlsx" TargetMode="External"/><Relationship Id="rId1" Type="http://schemas.openxmlformats.org/officeDocument/2006/relationships/externalLinkPath" Target="file:///F:\Avoided%20Cost%20-%202025\21%20-%20UTSch38_2025Q3%20IRPMar2025%20-%20Dec%202025\Sch%2038%20Filing\6_Appendix%20C.3%20-%20UT2025Q3%20-%20Step%20Study%20NON_CONF%20Win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5\21%20-%20UTSch38_2025Q3%20IRPMar2025%20-%20Dec%202025\Sch%2038%20Filing\4_Appendix%20B.3%20-%20UT%202025Q3_UT25IRP%20-%20Wind%20AC%20Study%20NON-CONF%20Routine%20Upd.xlsx" TargetMode="External"/><Relationship Id="rId1" Type="http://schemas.openxmlformats.org/officeDocument/2006/relationships/externalLinkPath" Target="file:///F:\Avoided%20Cost%20-%202025\21%20-%20UTSch38_2025Q3%20IRPMar2025%20-%20Dec%202025\Sch%2038%20Filing\4_Appendix%20B.3%20-%20UT%202025Q3_UT25IRP%20-%20Wind%20AC%20Study%20NON-CONF%20Routine%20Up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LINGS\UT\2025%20Dockets\25-035-30%20Quarterly%20Avoided%20Cost%20Update\3-24-26%20Q4\working%20docs\4.3_Appendix%20B.3%20-%20UT%202025Q4_UT25IRP%20-%20Wind%20AC%20Study%20NON-CONF%20Routine%20Up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voided%20Cost%20-%202025\21%20-%20UTSch38_2025Q3%20IRPMar2025%20-%20Dec%202025\Sch%2038%20Filing\8_Appendix%20D.3_UTSch38_2025Q3_Wind_AC%20Study%20NON-CONF%20NonRoutine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LINGS\UT\2025%20Dockets\25-035-30%20Quarterly%20Avoided%20Cost%20Update\3-24-26%20Q4\working%20docs\8_Appendix%20D.3_UTSch38_2025Q4_Wind_AC%20Study%20NON-CONF%20NonRoutine%20Update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6\04%20-%20UTSch38_2025Q4%20IRPDec2026%20-%20Mar%202026\Sch38%20Filing%20Package\10_Appendix%20E.3_UTSch38_2025Q4_Wind_AC%20Study%20NON-CONF%20NoDispl.xlsx" TargetMode="External"/><Relationship Id="rId1" Type="http://schemas.openxmlformats.org/officeDocument/2006/relationships/externalLinkPath" Target="file:///S:\FILINGS\UT\2025%20Dockets\25-035-30%20Quarterly%20Avoided%20Cost%20Update\3-24-26%20Q4\working%20docs\10_Appendix%20E.3_UTSch38_2025Q4_Wind_AC%20Study%20NON-CONF%20NoDis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Incremental"/>
      <sheetName val="Total"/>
      <sheetName val="Energy"/>
      <sheetName val="Capacity"/>
    </sheetNames>
    <sheetDataSet>
      <sheetData sheetId="0">
        <row r="12">
          <cell r="C12">
            <v>28.23</v>
          </cell>
          <cell r="E12">
            <v>29.34</v>
          </cell>
          <cell r="G12">
            <v>30.49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4"/>
      <sheetName val="Table 5"/>
      <sheetName val="Table3Compare"/>
      <sheetName val="Table 3 WD_.PX.DJW._.PTC.2028"/>
      <sheetName val="WD_.PX.DJW._.PTC.2029"/>
      <sheetName val="2025 IRP Assumptions"/>
      <sheetName val="PV_.PX.WMV._.PTC.2032"/>
      <sheetName val="Table 3 TransCost"/>
      <sheetName val="WD_.PX.WMV._.PTC.2032"/>
      <sheetName val="PV_.PX.WMV._.PTC.2036"/>
      <sheetName val="PV_.PX.YAK._.PTC.2032"/>
    </sheetNames>
    <sheetDataSet>
      <sheetData sheetId="0">
        <row r="13">
          <cell r="B13">
            <v>2026</v>
          </cell>
          <cell r="C13">
            <v>0</v>
          </cell>
          <cell r="D13"/>
          <cell r="E13">
            <v>20.297996736825336</v>
          </cell>
          <cell r="F13"/>
          <cell r="G13">
            <v>20.297996736825336</v>
          </cell>
        </row>
        <row r="14">
          <cell r="B14">
            <v>2027</v>
          </cell>
          <cell r="C14">
            <v>0</v>
          </cell>
          <cell r="D14"/>
          <cell r="E14">
            <v>23.527820930161532</v>
          </cell>
          <cell r="F14"/>
          <cell r="G14">
            <v>23.527820930161532</v>
          </cell>
        </row>
        <row r="15">
          <cell r="B15">
            <v>2028</v>
          </cell>
          <cell r="C15">
            <v>86.516893846414789</v>
          </cell>
          <cell r="D15"/>
          <cell r="E15">
            <v>-22.880878751965078</v>
          </cell>
          <cell r="F15"/>
          <cell r="G15">
            <v>9.5897973958543741</v>
          </cell>
        </row>
        <row r="16">
          <cell r="B16">
            <v>2029</v>
          </cell>
          <cell r="C16">
            <v>88.402962153489256</v>
          </cell>
          <cell r="D16"/>
          <cell r="E16">
            <v>-15.349678802404549</v>
          </cell>
          <cell r="F16"/>
          <cell r="G16">
            <v>17.914031040990768</v>
          </cell>
        </row>
        <row r="17">
          <cell r="B17">
            <v>2030</v>
          </cell>
          <cell r="C17">
            <v>90.330146681878915</v>
          </cell>
          <cell r="D17"/>
          <cell r="E17">
            <v>-10.763489895901809</v>
          </cell>
          <cell r="F17"/>
          <cell r="G17">
            <v>23.178104516597394</v>
          </cell>
        </row>
        <row r="18">
          <cell r="B18">
            <v>2031</v>
          </cell>
          <cell r="C18">
            <v>92.299343876400954</v>
          </cell>
          <cell r="D18"/>
          <cell r="E18">
            <v>-31.038717197239688</v>
          </cell>
          <cell r="F18"/>
          <cell r="G18">
            <v>3.6085603025978821</v>
          </cell>
        </row>
        <row r="19">
          <cell r="B19">
            <v>2032</v>
          </cell>
          <cell r="C19">
            <v>94.311469547302849</v>
          </cell>
          <cell r="D19"/>
          <cell r="E19">
            <v>-35.974452217005606</v>
          </cell>
          <cell r="F19"/>
          <cell r="G19">
            <v>-0.6475593516933138</v>
          </cell>
        </row>
        <row r="20">
          <cell r="B20">
            <v>2033</v>
          </cell>
          <cell r="C20">
            <v>96.367459584561033</v>
          </cell>
          <cell r="D20"/>
          <cell r="E20">
            <v>-36.417168965083306</v>
          </cell>
          <cell r="F20"/>
          <cell r="G20">
            <v>-0.17182693221004708</v>
          </cell>
        </row>
        <row r="21">
          <cell r="B21">
            <v>2034</v>
          </cell>
          <cell r="C21">
            <v>98.468270275347052</v>
          </cell>
          <cell r="D21"/>
          <cell r="E21">
            <v>-37.222684283134349</v>
          </cell>
          <cell r="F21"/>
          <cell r="G21">
            <v>-0.19526146332323571</v>
          </cell>
        </row>
        <row r="22">
          <cell r="B22">
            <v>2035</v>
          </cell>
          <cell r="C22">
            <v>100.61487854212692</v>
          </cell>
          <cell r="D22"/>
          <cell r="E22">
            <v>-37.523179578164012</v>
          </cell>
          <cell r="F22"/>
          <cell r="G22">
            <v>0.33555325414610571</v>
          </cell>
        </row>
        <row r="23">
          <cell r="B23">
            <v>2036</v>
          </cell>
          <cell r="C23">
            <v>102.80828289505959</v>
          </cell>
          <cell r="D23"/>
          <cell r="E23">
            <v>-29.212883074250218</v>
          </cell>
          <cell r="F23"/>
          <cell r="G23">
            <v>9.3927690815664171</v>
          </cell>
        </row>
        <row r="24">
          <cell r="B24">
            <v>2037</v>
          </cell>
          <cell r="C24">
            <v>105.04950343199673</v>
          </cell>
          <cell r="D24"/>
          <cell r="E24">
            <v>-27.36017399900053</v>
          </cell>
          <cell r="F24"/>
          <cell r="G24">
            <v>12.082600737389233</v>
          </cell>
        </row>
        <row r="25">
          <cell r="B25">
            <v>2038</v>
          </cell>
          <cell r="C25">
            <v>107.33958263214808</v>
          </cell>
          <cell r="D25"/>
          <cell r="E25">
            <v>8.8754219431696235</v>
          </cell>
          <cell r="F25"/>
          <cell r="G25">
            <v>49.242885494418339</v>
          </cell>
        </row>
        <row r="26">
          <cell r="B26">
            <v>2039</v>
          </cell>
          <cell r="C26">
            <v>109.67958551481426</v>
          </cell>
          <cell r="D26"/>
          <cell r="E26">
            <v>9.7020832648901862</v>
          </cell>
          <cell r="F26"/>
          <cell r="G26">
            <v>50.954328661271944</v>
          </cell>
        </row>
        <row r="27">
          <cell r="B27">
            <v>2040</v>
          </cell>
          <cell r="C27">
            <v>112.07060051241879</v>
          </cell>
          <cell r="D27"/>
          <cell r="E27">
            <v>11.62817486086653</v>
          </cell>
          <cell r="F27"/>
          <cell r="G27">
            <v>53.685290657681286</v>
          </cell>
        </row>
        <row r="28">
          <cell r="B28">
            <v>2041</v>
          </cell>
          <cell r="C28">
            <v>114.51373954987426</v>
          </cell>
          <cell r="D28"/>
          <cell r="E28">
            <v>13.243824180697521</v>
          </cell>
          <cell r="F28"/>
          <cell r="G28">
            <v>56.27241480336864</v>
          </cell>
        </row>
        <row r="29">
          <cell r="B29">
            <v>2042</v>
          </cell>
          <cell r="C29">
            <v>117.01013907634731</v>
          </cell>
          <cell r="D29"/>
          <cell r="E29">
            <v>21.203275688606492</v>
          </cell>
          <cell r="F29"/>
          <cell r="G29">
            <v>65.126478049629341</v>
          </cell>
        </row>
        <row r="30">
          <cell r="B30">
            <v>2043</v>
          </cell>
          <cell r="C30">
            <v>119.56096014462503</v>
          </cell>
          <cell r="D30"/>
          <cell r="E30">
            <v>22.202810211288142</v>
          </cell>
          <cell r="F30"/>
          <cell r="G30">
            <v>67.094179177193624</v>
          </cell>
        </row>
        <row r="31">
          <cell r="B31">
            <v>2044</v>
          </cell>
          <cell r="C31">
            <v>122.16738904604718</v>
          </cell>
          <cell r="D31"/>
          <cell r="E31">
            <v>22.15045646929584</v>
          </cell>
          <cell r="F31"/>
          <cell r="G31">
            <v>67.99402224278974</v>
          </cell>
        </row>
        <row r="32">
          <cell r="B32">
            <v>2045</v>
          </cell>
          <cell r="C32">
            <v>124.83063818353773</v>
          </cell>
          <cell r="D32"/>
          <cell r="E32">
            <v>22.704227610097824</v>
          </cell>
          <cell r="F32"/>
          <cell r="G32">
            <v>69.693902684830277</v>
          </cell>
        </row>
        <row r="33">
          <cell r="B33">
            <v>2046</v>
          </cell>
          <cell r="C33" t="e">
            <v>#N/A</v>
          </cell>
        </row>
        <row r="34">
          <cell r="B34">
            <v>2047</v>
          </cell>
          <cell r="C34"/>
        </row>
        <row r="35">
          <cell r="B35">
            <v>2048</v>
          </cell>
          <cell r="C35"/>
        </row>
      </sheetData>
      <sheetData sheetId="1"/>
      <sheetData sheetId="2"/>
      <sheetData sheetId="3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32.470676147819461</v>
          </cell>
        </row>
        <row r="19">
          <cell r="L19">
            <v>2029</v>
          </cell>
          <cell r="R19">
            <v>33.263709843395326</v>
          </cell>
        </row>
        <row r="20">
          <cell r="L20">
            <v>2030</v>
          </cell>
          <cell r="R20">
            <v>33.941594412499207</v>
          </cell>
        </row>
        <row r="21">
          <cell r="L21">
            <v>2031</v>
          </cell>
          <cell r="R21">
            <v>34.647277499837557</v>
          </cell>
        </row>
        <row r="22">
          <cell r="L22">
            <v>2032</v>
          </cell>
          <cell r="R22">
            <v>35.326892865312281</v>
          </cell>
        </row>
        <row r="23">
          <cell r="L23">
            <v>2033</v>
          </cell>
          <cell r="R23">
            <v>36.245342032873253</v>
          </cell>
        </row>
        <row r="24">
          <cell r="L24">
            <v>2034</v>
          </cell>
          <cell r="R24">
            <v>37.027422819811122</v>
          </cell>
        </row>
        <row r="25">
          <cell r="L25">
            <v>2035</v>
          </cell>
          <cell r="R25">
            <v>37.858732832310125</v>
          </cell>
        </row>
        <row r="26">
          <cell r="L26">
            <v>2036</v>
          </cell>
          <cell r="R26">
            <v>38.605652155816635</v>
          </cell>
        </row>
        <row r="27">
          <cell r="L27">
            <v>2037</v>
          </cell>
          <cell r="R27">
            <v>39.442774736389772</v>
          </cell>
        </row>
        <row r="28">
          <cell r="L28">
            <v>2038</v>
          </cell>
          <cell r="R28">
            <v>40.367463551248719</v>
          </cell>
        </row>
        <row r="29">
          <cell r="L29">
            <v>2039</v>
          </cell>
          <cell r="R29">
            <v>41.252245396381774</v>
          </cell>
        </row>
        <row r="30">
          <cell r="L30">
            <v>2040</v>
          </cell>
          <cell r="R30">
            <v>42.057115796814756</v>
          </cell>
        </row>
        <row r="31">
          <cell r="L31">
            <v>2041</v>
          </cell>
          <cell r="R31">
            <v>43.028590622671118</v>
          </cell>
        </row>
        <row r="32">
          <cell r="L32">
            <v>2042</v>
          </cell>
          <cell r="R32">
            <v>43.923202361022838</v>
          </cell>
        </row>
        <row r="33">
          <cell r="L33">
            <v>2043</v>
          </cell>
          <cell r="R33">
            <v>44.891368965905471</v>
          </cell>
        </row>
        <row r="34">
          <cell r="L34">
            <v>2044</v>
          </cell>
          <cell r="R34">
            <v>45.843565773493907</v>
          </cell>
        </row>
        <row r="35">
          <cell r="L35">
            <v>2045</v>
          </cell>
          <cell r="R35">
            <v>46.989675074732453</v>
          </cell>
        </row>
        <row r="36">
          <cell r="L36">
            <v>2046</v>
          </cell>
          <cell r="R36">
            <v>0</v>
          </cell>
        </row>
        <row r="37">
          <cell r="L37">
            <v>2047</v>
          </cell>
          <cell r="R37">
            <v>0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Table 2"/>
      <sheetName val="Table 4"/>
      <sheetName val="Table 5"/>
      <sheetName val="Table3Compare"/>
      <sheetName val="WD_.PX.DJW._.PTC.2028"/>
      <sheetName val="WD_.PX.DJW._.PTC.2029"/>
      <sheetName val="2025 IRP Assumptions"/>
      <sheetName val="Table 3 PV_.PX.WMV._.PTC.2032"/>
      <sheetName val="Table 3 TransCost"/>
      <sheetName val="WD_.PX.WMV._.PTC.2032"/>
      <sheetName val="PV_.PX.WMV._.PTC.2036"/>
      <sheetName val="PV_.PX.YAK._.PTC.2032"/>
    </sheetNames>
    <sheetDataSet>
      <sheetData sheetId="0">
        <row r="13">
          <cell r="B13">
            <v>2026</v>
          </cell>
          <cell r="C13">
            <v>0</v>
          </cell>
          <cell r="D13"/>
          <cell r="E13">
            <v>16.822317994522393</v>
          </cell>
        </row>
        <row r="14">
          <cell r="B14">
            <v>2027</v>
          </cell>
          <cell r="C14">
            <v>0</v>
          </cell>
          <cell r="D14"/>
          <cell r="E14">
            <v>21.931224233261091</v>
          </cell>
        </row>
        <row r="15">
          <cell r="B15">
            <v>2028</v>
          </cell>
          <cell r="C15">
            <v>86.516893846414789</v>
          </cell>
          <cell r="D15"/>
          <cell r="E15">
            <v>-23.705702205086919</v>
          </cell>
        </row>
        <row r="16">
          <cell r="B16">
            <v>2029</v>
          </cell>
          <cell r="C16">
            <v>88.402962153489256</v>
          </cell>
          <cell r="D16"/>
          <cell r="E16">
            <v>-16.030844344084329</v>
          </cell>
        </row>
        <row r="17">
          <cell r="B17">
            <v>2030</v>
          </cell>
          <cell r="C17">
            <v>90.330146681878915</v>
          </cell>
          <cell r="D17"/>
          <cell r="E17">
            <v>-9.3926741500646855</v>
          </cell>
        </row>
        <row r="18">
          <cell r="B18">
            <v>2031</v>
          </cell>
          <cell r="C18">
            <v>92.299343876400954</v>
          </cell>
          <cell r="D18"/>
          <cell r="E18">
            <v>-29.824179622429728</v>
          </cell>
        </row>
        <row r="19">
          <cell r="B19">
            <v>2032</v>
          </cell>
          <cell r="C19">
            <v>94.311469547302849</v>
          </cell>
          <cell r="D19"/>
          <cell r="E19">
            <v>-34.99137692828721</v>
          </cell>
        </row>
        <row r="20">
          <cell r="B20">
            <v>2033</v>
          </cell>
          <cell r="C20">
            <v>96.367459584561033</v>
          </cell>
          <cell r="D20"/>
          <cell r="E20">
            <v>-35.12506370758593</v>
          </cell>
        </row>
        <row r="21">
          <cell r="B21">
            <v>2034</v>
          </cell>
          <cell r="C21">
            <v>98.468270275347052</v>
          </cell>
          <cell r="D21"/>
          <cell r="E21">
            <v>-36.199701270559089</v>
          </cell>
        </row>
        <row r="22">
          <cell r="B22">
            <v>2035</v>
          </cell>
          <cell r="C22">
            <v>100.61487854212692</v>
          </cell>
          <cell r="D22"/>
          <cell r="E22">
            <v>-35.90100343627374</v>
          </cell>
        </row>
        <row r="23">
          <cell r="B23">
            <v>2036</v>
          </cell>
          <cell r="C23">
            <v>102.80828289505959</v>
          </cell>
          <cell r="D23"/>
          <cell r="E23">
            <v>-28.484968967066262</v>
          </cell>
        </row>
        <row r="24">
          <cell r="B24">
            <v>2037</v>
          </cell>
          <cell r="C24">
            <v>105.04950343199673</v>
          </cell>
          <cell r="D24"/>
          <cell r="E24">
            <v>-26.96727089277114</v>
          </cell>
        </row>
        <row r="25">
          <cell r="B25">
            <v>2038</v>
          </cell>
          <cell r="C25">
            <v>107.33958263214808</v>
          </cell>
          <cell r="D25"/>
          <cell r="E25">
            <v>9.8064802307814212</v>
          </cell>
        </row>
        <row r="26">
          <cell r="B26">
            <v>2039</v>
          </cell>
          <cell r="C26">
            <v>109.67958551481426</v>
          </cell>
          <cell r="D26"/>
          <cell r="E26">
            <v>10.816244583448125</v>
          </cell>
        </row>
        <row r="27">
          <cell r="B27">
            <v>2040</v>
          </cell>
          <cell r="C27">
            <v>112.07060051241879</v>
          </cell>
          <cell r="D27"/>
          <cell r="E27">
            <v>12.378247465304</v>
          </cell>
        </row>
        <row r="28">
          <cell r="B28">
            <v>2041</v>
          </cell>
          <cell r="C28">
            <v>114.51373954987426</v>
          </cell>
          <cell r="D28"/>
          <cell r="E28">
            <v>14.090808316273495</v>
          </cell>
        </row>
        <row r="29">
          <cell r="B29">
            <v>2042</v>
          </cell>
          <cell r="C29">
            <v>117.01013907634731</v>
          </cell>
          <cell r="D29"/>
          <cell r="E29">
            <v>22.830937380838861</v>
          </cell>
        </row>
        <row r="30">
          <cell r="B30">
            <v>2043</v>
          </cell>
          <cell r="C30">
            <v>119.56096014462503</v>
          </cell>
          <cell r="D30"/>
          <cell r="E30">
            <v>23.011141179248174</v>
          </cell>
        </row>
        <row r="31">
          <cell r="B31">
            <v>2044</v>
          </cell>
          <cell r="C31">
            <v>122.16738904604718</v>
          </cell>
          <cell r="D31"/>
          <cell r="E31">
            <v>24.404751162370115</v>
          </cell>
        </row>
        <row r="32">
          <cell r="B32">
            <v>2045</v>
          </cell>
          <cell r="C32">
            <v>124.83063818353773</v>
          </cell>
          <cell r="D32"/>
          <cell r="E32">
            <v>25.140583578537832</v>
          </cell>
        </row>
        <row r="33">
          <cell r="B33">
            <v>2046</v>
          </cell>
          <cell r="C33" t="e">
            <v>#N/A</v>
          </cell>
          <cell r="D33"/>
          <cell r="E33" t="e">
            <v>#DIV/0!</v>
          </cell>
        </row>
        <row r="34">
          <cell r="B34">
            <v>2047</v>
          </cell>
          <cell r="C34"/>
          <cell r="D34"/>
          <cell r="E34"/>
        </row>
        <row r="35">
          <cell r="B35">
            <v>2048</v>
          </cell>
          <cell r="C35"/>
          <cell r="D35"/>
          <cell r="E35"/>
        </row>
      </sheetData>
      <sheetData sheetId="1"/>
      <sheetData sheetId="2"/>
      <sheetData sheetId="3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32.470676147819461</v>
          </cell>
        </row>
        <row r="19">
          <cell r="L19">
            <v>2029</v>
          </cell>
          <cell r="R19">
            <v>33.263709843395326</v>
          </cell>
        </row>
        <row r="20">
          <cell r="L20">
            <v>2030</v>
          </cell>
          <cell r="R20">
            <v>33.941594412499207</v>
          </cell>
        </row>
        <row r="21">
          <cell r="L21">
            <v>2031</v>
          </cell>
          <cell r="R21">
            <v>34.647277499837557</v>
          </cell>
        </row>
        <row r="22">
          <cell r="L22">
            <v>2032</v>
          </cell>
          <cell r="R22">
            <v>35.326892865312281</v>
          </cell>
        </row>
        <row r="23">
          <cell r="L23">
            <v>2033</v>
          </cell>
          <cell r="R23">
            <v>36.245342032873253</v>
          </cell>
        </row>
        <row r="24">
          <cell r="L24">
            <v>2034</v>
          </cell>
          <cell r="R24">
            <v>37.027422819811122</v>
          </cell>
        </row>
        <row r="25">
          <cell r="L25">
            <v>2035</v>
          </cell>
          <cell r="R25">
            <v>37.858732832310125</v>
          </cell>
        </row>
        <row r="26">
          <cell r="L26">
            <v>2036</v>
          </cell>
          <cell r="R26">
            <v>38.605652155816635</v>
          </cell>
        </row>
        <row r="27">
          <cell r="L27">
            <v>2037</v>
          </cell>
          <cell r="R27">
            <v>39.442774736389772</v>
          </cell>
        </row>
        <row r="28">
          <cell r="L28">
            <v>2038</v>
          </cell>
          <cell r="R28">
            <v>40.367463551248719</v>
          </cell>
        </row>
        <row r="29">
          <cell r="L29">
            <v>2039</v>
          </cell>
          <cell r="R29">
            <v>41.252245396381774</v>
          </cell>
        </row>
        <row r="30">
          <cell r="L30">
            <v>2040</v>
          </cell>
          <cell r="R30">
            <v>42.057115796814756</v>
          </cell>
        </row>
        <row r="31">
          <cell r="L31">
            <v>2041</v>
          </cell>
          <cell r="R31">
            <v>43.028590622671118</v>
          </cell>
        </row>
        <row r="32">
          <cell r="L32">
            <v>2042</v>
          </cell>
          <cell r="R32">
            <v>43.923202361022838</v>
          </cell>
        </row>
        <row r="33">
          <cell r="L33">
            <v>2043</v>
          </cell>
          <cell r="R33">
            <v>44.891368965905471</v>
          </cell>
        </row>
        <row r="34">
          <cell r="L34">
            <v>2044</v>
          </cell>
          <cell r="R34">
            <v>45.843565773493907</v>
          </cell>
        </row>
        <row r="35">
          <cell r="L35">
            <v>2045</v>
          </cell>
          <cell r="R35">
            <v>47.225804095208488</v>
          </cell>
        </row>
        <row r="36">
          <cell r="L36">
            <v>2046</v>
          </cell>
          <cell r="R36">
            <v>0</v>
          </cell>
        </row>
        <row r="37">
          <cell r="L37">
            <v>2047</v>
          </cell>
          <cell r="R37">
            <v>0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 D.3"/>
      <sheetName val="Table 1"/>
      <sheetName val="Table 2"/>
      <sheetName val="Table 4"/>
      <sheetName val="Table 5"/>
      <sheetName val="Table3Compare"/>
      <sheetName val="2025 IRP Assumptions"/>
      <sheetName val="Table 3 WD_.PX.BDG._.PTC.2029"/>
      <sheetName val="WD_.PX.BDG._.PTC.2030"/>
      <sheetName val="WD_.PX.BDG._.PTC.2031"/>
      <sheetName val="WD_.PX.DJW._.PTC.2029"/>
      <sheetName val="WD_.PX.DJW._.PTC.2030"/>
      <sheetName val="WD_.PX.DJW._.PTC.2031"/>
      <sheetName val="PV_.PX.NTN._.PTC.2031"/>
      <sheetName val="PV_.PX.BDG._.PTC.2031"/>
      <sheetName val="PV_.PX.HTG._.PTC.2031"/>
      <sheetName val="PV_.PX.UTS._.PTC.2031"/>
      <sheetName val="GSC.PX.BDG._.___.Frame 2030"/>
    </sheetNames>
    <sheetDataSet>
      <sheetData sheetId="0"/>
      <sheetData sheetId="1">
        <row r="13">
          <cell r="B13">
            <v>2026</v>
          </cell>
          <cell r="C13">
            <v>0</v>
          </cell>
          <cell r="D13"/>
          <cell r="E13">
            <v>21.172259907329156</v>
          </cell>
          <cell r="F13"/>
          <cell r="G13">
            <v>21.172259907329156</v>
          </cell>
        </row>
        <row r="14">
          <cell r="B14">
            <v>2027</v>
          </cell>
          <cell r="C14">
            <v>0</v>
          </cell>
          <cell r="D14"/>
          <cell r="E14">
            <v>24.252065928193758</v>
          </cell>
          <cell r="F14"/>
          <cell r="G14">
            <v>24.252065928193758</v>
          </cell>
        </row>
        <row r="15">
          <cell r="B15">
            <v>2028</v>
          </cell>
          <cell r="C15">
            <v>0</v>
          </cell>
          <cell r="D15"/>
          <cell r="E15">
            <v>25.381324963702042</v>
          </cell>
          <cell r="F15"/>
          <cell r="G15">
            <v>25.381324963702042</v>
          </cell>
        </row>
        <row r="16">
          <cell r="B16">
            <v>2029</v>
          </cell>
          <cell r="C16">
            <v>87.012450721802509</v>
          </cell>
          <cell r="D16"/>
          <cell r="E16">
            <v>-37.708922993989304</v>
          </cell>
          <cell r="F16"/>
          <cell r="G16">
            <v>-4.9684260347645886</v>
          </cell>
        </row>
        <row r="17">
          <cell r="B17">
            <v>2030</v>
          </cell>
          <cell r="C17">
            <v>88.909322101713684</v>
          </cell>
          <cell r="D17"/>
          <cell r="E17">
            <v>-40.182582842210557</v>
          </cell>
          <cell r="F17"/>
          <cell r="G17">
            <v>-6.7748639231400754</v>
          </cell>
        </row>
        <row r="18">
          <cell r="B18">
            <v>2031</v>
          </cell>
          <cell r="C18">
            <v>90.847545320437561</v>
          </cell>
          <cell r="D18"/>
          <cell r="E18">
            <v>-42.654597512852199</v>
          </cell>
          <cell r="F18"/>
          <cell r="G18">
            <v>-8.5522953652737517</v>
          </cell>
        </row>
        <row r="19">
          <cell r="B19">
            <v>2032</v>
          </cell>
          <cell r="C19">
            <v>92.828021783222212</v>
          </cell>
          <cell r="D19"/>
          <cell r="E19">
            <v>-45.105255605456122</v>
          </cell>
          <cell r="F19"/>
          <cell r="G19">
            <v>-10.33402792577302</v>
          </cell>
        </row>
        <row r="20">
          <cell r="B20">
            <v>2033</v>
          </cell>
          <cell r="C20">
            <v>94.851672659205718</v>
          </cell>
          <cell r="D20"/>
          <cell r="E20">
            <v>-44.736406575680633</v>
          </cell>
          <cell r="F20"/>
          <cell r="G20">
            <v>-9.0611762360626305</v>
          </cell>
        </row>
        <row r="21">
          <cell r="B21">
            <v>2034</v>
          </cell>
          <cell r="C21">
            <v>96.919439193888962</v>
          </cell>
          <cell r="D21"/>
          <cell r="E21">
            <v>-45.523676484182502</v>
          </cell>
          <cell r="F21"/>
          <cell r="G21">
            <v>-9.0786668942295758</v>
          </cell>
        </row>
        <row r="22">
          <cell r="B22">
            <v>2035</v>
          </cell>
          <cell r="C22">
            <v>99.032282943489761</v>
          </cell>
          <cell r="D22"/>
          <cell r="E22">
            <v>-46.997289095428442</v>
          </cell>
          <cell r="F22"/>
          <cell r="G22">
            <v>-9.734045367896293</v>
          </cell>
        </row>
        <row r="23">
          <cell r="B23">
            <v>2036</v>
          </cell>
          <cell r="C23">
            <v>101.19118671236092</v>
          </cell>
          <cell r="D23"/>
          <cell r="E23">
            <v>-50.507995471933391</v>
          </cell>
          <cell r="F23"/>
          <cell r="G23">
            <v>-12.509580894391352</v>
          </cell>
        </row>
        <row r="24">
          <cell r="B24">
            <v>2037</v>
          </cell>
          <cell r="C24">
            <v>103.39715455298986</v>
          </cell>
          <cell r="D24"/>
          <cell r="E24">
            <v>-49.971041676004738</v>
          </cell>
          <cell r="F24"/>
          <cell r="G24">
            <v>-11.148671820089106</v>
          </cell>
        </row>
        <row r="25">
          <cell r="B25">
            <v>2038</v>
          </cell>
          <cell r="C25">
            <v>105.65121254718035</v>
          </cell>
          <cell r="D25"/>
          <cell r="E25">
            <v>-49.489292295417329</v>
          </cell>
          <cell r="F25"/>
          <cell r="G25">
            <v>-9.7567782771803131</v>
          </cell>
        </row>
        <row r="26">
          <cell r="B26">
            <v>2039</v>
          </cell>
          <cell r="C26">
            <v>107.95440896228862</v>
          </cell>
          <cell r="D26"/>
          <cell r="E26">
            <v>4.6713652684835569</v>
          </cell>
          <cell r="F26"/>
          <cell r="G26">
            <v>45.274744185631057</v>
          </cell>
        </row>
        <row r="27">
          <cell r="B27">
            <v>2040</v>
          </cell>
          <cell r="C27">
            <v>110.30781511052302</v>
          </cell>
          <cell r="D27"/>
          <cell r="E27">
            <v>3.0723902346804306</v>
          </cell>
          <cell r="F27"/>
          <cell r="G27">
            <v>44.467979552351807</v>
          </cell>
        </row>
        <row r="28">
          <cell r="B28">
            <v>2041</v>
          </cell>
          <cell r="C28">
            <v>112.71252542706206</v>
          </cell>
          <cell r="D28"/>
          <cell r="E28">
            <v>1.7664223522655798</v>
          </cell>
          <cell r="F28"/>
          <cell r="G28">
            <v>44.118205934847794</v>
          </cell>
        </row>
        <row r="29">
          <cell r="B29">
            <v>2042</v>
          </cell>
          <cell r="C29">
            <v>115.16965848559042</v>
          </cell>
          <cell r="D29"/>
          <cell r="E29">
            <v>3.0405994414099919</v>
          </cell>
          <cell r="F29"/>
          <cell r="G29">
            <v>46.272923199369181</v>
          </cell>
        </row>
        <row r="30">
          <cell r="B30">
            <v>2043</v>
          </cell>
          <cell r="C30">
            <v>117.68035707641688</v>
          </cell>
          <cell r="D30"/>
          <cell r="E30">
            <v>5.9227246274363754</v>
          </cell>
          <cell r="F30"/>
          <cell r="G30">
            <v>50.107986465135255</v>
          </cell>
        </row>
        <row r="31">
          <cell r="B31">
            <v>2044</v>
          </cell>
          <cell r="C31">
            <v>120.24578883141972</v>
          </cell>
          <cell r="D31"/>
          <cell r="E31">
            <v>4.8453609984596495</v>
          </cell>
          <cell r="F31"/>
          <cell r="G31">
            <v>49.967842311382583</v>
          </cell>
        </row>
        <row r="32">
          <cell r="B32">
            <v>2045</v>
          </cell>
          <cell r="C32">
            <v>122.86714708334605</v>
          </cell>
          <cell r="D32"/>
          <cell r="E32">
            <v>4.9664971516325558</v>
          </cell>
          <cell r="F32"/>
          <cell r="G32">
            <v>51.217060337227011</v>
          </cell>
        </row>
        <row r="33">
          <cell r="B33">
            <v>2046</v>
          </cell>
          <cell r="C33">
            <v>125.54565086581196</v>
          </cell>
          <cell r="D33"/>
          <cell r="E33">
            <v>5.0747667895381472</v>
          </cell>
          <cell r="F33"/>
          <cell r="G33">
            <v>52.333592243562734</v>
          </cell>
        </row>
        <row r="34">
          <cell r="B34">
            <v>2047</v>
          </cell>
          <cell r="C34">
            <v>128.28254600695647</v>
          </cell>
          <cell r="D34"/>
          <cell r="E34">
            <v>5.1853967055500769</v>
          </cell>
          <cell r="F34"/>
          <cell r="G34">
            <v>53.474464536505444</v>
          </cell>
        </row>
        <row r="35">
          <cell r="B35">
            <v>2048</v>
          </cell>
          <cell r="C35">
            <v>131.07910546113743</v>
          </cell>
          <cell r="D35"/>
          <cell r="E35">
            <v>5.2818946242866511</v>
          </cell>
          <cell r="F35"/>
          <cell r="G35">
            <v>54.469600440553563</v>
          </cell>
        </row>
        <row r="36">
          <cell r="B36">
            <v>2049</v>
          </cell>
          <cell r="C36">
            <v>133.93662991035634</v>
          </cell>
          <cell r="D36"/>
          <cell r="E36">
            <v>5.4139443098424094</v>
          </cell>
          <cell r="F36"/>
          <cell r="G36">
            <v>55.831364357305716</v>
          </cell>
        </row>
        <row r="37">
          <cell r="B37">
            <v>2050</v>
          </cell>
          <cell r="C37">
            <v>136.85644839148185</v>
          </cell>
          <cell r="D37"/>
          <cell r="E37">
            <v>5.5319682957969736</v>
          </cell>
          <cell r="F37"/>
          <cell r="G37">
            <v>57.048488081127203</v>
          </cell>
        </row>
        <row r="38">
          <cell r="B38">
            <v>2051</v>
          </cell>
          <cell r="C38">
            <v>139.83991891438581</v>
          </cell>
          <cell r="D38"/>
          <cell r="E38" t="e">
            <v>#DIV/0!</v>
          </cell>
          <cell r="F38"/>
          <cell r="G38" t="e">
            <v>#DIV/0!</v>
          </cell>
        </row>
        <row r="39">
          <cell r="B39">
            <v>2052</v>
          </cell>
          <cell r="C39">
            <v>142.88842909355478</v>
          </cell>
          <cell r="D39"/>
          <cell r="E39" t="e">
            <v>#DIV/0!</v>
          </cell>
          <cell r="F39"/>
          <cell r="G39" t="e">
            <v>#DIV/0!</v>
          </cell>
        </row>
        <row r="40">
          <cell r="B40">
            <v>2053</v>
          </cell>
          <cell r="C40">
            <v>146.0033967934707</v>
          </cell>
          <cell r="D40"/>
          <cell r="E40" t="e">
            <v>#DIV/0!</v>
          </cell>
          <cell r="F40"/>
          <cell r="G40" t="e">
            <v>#DIV/0!</v>
          </cell>
        </row>
      </sheetData>
      <sheetData sheetId="2"/>
      <sheetData sheetId="3"/>
      <sheetData sheetId="4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0</v>
          </cell>
        </row>
        <row r="19">
          <cell r="L19">
            <v>2029</v>
          </cell>
          <cell r="R19">
            <v>32.740496959224721</v>
          </cell>
        </row>
        <row r="20">
          <cell r="L20">
            <v>2030</v>
          </cell>
          <cell r="R20">
            <v>33.407718919070483</v>
          </cell>
        </row>
        <row r="21">
          <cell r="L21">
            <v>2031</v>
          </cell>
          <cell r="R21">
            <v>34.102302147578463</v>
          </cell>
        </row>
        <row r="22">
          <cell r="L22">
            <v>2032</v>
          </cell>
          <cell r="R22">
            <v>34.771227679683108</v>
          </cell>
        </row>
        <row r="23">
          <cell r="L23">
            <v>2033</v>
          </cell>
          <cell r="R23">
            <v>35.675230339618004</v>
          </cell>
        </row>
        <row r="24">
          <cell r="L24">
            <v>2034</v>
          </cell>
          <cell r="R24">
            <v>36.445009589952932</v>
          </cell>
        </row>
        <row r="25">
          <cell r="L25">
            <v>2035</v>
          </cell>
          <cell r="R25">
            <v>37.263243727532149</v>
          </cell>
        </row>
        <row r="26">
          <cell r="L26">
            <v>2036</v>
          </cell>
          <cell r="R26">
            <v>37.998414577542043</v>
          </cell>
        </row>
        <row r="27">
          <cell r="L27">
            <v>2037</v>
          </cell>
          <cell r="R27">
            <v>38.822369855915632</v>
          </cell>
        </row>
        <row r="28">
          <cell r="L28">
            <v>2038</v>
          </cell>
          <cell r="R28">
            <v>39.732514018237012</v>
          </cell>
        </row>
        <row r="29">
          <cell r="L29">
            <v>2039</v>
          </cell>
          <cell r="R29">
            <v>40.603378917147488</v>
          </cell>
        </row>
        <row r="30">
          <cell r="L30">
            <v>2040</v>
          </cell>
          <cell r="R30">
            <v>41.395589317671366</v>
          </cell>
        </row>
        <row r="31">
          <cell r="L31">
            <v>2041</v>
          </cell>
          <cell r="R31">
            <v>42.351783582582215</v>
          </cell>
        </row>
        <row r="32">
          <cell r="L32">
            <v>2042</v>
          </cell>
          <cell r="R32">
            <v>43.232323757959193</v>
          </cell>
        </row>
        <row r="33">
          <cell r="L33">
            <v>2043</v>
          </cell>
          <cell r="R33">
            <v>44.185261837698881</v>
          </cell>
        </row>
        <row r="34">
          <cell r="L34">
            <v>2044</v>
          </cell>
          <cell r="R34">
            <v>45.122481312922929</v>
          </cell>
        </row>
        <row r="35">
          <cell r="L35">
            <v>2045</v>
          </cell>
          <cell r="R35">
            <v>46.250563185594451</v>
          </cell>
        </row>
        <row r="36">
          <cell r="L36">
            <v>2046</v>
          </cell>
          <cell r="R36">
            <v>47.258825454024596</v>
          </cell>
        </row>
        <row r="37">
          <cell r="L37">
            <v>2047</v>
          </cell>
          <cell r="R37">
            <v>48.289067830955361</v>
          </cell>
        </row>
        <row r="38">
          <cell r="L38">
            <v>2048</v>
          </cell>
          <cell r="R38">
            <v>49.187705816266927</v>
          </cell>
        </row>
        <row r="39">
          <cell r="L39">
            <v>2049</v>
          </cell>
          <cell r="R39">
            <v>50.417420047463324</v>
          </cell>
        </row>
        <row r="40">
          <cell r="L40">
            <v>2050</v>
          </cell>
          <cell r="R40">
            <v>51.516519785330232</v>
          </cell>
        </row>
        <row r="41">
          <cell r="L41">
            <v>2051</v>
          </cell>
          <cell r="R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 D.3"/>
      <sheetName val="Table 1"/>
      <sheetName val="Table 2"/>
      <sheetName val="Table 4"/>
      <sheetName val="Table 5"/>
      <sheetName val="Table3Compare"/>
      <sheetName val="2025 IRP Assumptions"/>
      <sheetName val="WD_.PX.BDG._.PTC.2029"/>
      <sheetName val="WD_.PX.BDG._.PTC.2030"/>
      <sheetName val="WD_.PX.BDG._.PTC.2031"/>
      <sheetName val="WD_.PX.DJW._.PTC.2029"/>
      <sheetName val="WD_.PX.DJW._.PTC.2030"/>
      <sheetName val="WD_.PX.DJW._.PTC.2031"/>
      <sheetName val="Table 3 PV_.PX.NTN._.PTC.2031"/>
      <sheetName val="PV_.PX.BDG._.PTC.2031"/>
      <sheetName val="PV_.PX.HTG._.PTC.2031"/>
      <sheetName val="PV_.PX.UTS._.PTC.2031"/>
      <sheetName val="GSC.PX.BDG._.___.Frame 2030"/>
    </sheetNames>
    <sheetDataSet>
      <sheetData sheetId="0"/>
      <sheetData sheetId="1">
        <row r="13">
          <cell r="B13">
            <v>2026</v>
          </cell>
          <cell r="C13">
            <v>0</v>
          </cell>
          <cell r="D13"/>
          <cell r="E13">
            <v>17.602168798610805</v>
          </cell>
        </row>
        <row r="14">
          <cell r="B14">
            <v>2027</v>
          </cell>
          <cell r="C14">
            <v>0</v>
          </cell>
          <cell r="D14"/>
          <cell r="E14">
            <v>22.273937364678094</v>
          </cell>
        </row>
        <row r="15">
          <cell r="B15">
            <v>2028</v>
          </cell>
          <cell r="C15">
            <v>0</v>
          </cell>
          <cell r="D15"/>
          <cell r="E15">
            <v>23.676981109433868</v>
          </cell>
        </row>
        <row r="16">
          <cell r="B16">
            <v>2029</v>
          </cell>
          <cell r="C16">
            <v>87.012450721802509</v>
          </cell>
          <cell r="D16"/>
          <cell r="E16">
            <v>-37.568255489495535</v>
          </cell>
        </row>
        <row r="17">
          <cell r="B17">
            <v>2030</v>
          </cell>
          <cell r="C17">
            <v>88.909322101713684</v>
          </cell>
          <cell r="D17"/>
          <cell r="E17">
            <v>-40.325918766826916</v>
          </cell>
        </row>
        <row r="18">
          <cell r="B18">
            <v>2031</v>
          </cell>
          <cell r="C18">
            <v>90.847545320437561</v>
          </cell>
          <cell r="D18"/>
          <cell r="E18">
            <v>-42.872443140502995</v>
          </cell>
        </row>
        <row r="19">
          <cell r="B19">
            <v>2032</v>
          </cell>
          <cell r="C19">
            <v>92.828021783222212</v>
          </cell>
          <cell r="D19"/>
          <cell r="E19">
            <v>-45.924948918831312</v>
          </cell>
        </row>
        <row r="20">
          <cell r="B20">
            <v>2033</v>
          </cell>
          <cell r="C20">
            <v>94.851672659205718</v>
          </cell>
          <cell r="D20"/>
          <cell r="E20">
            <v>-45.248431243432854</v>
          </cell>
        </row>
        <row r="21">
          <cell r="B21">
            <v>2034</v>
          </cell>
          <cell r="C21">
            <v>96.919439193888962</v>
          </cell>
          <cell r="D21"/>
          <cell r="E21">
            <v>-45.992259401665621</v>
          </cell>
        </row>
        <row r="22">
          <cell r="B22">
            <v>2035</v>
          </cell>
          <cell r="C22">
            <v>99.032282943489761</v>
          </cell>
          <cell r="D22"/>
          <cell r="E22">
            <v>-47.760475887774106</v>
          </cell>
        </row>
        <row r="23">
          <cell r="B23">
            <v>2036</v>
          </cell>
          <cell r="C23">
            <v>101.19118671236092</v>
          </cell>
          <cell r="D23"/>
          <cell r="E23">
            <v>-49.659049351621086</v>
          </cell>
        </row>
        <row r="24">
          <cell r="B24">
            <v>2037</v>
          </cell>
          <cell r="C24">
            <v>103.39715455298986</v>
          </cell>
          <cell r="D24"/>
          <cell r="E24">
            <v>-50.025905106640899</v>
          </cell>
        </row>
        <row r="25">
          <cell r="B25">
            <v>2038</v>
          </cell>
          <cell r="C25">
            <v>105.65121254718035</v>
          </cell>
          <cell r="D25"/>
          <cell r="E25">
            <v>-48.79239919792149</v>
          </cell>
        </row>
        <row r="26">
          <cell r="B26">
            <v>2039</v>
          </cell>
          <cell r="C26">
            <v>107.95440896228862</v>
          </cell>
          <cell r="D26"/>
          <cell r="E26">
            <v>4.3619769713331111</v>
          </cell>
        </row>
        <row r="27">
          <cell r="B27">
            <v>2040</v>
          </cell>
          <cell r="C27">
            <v>110.30781511052302</v>
          </cell>
          <cell r="D27"/>
          <cell r="E27">
            <v>3.4023843393793687</v>
          </cell>
        </row>
        <row r="28">
          <cell r="B28">
            <v>2041</v>
          </cell>
          <cell r="C28">
            <v>112.71252542706206</v>
          </cell>
          <cell r="D28"/>
          <cell r="E28">
            <v>2.2806234945085322</v>
          </cell>
        </row>
        <row r="29">
          <cell r="B29">
            <v>2042</v>
          </cell>
          <cell r="C29">
            <v>115.16965848559042</v>
          </cell>
          <cell r="D29"/>
          <cell r="E29">
            <v>3.1584034744761826</v>
          </cell>
        </row>
        <row r="30">
          <cell r="B30">
            <v>2043</v>
          </cell>
          <cell r="C30">
            <v>117.68035707641688</v>
          </cell>
          <cell r="D30"/>
          <cell r="E30">
            <v>3.4416325959828558</v>
          </cell>
        </row>
        <row r="31">
          <cell r="B31">
            <v>2044</v>
          </cell>
          <cell r="C31">
            <v>120.24578883141972</v>
          </cell>
          <cell r="D31"/>
          <cell r="E31">
            <v>4.0647685438632397</v>
          </cell>
        </row>
        <row r="32">
          <cell r="B32">
            <v>2045</v>
          </cell>
          <cell r="C32">
            <v>122.86714708334605</v>
          </cell>
          <cell r="D32"/>
          <cell r="E32">
            <v>4.187326173682683</v>
          </cell>
        </row>
        <row r="33">
          <cell r="B33">
            <v>2046</v>
          </cell>
          <cell r="C33">
            <v>125.54565086581196</v>
          </cell>
          <cell r="D33"/>
          <cell r="E33">
            <v>4.3001104364512237</v>
          </cell>
        </row>
        <row r="34">
          <cell r="B34">
            <v>2047</v>
          </cell>
          <cell r="C34">
            <v>128.28254600695647</v>
          </cell>
          <cell r="D34"/>
          <cell r="E34">
            <v>4.4159325064983532</v>
          </cell>
        </row>
        <row r="35">
          <cell r="B35">
            <v>2048</v>
          </cell>
          <cell r="C35">
            <v>131.07910546113743</v>
          </cell>
          <cell r="D35"/>
          <cell r="E35" t="e">
            <v>#DIV/0!</v>
          </cell>
        </row>
      </sheetData>
      <sheetData sheetId="2"/>
      <sheetData sheetId="3"/>
      <sheetData sheetId="4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0</v>
          </cell>
        </row>
        <row r="19">
          <cell r="L19">
            <v>2029</v>
          </cell>
          <cell r="R19">
            <v>32.740496959224721</v>
          </cell>
        </row>
        <row r="20">
          <cell r="L20">
            <v>2030</v>
          </cell>
          <cell r="R20">
            <v>33.407718919070483</v>
          </cell>
        </row>
        <row r="21">
          <cell r="L21">
            <v>2031</v>
          </cell>
          <cell r="R21">
            <v>34.102302147578463</v>
          </cell>
        </row>
        <row r="22">
          <cell r="L22">
            <v>2032</v>
          </cell>
          <cell r="R22">
            <v>34.771227679683108</v>
          </cell>
        </row>
        <row r="23">
          <cell r="L23">
            <v>2033</v>
          </cell>
          <cell r="R23">
            <v>35.675230339618004</v>
          </cell>
        </row>
        <row r="24">
          <cell r="L24">
            <v>2034</v>
          </cell>
          <cell r="R24">
            <v>36.445009589952932</v>
          </cell>
        </row>
        <row r="25">
          <cell r="L25">
            <v>2035</v>
          </cell>
          <cell r="R25">
            <v>37.263243727532149</v>
          </cell>
        </row>
        <row r="26">
          <cell r="L26">
            <v>2036</v>
          </cell>
          <cell r="R26">
            <v>37.998414577542043</v>
          </cell>
        </row>
        <row r="27">
          <cell r="L27">
            <v>2037</v>
          </cell>
          <cell r="R27">
            <v>38.822369855915632</v>
          </cell>
        </row>
        <row r="28">
          <cell r="L28">
            <v>2038</v>
          </cell>
          <cell r="R28">
            <v>39.732514018237012</v>
          </cell>
        </row>
        <row r="29">
          <cell r="L29">
            <v>2039</v>
          </cell>
          <cell r="R29">
            <v>40.603378917147488</v>
          </cell>
        </row>
        <row r="30">
          <cell r="L30">
            <v>2040</v>
          </cell>
          <cell r="R30">
            <v>41.395589317671366</v>
          </cell>
        </row>
        <row r="31">
          <cell r="L31">
            <v>2041</v>
          </cell>
          <cell r="R31">
            <v>42.351783582582215</v>
          </cell>
        </row>
        <row r="32">
          <cell r="L32">
            <v>2042</v>
          </cell>
          <cell r="R32">
            <v>43.232323757959193</v>
          </cell>
        </row>
        <row r="33">
          <cell r="L33">
            <v>2043</v>
          </cell>
          <cell r="R33">
            <v>44.185261837698881</v>
          </cell>
        </row>
        <row r="34">
          <cell r="L34">
            <v>2044</v>
          </cell>
          <cell r="R34">
            <v>45.122481312922929</v>
          </cell>
        </row>
        <row r="35">
          <cell r="L35">
            <v>2045</v>
          </cell>
          <cell r="R35">
            <v>46.482978075974316</v>
          </cell>
        </row>
        <row r="36">
          <cell r="L36">
            <v>2046</v>
          </cell>
          <cell r="R36">
            <v>47.734981898461754</v>
          </cell>
        </row>
        <row r="37">
          <cell r="L37">
            <v>2047</v>
          </cell>
          <cell r="R37">
            <v>49.020708025829371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E.3"/>
      <sheetName val="Table 1"/>
      <sheetName val="Table 2"/>
      <sheetName val="Table 4"/>
      <sheetName val="Table 5"/>
      <sheetName val="Table3Compare"/>
      <sheetName val="2025 IRP Assumptions"/>
      <sheetName val="WD_.PX.BDG._.PTC.2029"/>
      <sheetName val="WD_.PX.BDG._.PTC.2030"/>
      <sheetName val="WD_.PX.BDG._.PTC.2031"/>
      <sheetName val="WD_.PX.DJW._.PTC.2029"/>
      <sheetName val="WD_.PX.DJW._.PTC.2030"/>
      <sheetName val="WD_.PX.DJW._.PTC.2031"/>
      <sheetName val="Table 3 PV_.PX.NTN._.PTC.2031"/>
      <sheetName val="PV_.PX.BDG._.PTC.2031"/>
      <sheetName val="PV_.PX.HTG._.PTC.2031"/>
      <sheetName val="PV_.PX.UTS._.PTC.2031"/>
      <sheetName val="GSC.PX.BDG._.___.Frame 2030"/>
    </sheetNames>
    <sheetDataSet>
      <sheetData sheetId="0"/>
      <sheetData sheetId="1">
        <row r="13">
          <cell r="B13">
            <v>2026</v>
          </cell>
          <cell r="C13">
            <v>0</v>
          </cell>
          <cell r="E13">
            <v>17.602168798610805</v>
          </cell>
        </row>
        <row r="14">
          <cell r="B14">
            <v>2027</v>
          </cell>
          <cell r="C14">
            <v>0</v>
          </cell>
          <cell r="E14">
            <v>22.273937364678094</v>
          </cell>
        </row>
        <row r="15">
          <cell r="B15">
            <v>2028</v>
          </cell>
          <cell r="C15">
            <v>0</v>
          </cell>
          <cell r="E15">
            <v>23.676981109437591</v>
          </cell>
        </row>
        <row r="16">
          <cell r="B16">
            <v>2029</v>
          </cell>
          <cell r="C16">
            <v>0</v>
          </cell>
          <cell r="E16">
            <v>27.288245157809815</v>
          </cell>
        </row>
        <row r="17">
          <cell r="B17">
            <v>2030</v>
          </cell>
          <cell r="C17">
            <v>0</v>
          </cell>
          <cell r="E17">
            <v>29.724791215939614</v>
          </cell>
        </row>
        <row r="18">
          <cell r="B18">
            <v>2031</v>
          </cell>
          <cell r="C18">
            <v>0</v>
          </cell>
          <cell r="E18">
            <v>31.330848220731003</v>
          </cell>
        </row>
        <row r="19">
          <cell r="B19">
            <v>2032</v>
          </cell>
          <cell r="C19">
            <v>0</v>
          </cell>
          <cell r="E19">
            <v>28.677933743363752</v>
          </cell>
        </row>
        <row r="20">
          <cell r="B20">
            <v>2033</v>
          </cell>
          <cell r="C20">
            <v>0</v>
          </cell>
          <cell r="E20">
            <v>29.235540833047434</v>
          </cell>
        </row>
        <row r="21">
          <cell r="B21">
            <v>2034</v>
          </cell>
          <cell r="C21">
            <v>0</v>
          </cell>
          <cell r="E21">
            <v>29.743446060149168</v>
          </cell>
        </row>
        <row r="22">
          <cell r="B22">
            <v>2035</v>
          </cell>
          <cell r="C22">
            <v>0</v>
          </cell>
          <cell r="E22">
            <v>30.290325085425973</v>
          </cell>
        </row>
        <row r="23">
          <cell r="B23">
            <v>2036</v>
          </cell>
          <cell r="C23">
            <v>0</v>
          </cell>
          <cell r="E23">
            <v>32.659200314483442</v>
          </cell>
        </row>
        <row r="24">
          <cell r="B24">
            <v>2037</v>
          </cell>
          <cell r="C24">
            <v>0</v>
          </cell>
          <cell r="E24">
            <v>33.79685407435921</v>
          </cell>
        </row>
        <row r="25">
          <cell r="B25">
            <v>2038</v>
          </cell>
          <cell r="C25">
            <v>0</v>
          </cell>
          <cell r="E25">
            <v>35.317527497122619</v>
          </cell>
        </row>
        <row r="26">
          <cell r="B26">
            <v>2039</v>
          </cell>
          <cell r="C26">
            <v>0</v>
          </cell>
          <cell r="E26">
            <v>35.465727270161793</v>
          </cell>
        </row>
        <row r="27">
          <cell r="B27">
            <v>2040</v>
          </cell>
          <cell r="C27">
            <v>0</v>
          </cell>
          <cell r="E27">
            <v>36.885367797818638</v>
          </cell>
        </row>
        <row r="28">
          <cell r="B28">
            <v>2041</v>
          </cell>
          <cell r="C28">
            <v>0</v>
          </cell>
          <cell r="E28">
            <v>39.952668407204101</v>
          </cell>
        </row>
        <row r="29">
          <cell r="B29">
            <v>2042</v>
          </cell>
          <cell r="C29">
            <v>0</v>
          </cell>
          <cell r="E29">
            <v>45.458507261574759</v>
          </cell>
        </row>
        <row r="30">
          <cell r="B30">
            <v>2043</v>
          </cell>
          <cell r="C30">
            <v>0</v>
          </cell>
          <cell r="E30">
            <v>51.200391838309422</v>
          </cell>
        </row>
        <row r="31">
          <cell r="B31">
            <v>2044</v>
          </cell>
          <cell r="C31">
            <v>0</v>
          </cell>
          <cell r="E31">
            <v>54.052353424622311</v>
          </cell>
        </row>
        <row r="32">
          <cell r="B32">
            <v>2045</v>
          </cell>
          <cell r="C32">
            <v>0</v>
          </cell>
          <cell r="E32">
            <v>55.682096483888486</v>
          </cell>
        </row>
        <row r="33">
          <cell r="B33">
            <v>2046</v>
          </cell>
          <cell r="C33">
            <v>0</v>
          </cell>
          <cell r="E33">
            <v>57.181875565062583</v>
          </cell>
        </row>
        <row r="34">
          <cell r="B34">
            <v>2047</v>
          </cell>
          <cell r="C34">
            <v>0</v>
          </cell>
          <cell r="E34">
            <v>58.722050705910505</v>
          </cell>
        </row>
      </sheetData>
      <sheetData sheetId="2"/>
      <sheetData sheetId="3"/>
      <sheetData sheetId="4">
        <row r="16">
          <cell r="L16">
            <v>2026</v>
          </cell>
          <cell r="R16">
            <v>0</v>
          </cell>
        </row>
        <row r="17">
          <cell r="L17">
            <v>2027</v>
          </cell>
          <cell r="R17">
            <v>0</v>
          </cell>
        </row>
        <row r="18">
          <cell r="L18">
            <v>2028</v>
          </cell>
          <cell r="R18">
            <v>0</v>
          </cell>
        </row>
        <row r="19">
          <cell r="L19">
            <v>2029</v>
          </cell>
          <cell r="R19">
            <v>0</v>
          </cell>
        </row>
        <row r="20">
          <cell r="L20">
            <v>2030</v>
          </cell>
          <cell r="R20">
            <v>0</v>
          </cell>
        </row>
        <row r="21">
          <cell r="L21">
            <v>2031</v>
          </cell>
          <cell r="R21">
            <v>0</v>
          </cell>
        </row>
        <row r="22">
          <cell r="L22">
            <v>2032</v>
          </cell>
          <cell r="R22">
            <v>0</v>
          </cell>
        </row>
        <row r="23">
          <cell r="L23">
            <v>2033</v>
          </cell>
          <cell r="R23">
            <v>0</v>
          </cell>
        </row>
        <row r="24">
          <cell r="L24">
            <v>2034</v>
          </cell>
          <cell r="R24">
            <v>0</v>
          </cell>
        </row>
        <row r="25">
          <cell r="L25">
            <v>2035</v>
          </cell>
          <cell r="R25">
            <v>0</v>
          </cell>
        </row>
        <row r="26">
          <cell r="L26">
            <v>2036</v>
          </cell>
          <cell r="R26">
            <v>0</v>
          </cell>
        </row>
        <row r="27">
          <cell r="L27">
            <v>2037</v>
          </cell>
          <cell r="R27">
            <v>0</v>
          </cell>
        </row>
        <row r="28">
          <cell r="L28">
            <v>2038</v>
          </cell>
          <cell r="R28">
            <v>0</v>
          </cell>
        </row>
        <row r="29">
          <cell r="L29">
            <v>2039</v>
          </cell>
          <cell r="R29">
            <v>0</v>
          </cell>
        </row>
        <row r="30">
          <cell r="L30">
            <v>2040</v>
          </cell>
          <cell r="R30">
            <v>0</v>
          </cell>
        </row>
        <row r="31">
          <cell r="L31">
            <v>2041</v>
          </cell>
          <cell r="R31">
            <v>0</v>
          </cell>
        </row>
        <row r="32">
          <cell r="L32">
            <v>2042</v>
          </cell>
          <cell r="R32">
            <v>0</v>
          </cell>
        </row>
        <row r="33">
          <cell r="L33">
            <v>2043</v>
          </cell>
          <cell r="R33">
            <v>0</v>
          </cell>
        </row>
        <row r="34">
          <cell r="L34">
            <v>2044</v>
          </cell>
          <cell r="R34">
            <v>0</v>
          </cell>
        </row>
        <row r="35">
          <cell r="L35">
            <v>2045</v>
          </cell>
          <cell r="R35">
            <v>0</v>
          </cell>
        </row>
        <row r="36">
          <cell r="L36">
            <v>2046</v>
          </cell>
          <cell r="R36">
            <v>0</v>
          </cell>
        </row>
        <row r="37">
          <cell r="L37">
            <v>2047</v>
          </cell>
          <cell r="R37">
            <v>0</v>
          </cell>
        </row>
        <row r="38">
          <cell r="L38">
            <v>2048</v>
          </cell>
          <cell r="R38">
            <v>0</v>
          </cell>
        </row>
        <row r="39">
          <cell r="L39">
            <v>2049</v>
          </cell>
          <cell r="R39">
            <v>0</v>
          </cell>
        </row>
        <row r="40">
          <cell r="L40">
            <v>2050</v>
          </cell>
          <cell r="R40">
            <v>0</v>
          </cell>
        </row>
        <row r="41">
          <cell r="L41">
            <v>2051</v>
          </cell>
          <cell r="R4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I26"/>
  <sheetViews>
    <sheetView showGridLines="0" tabSelected="1" view="pageBreakPreview" zoomScale="60" zoomScaleNormal="130" workbookViewId="0">
      <selection activeCell="A2" sqref="A2:H15"/>
    </sheetView>
  </sheetViews>
  <sheetFormatPr defaultColWidth="9.140625" defaultRowHeight="12.75" x14ac:dyDescent="0.2"/>
  <cols>
    <col min="1" max="1" width="22.7109375" style="47" customWidth="1"/>
    <col min="2" max="2" width="17.140625" style="47" customWidth="1"/>
    <col min="3" max="3" width="8.28515625" style="47" customWidth="1"/>
    <col min="4" max="4" width="8.5703125" style="47" customWidth="1"/>
    <col min="5" max="5" width="9.140625" style="47" customWidth="1"/>
    <col min="6" max="6" width="9" style="47" customWidth="1"/>
    <col min="7" max="7" width="8.42578125" style="47" customWidth="1"/>
    <col min="8" max="8" width="9" style="47" customWidth="1"/>
    <col min="9" max="16384" width="9.140625" style="47"/>
  </cols>
  <sheetData>
    <row r="1" spans="1:9" ht="13.5" thickBot="1" x14ac:dyDescent="0.25"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77" t="s">
        <v>18</v>
      </c>
      <c r="B2" s="78"/>
      <c r="C2" s="99" t="s">
        <v>20</v>
      </c>
      <c r="D2" s="99"/>
      <c r="E2" s="99"/>
      <c r="F2" s="99"/>
      <c r="G2" s="99"/>
      <c r="H2" s="100"/>
      <c r="I2" s="46"/>
    </row>
    <row r="3" spans="1:9" ht="15.75" customHeight="1" thickBot="1" x14ac:dyDescent="0.25">
      <c r="A3" s="79"/>
      <c r="B3" s="86" t="s">
        <v>15</v>
      </c>
      <c r="C3" s="98" t="str">
        <f>Incremental!B31</f>
        <v>2026 - 2040</v>
      </c>
      <c r="D3" s="98"/>
      <c r="E3" s="98" t="str">
        <f>Incremental!B32</f>
        <v>2027 - 2041</v>
      </c>
      <c r="F3" s="98"/>
      <c r="G3" s="98" t="str">
        <f>Incremental!B33</f>
        <v>2028 - 2042</v>
      </c>
      <c r="H3" s="101"/>
      <c r="I3" s="46"/>
    </row>
    <row r="4" spans="1:9" ht="13.5" thickBot="1" x14ac:dyDescent="0.25">
      <c r="A4" s="106" t="s">
        <v>22</v>
      </c>
      <c r="B4" s="107"/>
      <c r="C4" s="61">
        <f>Total!$C$31</f>
        <v>16.47</v>
      </c>
      <c r="D4" s="62"/>
      <c r="E4" s="61">
        <f>Total!$C$32</f>
        <v>17.73</v>
      </c>
      <c r="F4" s="62"/>
      <c r="G4" s="61">
        <f>Total!$C$33</f>
        <v>19.100000000000001</v>
      </c>
      <c r="H4" s="62"/>
      <c r="I4" s="46"/>
    </row>
    <row r="5" spans="1:9" ht="13.5" thickBot="1" x14ac:dyDescent="0.25">
      <c r="A5" s="80"/>
      <c r="B5" s="87" t="s">
        <v>21</v>
      </c>
      <c r="C5" s="65">
        <f>Total!$D$31</f>
        <v>16.53</v>
      </c>
      <c r="D5" s="85">
        <f>C5-C4</f>
        <v>6.0000000000002274E-2</v>
      </c>
      <c r="E5" s="65">
        <f>Total!$D$32</f>
        <v>18.2</v>
      </c>
      <c r="F5" s="85">
        <f>E5-E4</f>
        <v>0.46999999999999886</v>
      </c>
      <c r="G5" s="65">
        <f>Total!$D$33</f>
        <v>19.829999999999998</v>
      </c>
      <c r="H5" s="85">
        <f>G5-G4</f>
        <v>0.72999999999999687</v>
      </c>
      <c r="I5" s="46"/>
    </row>
    <row r="6" spans="1:9" x14ac:dyDescent="0.2">
      <c r="A6" s="81"/>
      <c r="B6" s="88" t="str">
        <f>"Nominal Levelized Payment at "&amp;TEXT(Discount_Rate,"0.00%")&amp;" Discount Rate"</f>
        <v>Nominal Levelized Payment at 6.38% Discount Rate</v>
      </c>
      <c r="C6" s="89"/>
      <c r="D6" s="89"/>
      <c r="E6" s="46"/>
      <c r="F6" s="46"/>
      <c r="G6" s="46"/>
      <c r="H6" s="84"/>
      <c r="I6" s="46"/>
    </row>
    <row r="7" spans="1:9" ht="3.75" customHeight="1" x14ac:dyDescent="0.2">
      <c r="A7" s="81"/>
      <c r="B7" s="90"/>
      <c r="C7" s="89"/>
      <c r="D7" s="89"/>
      <c r="E7" s="46"/>
      <c r="F7" s="46"/>
      <c r="G7" s="46"/>
      <c r="H7" s="84"/>
      <c r="I7" s="46"/>
    </row>
    <row r="8" spans="1:9" x14ac:dyDescent="0.2">
      <c r="A8" s="82" t="s">
        <v>19</v>
      </c>
      <c r="B8" s="91"/>
      <c r="C8" s="102" t="s">
        <v>20</v>
      </c>
      <c r="D8" s="102"/>
      <c r="E8" s="102"/>
      <c r="F8" s="102"/>
      <c r="G8" s="102"/>
      <c r="H8" s="103"/>
    </row>
    <row r="9" spans="1:9" ht="13.5" thickBot="1" x14ac:dyDescent="0.25">
      <c r="A9" s="81"/>
      <c r="B9" s="92" t="s">
        <v>15</v>
      </c>
      <c r="C9" s="98" t="str">
        <f>C3</f>
        <v>2026 - 2040</v>
      </c>
      <c r="D9" s="98"/>
      <c r="E9" s="98" t="str">
        <f>E3</f>
        <v>2027 - 2041</v>
      </c>
      <c r="F9" s="98"/>
      <c r="G9" s="98" t="str">
        <f>G3</f>
        <v>2028 - 2042</v>
      </c>
      <c r="H9" s="101"/>
    </row>
    <row r="10" spans="1:9" ht="13.5" thickBot="1" x14ac:dyDescent="0.25">
      <c r="A10" s="104" t="s">
        <v>23</v>
      </c>
      <c r="B10" s="105"/>
      <c r="C10" s="61">
        <f>Total!$E$31</f>
        <v>4.8099999999999996</v>
      </c>
      <c r="D10" s="62"/>
      <c r="E10" s="61">
        <f>Total!$E$32</f>
        <v>4.7300000000000004</v>
      </c>
      <c r="F10" s="62"/>
      <c r="G10" s="61">
        <f>Total!$E$33</f>
        <v>4.4000000000000004</v>
      </c>
      <c r="H10" s="62"/>
    </row>
    <row r="11" spans="1:9" ht="13.5" thickBot="1" x14ac:dyDescent="0.25">
      <c r="A11" s="83"/>
      <c r="B11" s="87" t="s">
        <v>21</v>
      </c>
      <c r="C11" s="65">
        <f>Total!$F$31</f>
        <v>4.0199999999999996</v>
      </c>
      <c r="D11" s="85">
        <f>C11-C10</f>
        <v>-0.79</v>
      </c>
      <c r="E11" s="65">
        <f>Total!$F$32</f>
        <v>4.29</v>
      </c>
      <c r="F11" s="85">
        <f>E11-E10</f>
        <v>-0.44000000000000039</v>
      </c>
      <c r="G11" s="65">
        <f>Total!$F$33</f>
        <v>4.1500000000000004</v>
      </c>
      <c r="H11" s="85">
        <f>G11-G10</f>
        <v>-0.25</v>
      </c>
    </row>
    <row r="12" spans="1:9" ht="4.5" customHeight="1" thickBot="1" x14ac:dyDescent="0.25">
      <c r="A12" s="83"/>
      <c r="B12" s="87"/>
      <c r="C12" s="65"/>
      <c r="D12" s="85"/>
      <c r="E12" s="65"/>
      <c r="F12" s="85"/>
      <c r="G12" s="65"/>
      <c r="H12" s="85"/>
    </row>
    <row r="13" spans="1:9" ht="13.5" thickBot="1" x14ac:dyDescent="0.25">
      <c r="A13" s="104" t="s">
        <v>25</v>
      </c>
      <c r="B13" s="105"/>
      <c r="C13" s="65">
        <f>[1]Summary!C12</f>
        <v>28.23</v>
      </c>
      <c r="D13" s="85"/>
      <c r="E13" s="65">
        <f>[1]Summary!E12</f>
        <v>29.34</v>
      </c>
      <c r="F13" s="85"/>
      <c r="G13" s="65">
        <f>[1]Summary!G12</f>
        <v>30.49</v>
      </c>
      <c r="H13" s="85"/>
    </row>
    <row r="14" spans="1:9" ht="13.5" thickBot="1" x14ac:dyDescent="0.25">
      <c r="A14" s="83"/>
      <c r="B14" s="87" t="s">
        <v>21</v>
      </c>
      <c r="C14" s="65">
        <f>Total!$G$31</f>
        <v>28.32</v>
      </c>
      <c r="D14" s="85">
        <f>C14-C13</f>
        <v>8.9999999999999858E-2</v>
      </c>
      <c r="E14" s="65">
        <f>Total!$G$32</f>
        <v>29.94</v>
      </c>
      <c r="F14" s="85">
        <f>E14-E13</f>
        <v>0.60000000000000142</v>
      </c>
      <c r="G14" s="65">
        <f>Total!$G$33</f>
        <v>31.4</v>
      </c>
      <c r="H14" s="85">
        <f>G14-G13</f>
        <v>0.91000000000000014</v>
      </c>
    </row>
    <row r="15" spans="1:9" ht="13.5" thickBot="1" x14ac:dyDescent="0.25">
      <c r="A15" s="93"/>
      <c r="B15" s="94" t="str">
        <f>"Nominal Levelized Payment at "&amp;TEXT(Discount_Rate,"0.00%")&amp;" Discount Rate"</f>
        <v>Nominal Levelized Payment at 6.38% Discount Rate</v>
      </c>
      <c r="C15" s="95"/>
      <c r="D15" s="95"/>
      <c r="E15" s="96"/>
      <c r="F15" s="96"/>
      <c r="G15" s="96"/>
      <c r="H15" s="97"/>
    </row>
    <row r="16" spans="1:9" x14ac:dyDescent="0.2">
      <c r="C16" s="56"/>
      <c r="E16" s="56"/>
      <c r="G16" s="56"/>
    </row>
    <row r="18" spans="2:9" x14ac:dyDescent="0.2">
      <c r="B18" s="48"/>
      <c r="C18" s="49"/>
      <c r="D18" s="75"/>
      <c r="E18" s="49"/>
      <c r="F18" s="49"/>
      <c r="G18" s="49"/>
      <c r="H18" s="49"/>
      <c r="I18" s="49"/>
    </row>
    <row r="19" spans="2:9" x14ac:dyDescent="0.2">
      <c r="B19"/>
      <c r="C19"/>
      <c r="D19" s="76"/>
      <c r="E19"/>
      <c r="F19"/>
      <c r="G19"/>
      <c r="H19"/>
      <c r="I19"/>
    </row>
    <row r="20" spans="2:9" x14ac:dyDescent="0.2">
      <c r="B20" s="50"/>
      <c r="C20"/>
      <c r="D20" s="51"/>
      <c r="E20" s="52"/>
      <c r="F20" s="52"/>
      <c r="G20"/>
      <c r="H20"/>
      <c r="I20"/>
    </row>
    <row r="21" spans="2:9" x14ac:dyDescent="0.2">
      <c r="B21"/>
      <c r="C21"/>
      <c r="D21" s="51"/>
      <c r="E21" s="51"/>
      <c r="F21" s="51"/>
      <c r="G21" s="53"/>
      <c r="H21" s="53"/>
      <c r="I21" s="53"/>
    </row>
    <row r="22" spans="2:9" x14ac:dyDescent="0.2">
      <c r="B22"/>
      <c r="C22"/>
      <c r="D22" s="51"/>
      <c r="E22" s="51"/>
      <c r="F22" s="51"/>
      <c r="G22" s="53"/>
      <c r="H22" s="53"/>
      <c r="I22" s="53"/>
    </row>
    <row r="23" spans="2:9" x14ac:dyDescent="0.2">
      <c r="B23"/>
      <c r="C23"/>
      <c r="D23" s="51"/>
      <c r="E23" s="51"/>
      <c r="F23" s="51"/>
      <c r="G23" s="53"/>
      <c r="H23" s="53"/>
      <c r="I23" s="53"/>
    </row>
    <row r="24" spans="2:9" x14ac:dyDescent="0.2">
      <c r="B24"/>
      <c r="C24"/>
      <c r="D24" s="51"/>
      <c r="E24" s="51"/>
      <c r="F24" s="51"/>
      <c r="G24" s="53"/>
      <c r="H24" s="53"/>
      <c r="I24" s="53"/>
    </row>
    <row r="25" spans="2:9" x14ac:dyDescent="0.2">
      <c r="B25"/>
      <c r="C25"/>
      <c r="D25" s="51"/>
      <c r="E25" s="51"/>
      <c r="F25" s="51"/>
      <c r="G25" s="53"/>
      <c r="H25" s="53"/>
      <c r="I25" s="53"/>
    </row>
    <row r="26" spans="2:9" x14ac:dyDescent="0.2">
      <c r="B26"/>
      <c r="C26"/>
      <c r="D26" s="51"/>
      <c r="E26" s="51"/>
      <c r="F26" s="51"/>
      <c r="G26" s="53"/>
      <c r="H26" s="53"/>
      <c r="I26" s="53"/>
    </row>
  </sheetData>
  <mergeCells count="11">
    <mergeCell ref="A13:B13"/>
    <mergeCell ref="C9:D9"/>
    <mergeCell ref="E9:F9"/>
    <mergeCell ref="G9:H9"/>
    <mergeCell ref="A4:B4"/>
    <mergeCell ref="A10:B10"/>
    <mergeCell ref="E3:F3"/>
    <mergeCell ref="C2:H2"/>
    <mergeCell ref="C3:D3"/>
    <mergeCell ref="G3:H3"/>
    <mergeCell ref="C8:H8"/>
  </mergeCells>
  <pageMargins left="0.7" right="0.7" top="0.75" bottom="0.75" header="0.3" footer="0.3"/>
  <pageSetup scale="84" orientation="portrait" r:id="rId1"/>
  <ignoredErrors>
    <ignoredError sqref="E5 G5 G11 E11 E14 G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42"/>
    <pageSetUpPr fitToPage="1"/>
  </sheetPr>
  <dimension ref="B1:G42"/>
  <sheetViews>
    <sheetView showGridLines="0" tabSelected="1" view="pageBreakPreview" zoomScale="60" zoomScaleNormal="60" workbookViewId="0">
      <pane xSplit="2" ySplit="9" topLeftCell="C11" activePane="bottomRight" state="frozen"/>
      <selection activeCell="A2" sqref="A2:H15"/>
      <selection pane="topRight" activeCell="A2" sqref="A2:H15"/>
      <selection pane="bottomLeft" activeCell="A2" sqref="A2:H15"/>
      <selection pane="bottomRight" activeCell="A2" sqref="A2:H15"/>
    </sheetView>
  </sheetViews>
  <sheetFormatPr defaultColWidth="9.140625" defaultRowHeight="15" x14ac:dyDescent="0.2"/>
  <cols>
    <col min="1" max="1" width="1.85546875" style="1" customWidth="1"/>
    <col min="2" max="2" width="17" style="1" customWidth="1"/>
    <col min="3" max="3" width="23.28515625" style="1" customWidth="1"/>
    <col min="4" max="4" width="23.5703125" style="1" customWidth="1"/>
    <col min="5" max="5" width="29" style="1" customWidth="1"/>
    <col min="6" max="6" width="11" style="1" customWidth="1"/>
    <col min="7" max="7" width="10.85546875" style="1" bestFit="1" customWidth="1"/>
    <col min="8" max="16384" width="9.140625" style="1"/>
  </cols>
  <sheetData>
    <row r="1" spans="2:7" ht="15.75" x14ac:dyDescent="0.25">
      <c r="B1" s="4" t="str">
        <f>Total!B1</f>
        <v>Appendix C</v>
      </c>
      <c r="C1" s="4"/>
      <c r="D1" s="4"/>
      <c r="E1" s="4"/>
    </row>
    <row r="2" spans="2:7" ht="8.25" customHeight="1" x14ac:dyDescent="0.25">
      <c r="B2" s="4"/>
      <c r="C2" s="4"/>
      <c r="D2" s="4"/>
      <c r="E2" s="4"/>
    </row>
    <row r="3" spans="2:7" ht="15.75" x14ac:dyDescent="0.25">
      <c r="B3" s="4" t="str">
        <f>Total!B3</f>
        <v>Utah Quarterly Compliance Filing</v>
      </c>
      <c r="C3" s="4"/>
      <c r="D3" s="4"/>
      <c r="E3" s="4"/>
    </row>
    <row r="4" spans="2:7" ht="15.75" x14ac:dyDescent="0.25">
      <c r="B4" s="4" t="str">
        <f>Capacity!$B$4</f>
        <v>Step Study between 2025.Q4 and 2025.Q3 Compliance Filing</v>
      </c>
      <c r="C4" s="4"/>
      <c r="D4" s="4"/>
      <c r="E4" s="4"/>
    </row>
    <row r="5" spans="2:7" ht="15.75" x14ac:dyDescent="0.25">
      <c r="B5" s="4" t="s">
        <v>10</v>
      </c>
      <c r="C5" s="4"/>
      <c r="D5" s="4"/>
      <c r="E5" s="4"/>
    </row>
    <row r="7" spans="2:7" ht="92.25" customHeight="1" x14ac:dyDescent="0.25">
      <c r="B7" s="8"/>
      <c r="C7" s="63" t="str">
        <f>Total!D7&amp;"  OFPC September 2025"</f>
        <v>2025.Q4 with Routine Update  OFPC September 2025</v>
      </c>
      <c r="D7" s="63" t="str">
        <f>Total!F7&amp;"  OFPC September 2025"</f>
        <v>2025.Q4 with Non-Routine Update  OFPC September 2025</v>
      </c>
      <c r="E7" s="63" t="str">
        <f>Total!G7&amp;"  OFPC September 2025"</f>
        <v>2025.Q4 with Non-Routine Update  OFPC September 2025</v>
      </c>
    </row>
    <row r="8" spans="2:7" ht="15.75" x14ac:dyDescent="0.25">
      <c r="B8" s="5" t="s">
        <v>0</v>
      </c>
      <c r="C8" s="44" t="s">
        <v>11</v>
      </c>
      <c r="D8" s="44" t="s">
        <v>11</v>
      </c>
      <c r="E8" s="44" t="s">
        <v>11</v>
      </c>
    </row>
    <row r="9" spans="2:7" ht="4.7" customHeight="1" x14ac:dyDescent="0.2"/>
    <row r="10" spans="2:7" ht="15.75" hidden="1" x14ac:dyDescent="0.25">
      <c r="B10" s="2">
        <f>Total!B10</f>
        <v>0</v>
      </c>
      <c r="C10" s="2"/>
      <c r="D10" s="2"/>
      <c r="E10" s="2"/>
      <c r="F10" s="43"/>
      <c r="G10" s="10"/>
    </row>
    <row r="11" spans="2:7" ht="15.75" x14ac:dyDescent="0.25">
      <c r="B11" s="2">
        <f>Total!B11</f>
        <v>2026</v>
      </c>
      <c r="C11" s="36">
        <f>ROUND(Total!D11-Total!C11,3)</f>
        <v>-3.476</v>
      </c>
      <c r="D11" s="36">
        <f>ROUND(Total!F11-Total!E11,3)</f>
        <v>-3.57</v>
      </c>
      <c r="E11" s="36">
        <f>ROUND(Total!G11-Total!F11,3)</f>
        <v>0</v>
      </c>
      <c r="F11" s="43"/>
      <c r="G11" s="10"/>
    </row>
    <row r="12" spans="2:7" ht="15.75" x14ac:dyDescent="0.25">
      <c r="B12" s="2">
        <f t="shared" ref="B12:B28" si="0">B11+1</f>
        <v>2027</v>
      </c>
      <c r="C12" s="36">
        <f>ROUND(Total!D12-Total!C12,3)</f>
        <v>-1.597</v>
      </c>
      <c r="D12" s="36">
        <f>ROUND(Total!F12-Total!E12,3)</f>
        <v>-1.978</v>
      </c>
      <c r="E12" s="36">
        <f>ROUND(Total!G12-Total!F12,3)</f>
        <v>0</v>
      </c>
      <c r="F12" s="43"/>
      <c r="G12" s="10"/>
    </row>
    <row r="13" spans="2:7" ht="15.75" x14ac:dyDescent="0.25">
      <c r="B13" s="2">
        <f t="shared" si="0"/>
        <v>2028</v>
      </c>
      <c r="C13" s="36">
        <f>ROUND(Total!D13-Total!C13,3)</f>
        <v>-0.82499999999999996</v>
      </c>
      <c r="D13" s="36">
        <f>ROUND(Total!F13-Total!E13,3)</f>
        <v>-1.704</v>
      </c>
      <c r="E13" s="36">
        <f>ROUND(Total!G13-Total!F13,3)</f>
        <v>0</v>
      </c>
      <c r="F13" s="43"/>
      <c r="G13" s="10"/>
    </row>
    <row r="14" spans="2:7" ht="15.75" x14ac:dyDescent="0.25">
      <c r="B14" s="2">
        <f t="shared" si="0"/>
        <v>2029</v>
      </c>
      <c r="C14" s="36">
        <f>ROUND(Total!D14-Total!C14,3)</f>
        <v>-0.68100000000000005</v>
      </c>
      <c r="D14" s="36">
        <f>ROUND(Total!F14-Total!E14,3)</f>
        <v>0.14099999999999999</v>
      </c>
      <c r="E14" s="36">
        <f>ROUND(Total!G14-Total!F14,3)</f>
        <v>32.116</v>
      </c>
      <c r="F14" s="43"/>
      <c r="G14" s="10"/>
    </row>
    <row r="15" spans="2:7" ht="15.75" x14ac:dyDescent="0.25">
      <c r="B15" s="2">
        <f t="shared" si="0"/>
        <v>2030</v>
      </c>
      <c r="C15" s="36">
        <f>ROUND(Total!D15-Total!C15,3)</f>
        <v>1.37</v>
      </c>
      <c r="D15" s="36">
        <f>ROUND(Total!F15-Total!E15,3)</f>
        <v>-0.14299999999999999</v>
      </c>
      <c r="E15" s="36">
        <f>ROUND(Total!G15-Total!F15,3)</f>
        <v>36.643000000000001</v>
      </c>
      <c r="F15" s="43"/>
      <c r="G15" s="10"/>
    </row>
    <row r="16" spans="2:7" ht="15.75" x14ac:dyDescent="0.25">
      <c r="B16" s="2">
        <f t="shared" si="0"/>
        <v>2031</v>
      </c>
      <c r="C16" s="36">
        <f>ROUND(Total!D16-Total!C16,3)</f>
        <v>1.2150000000000001</v>
      </c>
      <c r="D16" s="36">
        <f>ROUND(Total!F16-Total!E16,3)</f>
        <v>-0.217</v>
      </c>
      <c r="E16" s="36">
        <f>ROUND(Total!G16-Total!F16,3)</f>
        <v>40.100999999999999</v>
      </c>
      <c r="F16" s="43"/>
      <c r="G16" s="10"/>
    </row>
    <row r="17" spans="2:7" ht="15.75" x14ac:dyDescent="0.25">
      <c r="B17" s="2">
        <f t="shared" si="0"/>
        <v>2032</v>
      </c>
      <c r="C17" s="36">
        <f>ROUND(Total!D17-Total!C17,3)</f>
        <v>0.98299999999999998</v>
      </c>
      <c r="D17" s="36">
        <f>ROUND(Total!F17-Total!E17,3)</f>
        <v>-0.82</v>
      </c>
      <c r="E17" s="36">
        <f>ROUND(Total!G17-Total!F17,3)</f>
        <v>39.832000000000001</v>
      </c>
      <c r="F17" s="43"/>
      <c r="G17" s="10"/>
    </row>
    <row r="18" spans="2:7" ht="15.75" x14ac:dyDescent="0.25">
      <c r="B18" s="2">
        <f t="shared" si="0"/>
        <v>2033</v>
      </c>
      <c r="C18" s="36">
        <f>ROUND(Total!D18-Total!C18,3)</f>
        <v>1.292</v>
      </c>
      <c r="D18" s="36">
        <f>ROUND(Total!F18-Total!E18,3)</f>
        <v>-0.51200000000000001</v>
      </c>
      <c r="E18" s="36">
        <f>ROUND(Total!G18-Total!F18,3)</f>
        <v>38.808999999999997</v>
      </c>
      <c r="F18" s="43"/>
      <c r="G18" s="10"/>
    </row>
    <row r="19" spans="2:7" ht="15.75" x14ac:dyDescent="0.25">
      <c r="B19" s="2">
        <f t="shared" si="0"/>
        <v>2034</v>
      </c>
      <c r="C19" s="36">
        <f>ROUND(Total!D19-Total!C19,3)</f>
        <v>1.0229999999999999</v>
      </c>
      <c r="D19" s="36">
        <f>ROUND(Total!F19-Total!E19,3)</f>
        <v>-0.46800000000000003</v>
      </c>
      <c r="E19" s="36">
        <f>ROUND(Total!G19-Total!F19,3)</f>
        <v>39.29</v>
      </c>
      <c r="F19" s="43"/>
      <c r="G19" s="10"/>
    </row>
    <row r="20" spans="2:7" ht="15.75" x14ac:dyDescent="0.25">
      <c r="B20" s="2">
        <f t="shared" si="0"/>
        <v>2035</v>
      </c>
      <c r="C20" s="36">
        <f>ROUND(Total!D20-Total!C20,3)</f>
        <v>1.6220000000000001</v>
      </c>
      <c r="D20" s="36">
        <f>ROUND(Total!F20-Total!E20,3)</f>
        <v>-0.76300000000000001</v>
      </c>
      <c r="E20" s="36">
        <f>ROUND(Total!G20-Total!F20,3)</f>
        <v>40.786999999999999</v>
      </c>
      <c r="F20" s="43"/>
      <c r="G20" s="10"/>
    </row>
    <row r="21" spans="2:7" ht="15.75" x14ac:dyDescent="0.25">
      <c r="B21" s="2">
        <f t="shared" si="0"/>
        <v>2036</v>
      </c>
      <c r="C21" s="36">
        <f>ROUND(Total!D21-Total!C21,3)</f>
        <v>0.72799999999999998</v>
      </c>
      <c r="D21" s="36">
        <f>ROUND(Total!F21-Total!E21,3)</f>
        <v>0.84899999999999998</v>
      </c>
      <c r="E21" s="36">
        <f>ROUND(Total!G21-Total!F21,3)</f>
        <v>44.32</v>
      </c>
      <c r="F21" s="43"/>
      <c r="G21" s="10"/>
    </row>
    <row r="22" spans="2:7" ht="15.75" x14ac:dyDescent="0.25">
      <c r="B22" s="2">
        <f t="shared" si="0"/>
        <v>2037</v>
      </c>
      <c r="C22" s="36">
        <f>ROUND(Total!D22-Total!C22,3)</f>
        <v>0.39300000000000002</v>
      </c>
      <c r="D22" s="36">
        <f>ROUND(Total!F22-Total!E22,3)</f>
        <v>-5.5E-2</v>
      </c>
      <c r="E22" s="36">
        <f>ROUND(Total!G22-Total!F22,3)</f>
        <v>45.000999999999998</v>
      </c>
      <c r="F22" s="43"/>
      <c r="G22" s="10"/>
    </row>
    <row r="23" spans="2:7" ht="15.75" x14ac:dyDescent="0.25">
      <c r="B23" s="2">
        <f t="shared" si="0"/>
        <v>2038</v>
      </c>
      <c r="C23" s="36">
        <f>ROUND(Total!D23-Total!C23,3)</f>
        <v>0.93100000000000005</v>
      </c>
      <c r="D23" s="36">
        <f>ROUND(Total!F23-Total!E23,3)</f>
        <v>0.69699999999999995</v>
      </c>
      <c r="E23" s="36">
        <f>ROUND(Total!G23-Total!F23,3)</f>
        <v>44.377000000000002</v>
      </c>
      <c r="F23" s="43"/>
      <c r="G23" s="10"/>
    </row>
    <row r="24" spans="2:7" ht="15.75" x14ac:dyDescent="0.25">
      <c r="B24" s="2">
        <f t="shared" si="0"/>
        <v>2039</v>
      </c>
      <c r="C24" s="36">
        <f>ROUND(Total!D24-Total!C24,3)</f>
        <v>1.1140000000000001</v>
      </c>
      <c r="D24" s="36">
        <f>ROUND(Total!F24-Total!E24,3)</f>
        <v>-0.309</v>
      </c>
      <c r="E24" s="36">
        <f>ROUND(Total!G24-Total!F24,3)</f>
        <v>-9.4990000000000006</v>
      </c>
      <c r="F24" s="43"/>
      <c r="G24" s="10"/>
    </row>
    <row r="25" spans="2:7" ht="15.75" x14ac:dyDescent="0.25">
      <c r="B25" s="2">
        <f t="shared" si="0"/>
        <v>2040</v>
      </c>
      <c r="C25" s="36">
        <f>ROUND(Total!D25-Total!C25,3)</f>
        <v>0.75</v>
      </c>
      <c r="D25" s="36">
        <f>ROUND(Total!F25-Total!E25,3)</f>
        <v>0.33</v>
      </c>
      <c r="E25" s="36">
        <f>ROUND(Total!G25-Total!F25,3)</f>
        <v>-7.9130000000000003</v>
      </c>
      <c r="F25" s="43"/>
      <c r="G25" s="10"/>
    </row>
    <row r="26" spans="2:7" ht="15.75" x14ac:dyDescent="0.25">
      <c r="B26" s="2">
        <f t="shared" si="0"/>
        <v>2041</v>
      </c>
      <c r="C26" s="36">
        <f>ROUND(Total!D26-Total!C26,3)</f>
        <v>0.84699999999999998</v>
      </c>
      <c r="D26" s="36">
        <f>ROUND(Total!F26-Total!E26,3)</f>
        <v>0.51500000000000001</v>
      </c>
      <c r="E26" s="36">
        <f>ROUND(Total!G26-Total!F26,3)</f>
        <v>-4.68</v>
      </c>
      <c r="F26" s="43"/>
      <c r="G26" s="10"/>
    </row>
    <row r="27" spans="2:7" ht="15.75" x14ac:dyDescent="0.25">
      <c r="B27" s="2">
        <f t="shared" si="0"/>
        <v>2042</v>
      </c>
      <c r="C27" s="36">
        <f>ROUND(Total!D27-Total!C27,3)</f>
        <v>1.6279999999999999</v>
      </c>
      <c r="D27" s="36">
        <f>ROUND(Total!F27-Total!E27,3)</f>
        <v>0.11700000000000001</v>
      </c>
      <c r="E27" s="36">
        <f>ROUND(Total!G27-Total!F27,3)</f>
        <v>-0.93100000000000005</v>
      </c>
      <c r="F27" s="43"/>
      <c r="G27" s="10"/>
    </row>
    <row r="28" spans="2:7" ht="15.75" x14ac:dyDescent="0.25">
      <c r="B28" s="2">
        <f t="shared" si="0"/>
        <v>2043</v>
      </c>
      <c r="C28" s="36">
        <f>ROUND(Total!D28-Total!C28,3)</f>
        <v>0.80800000000000005</v>
      </c>
      <c r="D28" s="36">
        <f>ROUND(Total!F28-Total!E28,3)</f>
        <v>-2.4809999999999999</v>
      </c>
      <c r="E28" s="36">
        <f>ROUND(Total!G28-Total!F28,3)</f>
        <v>3.573</v>
      </c>
      <c r="F28" s="43"/>
      <c r="G28" s="10"/>
    </row>
    <row r="29" spans="2:7" x14ac:dyDescent="0.2">
      <c r="C29" s="32"/>
      <c r="D29" s="32"/>
      <c r="E29" s="32"/>
    </row>
    <row r="30" spans="2:7" x14ac:dyDescent="0.2">
      <c r="B30" s="1" t="str">
        <f>Total!B30</f>
        <v>Nominal Levelized Payment at 6.380% Discount Rate (3)</v>
      </c>
      <c r="C30" s="36"/>
      <c r="D30" s="36"/>
      <c r="E30" s="36"/>
    </row>
    <row r="31" spans="2:7" x14ac:dyDescent="0.2">
      <c r="B31" s="6" t="str">
        <f>B11&amp;" - "&amp;B25</f>
        <v>2026 - 2040</v>
      </c>
      <c r="C31" s="37">
        <f>ROUND(Total!D31-Total!C31,3)</f>
        <v>0.06</v>
      </c>
      <c r="D31" s="37">
        <f>ROUND(Total!F31-Total!E31,3)</f>
        <v>-0.79</v>
      </c>
      <c r="E31" s="37">
        <f>ROUND(Total!G31-Total!F31,3)</f>
        <v>24.3</v>
      </c>
      <c r="F31" s="41"/>
    </row>
    <row r="32" spans="2:7" x14ac:dyDescent="0.2">
      <c r="B32" s="6" t="str">
        <f>B12&amp;" - "&amp;B26</f>
        <v>2027 - 2041</v>
      </c>
      <c r="C32" s="37">
        <f>ROUND(Total!D32-Total!C32,3)</f>
        <v>0.47</v>
      </c>
      <c r="D32" s="37">
        <f>ROUND(Total!F32-Total!E32,3)</f>
        <v>-0.44</v>
      </c>
      <c r="E32" s="37">
        <f>ROUND(Total!G32-Total!F32,3)</f>
        <v>25.65</v>
      </c>
      <c r="F32" s="41"/>
    </row>
    <row r="33" spans="2:6" x14ac:dyDescent="0.2">
      <c r="B33" s="6" t="str">
        <f>B13&amp;" - "&amp;B27</f>
        <v>2028 - 2042</v>
      </c>
      <c r="C33" s="37">
        <f>ROUND(Total!D33-Total!C33,3)</f>
        <v>0.73</v>
      </c>
      <c r="D33" s="37">
        <f>ROUND(Total!F33-Total!E33,3)</f>
        <v>-0.25</v>
      </c>
      <c r="E33" s="37">
        <f>ROUND(Total!G33-Total!F33,3)</f>
        <v>27.25</v>
      </c>
      <c r="F33" s="41"/>
    </row>
    <row r="35" spans="2:6" x14ac:dyDescent="0.2">
      <c r="B35" s="1" t="str">
        <f>Total!B35</f>
        <v>(1)   Studies are sequential.  The order of the studies would affect the price impact.</v>
      </c>
    </row>
    <row r="36" spans="2:6" x14ac:dyDescent="0.2">
      <c r="B36" s="1" t="str">
        <f>Total!B36</f>
        <v>(2)   Official Forward Price Curve Dated December 2025</v>
      </c>
    </row>
    <row r="37" spans="2:6" x14ac:dyDescent="0.2">
      <c r="B37" s="1" t="str">
        <f>Total!B37</f>
        <v>(3)   Discount Rate - 2025 IRP - Calculated Annually</v>
      </c>
    </row>
    <row r="41" spans="2:6" hidden="1" x14ac:dyDescent="0.2">
      <c r="B41" s="1" t="s">
        <v>8</v>
      </c>
    </row>
    <row r="42" spans="2:6" hidden="1" x14ac:dyDescent="0.2">
      <c r="B42" s="26">
        <f>Discount_Rate</f>
        <v>6.3799999999999996E-2</v>
      </c>
      <c r="C42" s="26"/>
      <c r="D42" s="26"/>
      <c r="E42" s="26"/>
    </row>
  </sheetData>
  <phoneticPr fontId="2" type="noConversion"/>
  <printOptions horizontalCentered="1"/>
  <pageMargins left="0.25" right="0.25" top="0.75" bottom="0.75" header="0.3" footer="0.2"/>
  <pageSetup scale="82" orientation="landscape" r:id="rId1"/>
  <headerFooter alignWithMargins="0">
    <oddFooter>&amp;L&amp;8NPC Group - &amp;F   ( &amp;A )&amp;C&amp;8Page &amp;P of &amp;N&amp;R&amp;8&amp;D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42"/>
    <pageSetUpPr fitToPage="1"/>
  </sheetPr>
  <dimension ref="B1:O46"/>
  <sheetViews>
    <sheetView tabSelected="1" view="pageBreakPreview" zoomScale="70" zoomScaleNormal="70" zoomScaleSheetLayoutView="70" workbookViewId="0">
      <pane xSplit="2" ySplit="9" topLeftCell="C10" activePane="bottomRight" state="frozen"/>
      <selection activeCell="A2" sqref="A2:H15"/>
      <selection pane="topRight" activeCell="A2" sqref="A2:H15"/>
      <selection pane="bottomLeft" activeCell="A2" sqref="A2:H15"/>
      <selection pane="bottomRight" activeCell="A2" sqref="A2:H15"/>
    </sheetView>
  </sheetViews>
  <sheetFormatPr defaultColWidth="9.140625" defaultRowHeight="15" x14ac:dyDescent="0.2"/>
  <cols>
    <col min="1" max="1" width="1.85546875" style="1" customWidth="1"/>
    <col min="2" max="2" width="18.7109375" style="1" customWidth="1"/>
    <col min="3" max="3" width="19.5703125" style="1" customWidth="1"/>
    <col min="4" max="4" width="22.140625" style="1" customWidth="1"/>
    <col min="5" max="5" width="20.28515625" style="1" customWidth="1"/>
    <col min="6" max="7" width="17.7109375" style="1" customWidth="1"/>
    <col min="8" max="8" width="11.5703125" style="1" customWidth="1"/>
    <col min="9" max="9" width="16.42578125" style="1" customWidth="1"/>
    <col min="10" max="10" width="13.85546875" style="1" customWidth="1"/>
    <col min="11" max="13" width="9.140625" style="1"/>
    <col min="14" max="14" width="10.28515625" style="1" customWidth="1"/>
    <col min="15" max="16384" width="9.140625" style="1"/>
  </cols>
  <sheetData>
    <row r="1" spans="2:15" ht="15.75" x14ac:dyDescent="0.25">
      <c r="B1" s="4" t="s">
        <v>3</v>
      </c>
      <c r="C1" s="4"/>
      <c r="D1" s="4"/>
      <c r="E1" s="4"/>
      <c r="F1" s="4"/>
      <c r="G1" s="4"/>
    </row>
    <row r="2" spans="2:15" ht="8.25" customHeight="1" x14ac:dyDescent="0.25">
      <c r="B2" s="4"/>
      <c r="C2" s="4"/>
      <c r="D2" s="4"/>
      <c r="E2" s="4"/>
      <c r="F2" s="4"/>
      <c r="G2" s="4"/>
    </row>
    <row r="3" spans="2:15" ht="15.75" x14ac:dyDescent="0.25">
      <c r="B3" s="4" t="s">
        <v>1</v>
      </c>
      <c r="C3" s="4"/>
      <c r="D3" s="4"/>
      <c r="E3" s="4"/>
      <c r="F3" s="4"/>
      <c r="G3" s="4"/>
    </row>
    <row r="4" spans="2:15" ht="15.75" x14ac:dyDescent="0.25">
      <c r="B4" s="4" t="str">
        <f>Capacity!$B$4</f>
        <v>Step Study between 2025.Q4 and 2025.Q3 Compliance Filing</v>
      </c>
      <c r="C4" s="4"/>
      <c r="D4" s="4"/>
      <c r="E4" s="4"/>
      <c r="F4" s="4"/>
      <c r="G4" s="4"/>
    </row>
    <row r="5" spans="2:15" ht="15.75" x14ac:dyDescent="0.25">
      <c r="B5" s="4" t="s">
        <v>6</v>
      </c>
      <c r="C5" s="4"/>
      <c r="D5" s="4"/>
      <c r="E5" s="4"/>
      <c r="F5" s="4"/>
      <c r="G5" s="4"/>
    </row>
    <row r="6" spans="2:15" ht="15.75" x14ac:dyDescent="0.25">
      <c r="B6" s="4"/>
      <c r="C6" s="4"/>
      <c r="D6" s="4"/>
      <c r="E6" s="4"/>
      <c r="F6" s="9"/>
      <c r="G6" s="9"/>
    </row>
    <row r="7" spans="2:15" ht="31.5" customHeight="1" x14ac:dyDescent="0.25">
      <c r="B7" s="8"/>
      <c r="C7" s="70" t="str">
        <f>Energy!C$8</f>
        <v>2025.Q3 with Routine Update</v>
      </c>
      <c r="D7" s="63" t="str">
        <f>Energy!D$8</f>
        <v>2025.Q4 with Routine Update</v>
      </c>
      <c r="E7" s="63" t="str">
        <f>Energy!E$8</f>
        <v>2025.Q3 with Non-Routine Update</v>
      </c>
      <c r="F7" s="63" t="str">
        <f>Energy!F$8</f>
        <v>2025.Q4 with Non-Routine Update</v>
      </c>
      <c r="G7" s="63" t="str">
        <f>Energy!G$8</f>
        <v>2025.Q4 with Non-Routine Update</v>
      </c>
    </row>
    <row r="8" spans="2:15" ht="16.5" customHeight="1" x14ac:dyDescent="0.25">
      <c r="B8" s="5" t="s">
        <v>0</v>
      </c>
      <c r="C8" s="69"/>
      <c r="D8" s="42" t="s">
        <v>11</v>
      </c>
      <c r="E8" s="42"/>
      <c r="F8" s="42" t="s">
        <v>11</v>
      </c>
      <c r="G8" s="42" t="s">
        <v>11</v>
      </c>
    </row>
    <row r="9" spans="2:15" ht="15.75" x14ac:dyDescent="0.25">
      <c r="D9" s="42"/>
      <c r="E9" s="42"/>
    </row>
    <row r="10" spans="2:15" ht="5.25" customHeight="1" x14ac:dyDescent="0.25">
      <c r="B10" s="2"/>
      <c r="C10" s="39"/>
      <c r="D10" s="39"/>
      <c r="E10" s="39"/>
      <c r="F10" s="39"/>
      <c r="G10" s="39"/>
      <c r="H10" s="30"/>
      <c r="I10" s="34"/>
      <c r="J10" s="30"/>
      <c r="K10" s="30"/>
      <c r="L10" s="30"/>
      <c r="M10" s="30"/>
      <c r="N10" s="30"/>
    </row>
    <row r="11" spans="2:15" ht="19.5" customHeight="1" x14ac:dyDescent="0.25">
      <c r="B11" s="2">
        <f>Energy!B11</f>
        <v>2026</v>
      </c>
      <c r="C11" s="39">
        <f>ROUND(Capacity!$I11+Energy!C11,3)</f>
        <v>20.297999999999998</v>
      </c>
      <c r="D11" s="39">
        <f>ROUND(Capacity!J11+Energy!D11,3)</f>
        <v>16.821999999999999</v>
      </c>
      <c r="E11" s="39">
        <f>ROUND(Capacity!K11+Energy!E11,3)</f>
        <v>21.172000000000001</v>
      </c>
      <c r="F11" s="39">
        <f>ROUND(Capacity!L11+Energy!F11,3)</f>
        <v>17.602</v>
      </c>
      <c r="G11" s="39">
        <f>ROUND(Capacity!M11+Energy!G11,3)</f>
        <v>17.602</v>
      </c>
      <c r="H11" s="41"/>
      <c r="I11" s="41"/>
      <c r="J11" s="41"/>
      <c r="K11" s="30"/>
      <c r="L11" s="30"/>
      <c r="M11" s="30"/>
      <c r="N11" s="30"/>
    </row>
    <row r="12" spans="2:15" ht="18" customHeight="1" x14ac:dyDescent="0.25">
      <c r="B12" s="2">
        <f t="shared" ref="B12:B28" si="0">B11+1</f>
        <v>2027</v>
      </c>
      <c r="C12" s="39">
        <f>ROUND(Capacity!$I12+Energy!C12,3)</f>
        <v>23.527999999999999</v>
      </c>
      <c r="D12" s="39">
        <f>ROUND(Capacity!J12+Energy!D12,3)</f>
        <v>21.931000000000001</v>
      </c>
      <c r="E12" s="39">
        <f>ROUND(Capacity!K12+Energy!E12,3)</f>
        <v>24.251999999999999</v>
      </c>
      <c r="F12" s="39">
        <f>ROUND(Capacity!L12+Energy!F12,3)</f>
        <v>22.274000000000001</v>
      </c>
      <c r="G12" s="39">
        <f>ROUND(Capacity!M12+Energy!G12,3)</f>
        <v>22.274000000000001</v>
      </c>
      <c r="H12" s="41"/>
      <c r="I12" s="41"/>
      <c r="J12" s="41"/>
      <c r="K12" s="30"/>
      <c r="L12" s="30"/>
      <c r="M12" s="30"/>
      <c r="N12" s="30"/>
    </row>
    <row r="13" spans="2:15" ht="15.75" x14ac:dyDescent="0.25">
      <c r="B13" s="2">
        <f t="shared" si="0"/>
        <v>2028</v>
      </c>
      <c r="C13" s="39">
        <f>ROUND(Capacity!$I13+Energy!C13,3)</f>
        <v>9.59</v>
      </c>
      <c r="D13" s="39">
        <f>ROUND(Capacity!J13+Energy!D13,3)</f>
        <v>8.7650000000000006</v>
      </c>
      <c r="E13" s="39">
        <f>ROUND(Capacity!K13+Energy!E13,3)</f>
        <v>25.381</v>
      </c>
      <c r="F13" s="39">
        <f>ROUND(Capacity!L13+Energy!F13,3)</f>
        <v>23.677</v>
      </c>
      <c r="G13" s="39">
        <f>ROUND(Capacity!M13+Energy!G13,3)</f>
        <v>23.677</v>
      </c>
      <c r="H13" s="41"/>
      <c r="I13" s="41"/>
      <c r="J13" s="41"/>
      <c r="K13" s="30"/>
      <c r="L13" s="30"/>
      <c r="M13" s="30"/>
      <c r="N13" s="30"/>
      <c r="O13" s="3"/>
    </row>
    <row r="14" spans="2:15" ht="15.75" x14ac:dyDescent="0.25">
      <c r="B14" s="2">
        <f t="shared" si="0"/>
        <v>2029</v>
      </c>
      <c r="C14" s="39">
        <f>ROUND(Capacity!$I14+Energy!C14,3)</f>
        <v>17.914000000000001</v>
      </c>
      <c r="D14" s="39">
        <f>ROUND(Capacity!J14+Energy!D14,3)</f>
        <v>17.233000000000001</v>
      </c>
      <c r="E14" s="39">
        <f>ROUND(Capacity!K14+Energy!E14,3)</f>
        <v>-4.9690000000000003</v>
      </c>
      <c r="F14" s="39">
        <f>ROUND(Capacity!L14+Energy!F14,3)</f>
        <v>-4.8280000000000003</v>
      </c>
      <c r="G14" s="39">
        <f>ROUND(Capacity!M14+Energy!G14,3)</f>
        <v>27.288</v>
      </c>
      <c r="H14" s="41"/>
      <c r="I14" s="41"/>
      <c r="J14" s="41"/>
      <c r="K14" s="30"/>
      <c r="L14" s="30"/>
      <c r="M14" s="30"/>
      <c r="N14" s="30"/>
    </row>
    <row r="15" spans="2:15" ht="15.75" x14ac:dyDescent="0.25">
      <c r="B15" s="2">
        <f t="shared" si="0"/>
        <v>2030</v>
      </c>
      <c r="C15" s="39">
        <f>ROUND(Capacity!$I15+Energy!C15,3)</f>
        <v>23.178999999999998</v>
      </c>
      <c r="D15" s="39">
        <f>ROUND(Capacity!J15+Energy!D15,3)</f>
        <v>24.548999999999999</v>
      </c>
      <c r="E15" s="39">
        <f>ROUND(Capacity!K15+Energy!E15,3)</f>
        <v>-6.7750000000000004</v>
      </c>
      <c r="F15" s="39">
        <f>ROUND(Capacity!L15+Energy!F15,3)</f>
        <v>-6.9180000000000001</v>
      </c>
      <c r="G15" s="39">
        <f>ROUND(Capacity!M15+Energy!G15,3)</f>
        <v>29.725000000000001</v>
      </c>
      <c r="H15" s="41"/>
      <c r="I15" s="41"/>
      <c r="J15" s="41"/>
      <c r="K15" s="30"/>
      <c r="L15" s="30"/>
      <c r="M15" s="30"/>
      <c r="N15" s="30"/>
    </row>
    <row r="16" spans="2:15" ht="15.75" x14ac:dyDescent="0.25">
      <c r="B16" s="2">
        <f t="shared" si="0"/>
        <v>2031</v>
      </c>
      <c r="C16" s="39">
        <f>ROUND(Capacity!$I16+Energy!C16,3)</f>
        <v>3.6080000000000001</v>
      </c>
      <c r="D16" s="39">
        <f>ROUND(Capacity!J16+Energy!D16,3)</f>
        <v>4.8230000000000004</v>
      </c>
      <c r="E16" s="39">
        <f>ROUND(Capacity!K16+Energy!E16,3)</f>
        <v>-8.5530000000000008</v>
      </c>
      <c r="F16" s="39">
        <f>ROUND(Capacity!L16+Energy!F16,3)</f>
        <v>-8.77</v>
      </c>
      <c r="G16" s="39">
        <f>ROUND(Capacity!M16+Energy!G16,3)</f>
        <v>31.331</v>
      </c>
      <c r="H16" s="41"/>
      <c r="I16" s="41"/>
      <c r="J16" s="41"/>
      <c r="K16" s="30"/>
      <c r="L16" s="30"/>
      <c r="M16" s="30"/>
      <c r="N16" s="30"/>
    </row>
    <row r="17" spans="2:14" ht="15.75" x14ac:dyDescent="0.25">
      <c r="B17" s="2">
        <f t="shared" si="0"/>
        <v>2032</v>
      </c>
      <c r="C17" s="39">
        <f>ROUND(Capacity!$I17+Energy!C17,3)</f>
        <v>-0.64700000000000002</v>
      </c>
      <c r="D17" s="39">
        <f>ROUND(Capacity!J17+Energy!D17,3)</f>
        <v>0.33600000000000002</v>
      </c>
      <c r="E17" s="39">
        <f>ROUND(Capacity!K17+Energy!E17,3)</f>
        <v>-10.334</v>
      </c>
      <c r="F17" s="39">
        <f>ROUND(Capacity!L17+Energy!F17,3)</f>
        <v>-11.154</v>
      </c>
      <c r="G17" s="39">
        <f>ROUND(Capacity!M17+Energy!G17,3)</f>
        <v>28.678000000000001</v>
      </c>
      <c r="H17" s="41"/>
      <c r="I17" s="41"/>
      <c r="J17" s="41"/>
      <c r="K17" s="30"/>
      <c r="L17" s="30"/>
      <c r="M17" s="30"/>
      <c r="N17" s="30"/>
    </row>
    <row r="18" spans="2:14" ht="15.75" x14ac:dyDescent="0.25">
      <c r="B18" s="2">
        <f t="shared" si="0"/>
        <v>2033</v>
      </c>
      <c r="C18" s="39">
        <f>ROUND(Capacity!$I18+Energy!C18,3)</f>
        <v>-0.17199999999999999</v>
      </c>
      <c r="D18" s="39">
        <f>ROUND(Capacity!J18+Energy!D18,3)</f>
        <v>1.1200000000000001</v>
      </c>
      <c r="E18" s="39">
        <f>ROUND(Capacity!K18+Energy!E18,3)</f>
        <v>-9.0609999999999999</v>
      </c>
      <c r="F18" s="39">
        <f>ROUND(Capacity!L18+Energy!F18,3)</f>
        <v>-9.5730000000000004</v>
      </c>
      <c r="G18" s="39">
        <f>ROUND(Capacity!M18+Energy!G18,3)</f>
        <v>29.236000000000001</v>
      </c>
      <c r="H18" s="41"/>
      <c r="I18" s="41"/>
      <c r="J18" s="41"/>
      <c r="K18" s="30"/>
      <c r="L18" s="30"/>
      <c r="M18" s="30"/>
      <c r="N18" s="30"/>
    </row>
    <row r="19" spans="2:14" ht="15.75" x14ac:dyDescent="0.25">
      <c r="B19" s="2">
        <f t="shared" si="0"/>
        <v>2034</v>
      </c>
      <c r="C19" s="39">
        <f>ROUND(Capacity!$I19+Energy!C19,3)</f>
        <v>-0.19600000000000001</v>
      </c>
      <c r="D19" s="39">
        <f>ROUND(Capacity!J19+Energy!D19,3)</f>
        <v>0.82699999999999996</v>
      </c>
      <c r="E19" s="39">
        <f>ROUND(Capacity!K19+Energy!E19,3)</f>
        <v>-9.0790000000000006</v>
      </c>
      <c r="F19" s="39">
        <f>ROUND(Capacity!L19+Energy!F19,3)</f>
        <v>-9.5470000000000006</v>
      </c>
      <c r="G19" s="39">
        <f>ROUND(Capacity!M19+Energy!G19,3)</f>
        <v>29.742999999999999</v>
      </c>
      <c r="H19" s="41"/>
      <c r="I19" s="41"/>
      <c r="J19" s="41"/>
      <c r="K19" s="30"/>
      <c r="L19" s="30"/>
      <c r="M19" s="30"/>
      <c r="N19" s="30"/>
    </row>
    <row r="20" spans="2:14" ht="15.75" x14ac:dyDescent="0.25">
      <c r="B20" s="2">
        <f t="shared" si="0"/>
        <v>2035</v>
      </c>
      <c r="C20" s="39">
        <f>ROUND(Capacity!$I20+Energy!C20,3)</f>
        <v>0.33600000000000002</v>
      </c>
      <c r="D20" s="39">
        <f>ROUND(Capacity!J20+Energy!D20,3)</f>
        <v>1.958</v>
      </c>
      <c r="E20" s="39">
        <f>ROUND(Capacity!K20+Energy!E20,3)</f>
        <v>-9.734</v>
      </c>
      <c r="F20" s="39">
        <f>ROUND(Capacity!L20+Energy!F20,3)</f>
        <v>-10.497</v>
      </c>
      <c r="G20" s="39">
        <f>ROUND(Capacity!M20+Energy!G20,3)</f>
        <v>30.29</v>
      </c>
      <c r="H20" s="41"/>
      <c r="I20" s="41"/>
      <c r="J20" s="41"/>
      <c r="K20" s="30"/>
      <c r="L20" s="30"/>
      <c r="M20" s="30"/>
      <c r="N20" s="30"/>
    </row>
    <row r="21" spans="2:14" ht="15.75" x14ac:dyDescent="0.25">
      <c r="B21" s="2">
        <f t="shared" si="0"/>
        <v>2036</v>
      </c>
      <c r="C21" s="39">
        <f>ROUND(Capacity!$I21+Energy!C21,3)</f>
        <v>9.3930000000000007</v>
      </c>
      <c r="D21" s="39">
        <f>ROUND(Capacity!J21+Energy!D21,3)</f>
        <v>10.121</v>
      </c>
      <c r="E21" s="39">
        <f>ROUND(Capacity!K21+Energy!E21,3)</f>
        <v>-12.51</v>
      </c>
      <c r="F21" s="39">
        <f>ROUND(Capacity!L21+Energy!F21,3)</f>
        <v>-11.661</v>
      </c>
      <c r="G21" s="39">
        <f>ROUND(Capacity!M21+Energy!G21,3)</f>
        <v>32.658999999999999</v>
      </c>
      <c r="H21" s="41"/>
      <c r="I21" s="41"/>
      <c r="J21" s="41"/>
      <c r="K21" s="30"/>
      <c r="L21" s="30"/>
      <c r="M21" s="30"/>
      <c r="N21" s="30"/>
    </row>
    <row r="22" spans="2:14" ht="15.75" x14ac:dyDescent="0.25">
      <c r="B22" s="2">
        <f t="shared" si="0"/>
        <v>2037</v>
      </c>
      <c r="C22" s="39">
        <f>ROUND(Capacity!$I22+Energy!C22,3)</f>
        <v>12.083</v>
      </c>
      <c r="D22" s="39">
        <f>ROUND(Capacity!J22+Energy!D22,3)</f>
        <v>12.476000000000001</v>
      </c>
      <c r="E22" s="39">
        <f>ROUND(Capacity!K22+Energy!E22,3)</f>
        <v>-11.148999999999999</v>
      </c>
      <c r="F22" s="39">
        <f>ROUND(Capacity!L22+Energy!F22,3)</f>
        <v>-11.204000000000001</v>
      </c>
      <c r="G22" s="39">
        <f>ROUND(Capacity!M22+Energy!G22,3)</f>
        <v>33.796999999999997</v>
      </c>
      <c r="H22" s="41"/>
      <c r="I22" s="41"/>
      <c r="J22" s="41"/>
      <c r="K22" s="30"/>
      <c r="L22" s="30"/>
      <c r="M22" s="30"/>
      <c r="N22" s="30"/>
    </row>
    <row r="23" spans="2:14" ht="15.75" x14ac:dyDescent="0.25">
      <c r="B23" s="2">
        <f t="shared" si="0"/>
        <v>2038</v>
      </c>
      <c r="C23" s="39">
        <f>ROUND(Capacity!$I23+Energy!C23,3)</f>
        <v>49.241999999999997</v>
      </c>
      <c r="D23" s="39">
        <f>ROUND(Capacity!J23+Energy!D23,3)</f>
        <v>50.173000000000002</v>
      </c>
      <c r="E23" s="39">
        <f>ROUND(Capacity!K23+Energy!E23,3)</f>
        <v>-9.7560000000000002</v>
      </c>
      <c r="F23" s="39">
        <f>ROUND(Capacity!L23+Energy!F23,3)</f>
        <v>-9.0589999999999993</v>
      </c>
      <c r="G23" s="39">
        <f>ROUND(Capacity!M23+Energy!G23,3)</f>
        <v>35.317999999999998</v>
      </c>
      <c r="H23" s="41"/>
      <c r="I23" s="41"/>
      <c r="J23" s="41"/>
      <c r="K23" s="30"/>
      <c r="L23" s="30"/>
      <c r="M23" s="30"/>
      <c r="N23" s="30"/>
    </row>
    <row r="24" spans="2:14" ht="15.75" x14ac:dyDescent="0.25">
      <c r="B24" s="2">
        <f t="shared" si="0"/>
        <v>2039</v>
      </c>
      <c r="C24" s="39">
        <f>ROUND(Capacity!$I24+Energy!C24,3)</f>
        <v>50.954000000000001</v>
      </c>
      <c r="D24" s="39">
        <f>ROUND(Capacity!J24+Energy!D24,3)</f>
        <v>52.067999999999998</v>
      </c>
      <c r="E24" s="39">
        <f>ROUND(Capacity!K24+Energy!E24,3)</f>
        <v>45.274000000000001</v>
      </c>
      <c r="F24" s="39">
        <f>ROUND(Capacity!L24+Energy!F24,3)</f>
        <v>44.965000000000003</v>
      </c>
      <c r="G24" s="39">
        <f>ROUND(Capacity!M24+Energy!G24,3)</f>
        <v>35.466000000000001</v>
      </c>
      <c r="H24" s="41"/>
      <c r="I24" s="41"/>
      <c r="J24" s="41"/>
      <c r="K24" s="30"/>
      <c r="L24" s="30"/>
      <c r="M24" s="30"/>
      <c r="N24" s="30"/>
    </row>
    <row r="25" spans="2:14" ht="15.75" x14ac:dyDescent="0.25">
      <c r="B25" s="2">
        <f t="shared" si="0"/>
        <v>2040</v>
      </c>
      <c r="C25" s="39">
        <f>ROUND(Capacity!$I25+Energy!C25,3)</f>
        <v>53.685000000000002</v>
      </c>
      <c r="D25" s="39">
        <f>ROUND(Capacity!J25+Energy!D25,3)</f>
        <v>54.435000000000002</v>
      </c>
      <c r="E25" s="39">
        <f>ROUND(Capacity!K25+Energy!E25,3)</f>
        <v>44.468000000000004</v>
      </c>
      <c r="F25" s="39">
        <f>ROUND(Capacity!L25+Energy!F25,3)</f>
        <v>44.798000000000002</v>
      </c>
      <c r="G25" s="39">
        <f>ROUND(Capacity!M25+Energy!G25,3)</f>
        <v>36.884999999999998</v>
      </c>
      <c r="H25" s="41"/>
      <c r="I25" s="41"/>
      <c r="J25" s="41"/>
      <c r="K25" s="30"/>
      <c r="L25" s="30"/>
      <c r="M25" s="30"/>
      <c r="N25" s="30"/>
    </row>
    <row r="26" spans="2:14" ht="15.75" x14ac:dyDescent="0.25">
      <c r="B26" s="2">
        <f t="shared" si="0"/>
        <v>2041</v>
      </c>
      <c r="C26" s="39">
        <f>ROUND(Capacity!$I26+Energy!C26,3)</f>
        <v>56.273000000000003</v>
      </c>
      <c r="D26" s="39">
        <f>ROUND(Capacity!J26+Energy!D26,3)</f>
        <v>57.12</v>
      </c>
      <c r="E26" s="39">
        <f>ROUND(Capacity!K26+Energy!E26,3)</f>
        <v>44.118000000000002</v>
      </c>
      <c r="F26" s="39">
        <f>ROUND(Capacity!L26+Energy!F26,3)</f>
        <v>44.633000000000003</v>
      </c>
      <c r="G26" s="39">
        <f>ROUND(Capacity!M26+Energy!G26,3)</f>
        <v>39.953000000000003</v>
      </c>
      <c r="H26" s="41"/>
      <c r="I26" s="41"/>
      <c r="J26" s="41"/>
      <c r="K26" s="30"/>
      <c r="L26" s="30"/>
      <c r="M26" s="30"/>
      <c r="N26" s="30"/>
    </row>
    <row r="27" spans="2:14" ht="15.75" x14ac:dyDescent="0.25">
      <c r="B27" s="2">
        <f t="shared" si="0"/>
        <v>2042</v>
      </c>
      <c r="C27" s="39">
        <f>ROUND(Capacity!$I27+Energy!C27,3)</f>
        <v>65.126000000000005</v>
      </c>
      <c r="D27" s="39">
        <f>ROUND(Capacity!J27+Energy!D27,3)</f>
        <v>66.754000000000005</v>
      </c>
      <c r="E27" s="39">
        <f>ROUND(Capacity!K27+Energy!E27,3)</f>
        <v>46.273000000000003</v>
      </c>
      <c r="F27" s="39">
        <f>ROUND(Capacity!L27+Energy!F27,3)</f>
        <v>46.39</v>
      </c>
      <c r="G27" s="39">
        <f>ROUND(Capacity!M27+Energy!G27,3)</f>
        <v>45.459000000000003</v>
      </c>
      <c r="H27" s="41"/>
      <c r="I27" s="41"/>
      <c r="J27" s="41"/>
      <c r="K27" s="30"/>
      <c r="L27" s="30"/>
      <c r="M27" s="30"/>
      <c r="N27" s="30"/>
    </row>
    <row r="28" spans="2:14" ht="15.75" x14ac:dyDescent="0.25">
      <c r="B28" s="2">
        <f t="shared" si="0"/>
        <v>2043</v>
      </c>
      <c r="C28" s="39">
        <f>ROUND(Capacity!$I28+Energy!C28,3)</f>
        <v>67.093999999999994</v>
      </c>
      <c r="D28" s="39">
        <f>ROUND(Capacity!J28+Energy!D28,3)</f>
        <v>67.902000000000001</v>
      </c>
      <c r="E28" s="39">
        <f>ROUND(Capacity!K28+Energy!E28,3)</f>
        <v>50.107999999999997</v>
      </c>
      <c r="F28" s="39">
        <f>ROUND(Capacity!L28+Energy!F28,3)</f>
        <v>47.627000000000002</v>
      </c>
      <c r="G28" s="39">
        <f>ROUND(Capacity!M28+Energy!G28,3)</f>
        <v>51.2</v>
      </c>
      <c r="H28" s="41"/>
      <c r="I28" s="41"/>
      <c r="J28" s="41"/>
      <c r="K28" s="30"/>
      <c r="L28" s="30"/>
      <c r="M28" s="30"/>
      <c r="N28" s="30"/>
    </row>
    <row r="29" spans="2:14" x14ac:dyDescent="0.2">
      <c r="C29" s="35"/>
      <c r="D29" s="35"/>
      <c r="E29" s="35"/>
      <c r="F29" s="35"/>
      <c r="G29" s="35"/>
      <c r="H29" s="30"/>
      <c r="I29" s="30"/>
    </row>
    <row r="30" spans="2:14" x14ac:dyDescent="0.2">
      <c r="B30" s="1" t="str">
        <f>"Nominal Levelized Payment at "&amp;TEXT(Discount_Rate,"0.000%")&amp;" Discount Rate (3)"</f>
        <v>Nominal Levelized Payment at 6.380% Discount Rate (3)</v>
      </c>
      <c r="C30" s="35"/>
      <c r="D30" s="35"/>
      <c r="E30" s="35"/>
      <c r="F30" s="35"/>
      <c r="G30" s="35"/>
      <c r="H30" s="30"/>
      <c r="I30" s="30"/>
    </row>
    <row r="31" spans="2:14" x14ac:dyDescent="0.2">
      <c r="B31" s="6" t="str">
        <f>B11&amp;" - "&amp;B25</f>
        <v>2026 - 2040</v>
      </c>
      <c r="C31" s="40">
        <f t="shared" ref="C31:F33" si="1">ROUND(PMT(Discount_Rate,COUNT(C11:C25),-NPV(Discount_Rate,C11:C25)),2)</f>
        <v>16.47</v>
      </c>
      <c r="D31" s="40">
        <f t="shared" ref="D31" si="2">ROUND(PMT(Discount_Rate,COUNT(D11:D25),-NPV(Discount_Rate,D11:D25)),2)</f>
        <v>16.53</v>
      </c>
      <c r="E31" s="40">
        <f>ROUND(PMT(Discount_Rate,COUNT(E11:E25),-NPV(Discount_Rate,E11:E25)),2)</f>
        <v>4.8099999999999996</v>
      </c>
      <c r="F31" s="40">
        <f t="shared" si="1"/>
        <v>4.0199999999999996</v>
      </c>
      <c r="G31" s="40">
        <f t="shared" ref="G31" si="3">ROUND(PMT(Discount_Rate,COUNT(G11:G25),-NPV(Discount_Rate,G11:G25)),2)</f>
        <v>28.32</v>
      </c>
      <c r="H31" s="30"/>
      <c r="I31" s="34"/>
    </row>
    <row r="32" spans="2:14" x14ac:dyDescent="0.2">
      <c r="B32" s="6" t="str">
        <f>B12&amp;" - "&amp;B26</f>
        <v>2027 - 2041</v>
      </c>
      <c r="C32" s="40">
        <f t="shared" si="1"/>
        <v>17.73</v>
      </c>
      <c r="D32" s="40">
        <f t="shared" ref="D32:E32" si="4">ROUND(PMT(Discount_Rate,COUNT(D12:D26),-NPV(Discount_Rate,D12:D26)),2)</f>
        <v>18.2</v>
      </c>
      <c r="E32" s="40">
        <f t="shared" si="4"/>
        <v>4.7300000000000004</v>
      </c>
      <c r="F32" s="40">
        <f t="shared" si="1"/>
        <v>4.29</v>
      </c>
      <c r="G32" s="40">
        <f t="shared" ref="G32" si="5">ROUND(PMT(Discount_Rate,COUNT(G12:G26),-NPV(Discount_Rate,G12:G26)),2)</f>
        <v>29.94</v>
      </c>
      <c r="H32" s="30"/>
      <c r="I32" s="34"/>
    </row>
    <row r="33" spans="2:9" x14ac:dyDescent="0.2">
      <c r="B33" s="6" t="str">
        <f>B13&amp;" - "&amp;B27</f>
        <v>2028 - 2042</v>
      </c>
      <c r="C33" s="40">
        <f t="shared" si="1"/>
        <v>19.100000000000001</v>
      </c>
      <c r="D33" s="40">
        <f t="shared" ref="D33:E33" si="6">ROUND(PMT(Discount_Rate,COUNT(D13:D27),-NPV(Discount_Rate,D13:D27)),2)</f>
        <v>19.829999999999998</v>
      </c>
      <c r="E33" s="40">
        <f t="shared" si="6"/>
        <v>4.4000000000000004</v>
      </c>
      <c r="F33" s="40">
        <f t="shared" si="1"/>
        <v>4.1500000000000004</v>
      </c>
      <c r="G33" s="40">
        <f t="shared" ref="G33" si="7">ROUND(PMT(Discount_Rate,COUNT(G13:G27),-NPV(Discount_Rate,G13:G27)),2)</f>
        <v>31.4</v>
      </c>
      <c r="H33" s="30"/>
      <c r="I33" s="34"/>
    </row>
    <row r="34" spans="2:9" x14ac:dyDescent="0.2">
      <c r="F34" s="7"/>
      <c r="G34" s="7"/>
      <c r="H34" s="30"/>
      <c r="I34" s="30"/>
    </row>
    <row r="35" spans="2:9" x14ac:dyDescent="0.2">
      <c r="B35" s="6" t="s">
        <v>9</v>
      </c>
      <c r="H35" s="30"/>
      <c r="I35" s="30"/>
    </row>
    <row r="36" spans="2:9" x14ac:dyDescent="0.2">
      <c r="B36" s="1" t="str">
        <f>"(2)   Official Forward Price Curve Dated "&amp;TEXT(B44,"MMMM YYYY")</f>
        <v>(2)   Official Forward Price Curve Dated December 2025</v>
      </c>
      <c r="H36" s="30"/>
      <c r="I36" s="30"/>
    </row>
    <row r="37" spans="2:9" x14ac:dyDescent="0.2">
      <c r="B37" s="1" t="str">
        <f>"(3)   "&amp;B41&amp;" - Calculated Annually"</f>
        <v>(3)   Discount Rate - 2025 IRP - Calculated Annually</v>
      </c>
    </row>
    <row r="38" spans="2:9" x14ac:dyDescent="0.2">
      <c r="B38" s="15"/>
    </row>
    <row r="39" spans="2:9" x14ac:dyDescent="0.2">
      <c r="B39" s="15"/>
    </row>
    <row r="40" spans="2:9" x14ac:dyDescent="0.2">
      <c r="B40" s="15"/>
    </row>
    <row r="41" spans="2:9" x14ac:dyDescent="0.2">
      <c r="B41" s="1" t="s">
        <v>17</v>
      </c>
    </row>
    <row r="42" spans="2:9" x14ac:dyDescent="0.2">
      <c r="B42" s="11">
        <v>6.3799999999999996E-2</v>
      </c>
    </row>
    <row r="43" spans="2:9" x14ac:dyDescent="0.2">
      <c r="B43" s="1" t="s">
        <v>7</v>
      </c>
    </row>
    <row r="44" spans="2:9" x14ac:dyDescent="0.2">
      <c r="B44" s="12">
        <v>46022</v>
      </c>
      <c r="F44" s="10"/>
      <c r="G44" s="10"/>
    </row>
    <row r="45" spans="2:9" x14ac:dyDescent="0.2">
      <c r="B45" s="15" t="s">
        <v>13</v>
      </c>
    </row>
    <row r="46" spans="2:9" x14ac:dyDescent="0.2">
      <c r="B46" s="55">
        <v>1</v>
      </c>
    </row>
  </sheetData>
  <phoneticPr fontId="2" type="noConversion"/>
  <printOptions horizontalCentered="1"/>
  <pageMargins left="0.25" right="0.25" top="0.75" bottom="0.75" header="0.3" footer="0.2"/>
  <pageSetup scale="87" orientation="landscape" r:id="rId1"/>
  <headerFooter alignWithMargins="0">
    <oddFooter>&amp;L&amp;8NPC Group - &amp;F   ( &amp;A )&amp;C&amp;8Page &amp;P of &amp;N&amp;R&amp;8&amp;D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2"/>
    <pageSetUpPr fitToPage="1"/>
  </sheetPr>
  <dimension ref="B1:I44"/>
  <sheetViews>
    <sheetView tabSelected="1" view="pageBreakPreview" zoomScale="60" zoomScaleNormal="70" workbookViewId="0">
      <pane xSplit="2" ySplit="8" topLeftCell="C9" activePane="bottomRight" state="frozen"/>
      <selection activeCell="A2" sqref="A2:H15"/>
      <selection pane="topRight" activeCell="A2" sqref="A2:H15"/>
      <selection pane="bottomLeft" activeCell="A2" sqref="A2:H15"/>
      <selection pane="bottomRight" activeCell="A2" sqref="A2:H15"/>
    </sheetView>
  </sheetViews>
  <sheetFormatPr defaultColWidth="9.140625" defaultRowHeight="15" x14ac:dyDescent="0.2"/>
  <cols>
    <col min="1" max="1" width="1.85546875" style="15" customWidth="1"/>
    <col min="2" max="2" width="17.5703125" style="15" customWidth="1"/>
    <col min="3" max="3" width="19.140625" style="15" customWidth="1"/>
    <col min="4" max="4" width="21.7109375" style="15" customWidth="1"/>
    <col min="5" max="5" width="17.85546875" style="15" customWidth="1"/>
    <col min="6" max="8" width="18.85546875" style="15" customWidth="1"/>
    <col min="9" max="16384" width="9.140625" style="15"/>
  </cols>
  <sheetData>
    <row r="1" spans="2:9" ht="15.75" x14ac:dyDescent="0.25">
      <c r="B1" s="13" t="str">
        <f>Total!B1</f>
        <v>Appendix C</v>
      </c>
      <c r="C1" s="13"/>
      <c r="D1" s="13"/>
      <c r="E1" s="13"/>
      <c r="F1" s="13"/>
      <c r="G1" s="13"/>
    </row>
    <row r="2" spans="2:9" ht="8.25" customHeight="1" x14ac:dyDescent="0.25">
      <c r="B2" s="13"/>
      <c r="C2" s="13"/>
      <c r="D2" s="13"/>
      <c r="E2" s="13"/>
      <c r="F2" s="13"/>
      <c r="G2" s="13"/>
    </row>
    <row r="3" spans="2:9" ht="15.75" x14ac:dyDescent="0.25">
      <c r="B3" s="13" t="str">
        <f>Total!B3</f>
        <v>Utah Quarterly Compliance Filing</v>
      </c>
      <c r="C3" s="13"/>
      <c r="D3" s="13"/>
      <c r="E3" s="13"/>
      <c r="F3" s="13"/>
      <c r="G3" s="13"/>
    </row>
    <row r="4" spans="2:9" ht="15.75" x14ac:dyDescent="0.25">
      <c r="B4" s="13" t="str">
        <f>Capacity!$B$4</f>
        <v>Step Study between 2025.Q4 and 2025.Q3 Compliance Filing</v>
      </c>
      <c r="C4" s="13"/>
      <c r="D4" s="13"/>
      <c r="E4" s="13"/>
      <c r="F4" s="13"/>
      <c r="G4" s="13"/>
    </row>
    <row r="5" spans="2:9" ht="15.75" x14ac:dyDescent="0.25">
      <c r="B5" s="13" t="s">
        <v>14</v>
      </c>
      <c r="C5" s="13"/>
      <c r="D5" s="13"/>
      <c r="E5" s="13"/>
      <c r="F5" s="13"/>
      <c r="G5" s="13"/>
    </row>
    <row r="6" spans="2:9" ht="15.75" x14ac:dyDescent="0.25">
      <c r="B6" s="13"/>
      <c r="C6" s="31"/>
      <c r="D6" s="31"/>
      <c r="E6" s="31"/>
      <c r="F6" s="31"/>
      <c r="G6" s="31"/>
    </row>
    <row r="7" spans="2:9" ht="15.75" x14ac:dyDescent="0.25">
      <c r="B7" s="16"/>
      <c r="C7" s="66"/>
      <c r="D7" s="67"/>
      <c r="E7" s="64"/>
      <c r="F7" s="64"/>
      <c r="G7" s="64"/>
      <c r="H7" s="9"/>
      <c r="I7" s="1"/>
    </row>
    <row r="8" spans="2:9" ht="47.25" x14ac:dyDescent="0.25">
      <c r="B8" s="18" t="s">
        <v>0</v>
      </c>
      <c r="C8" s="68" t="str">
        <f>Capacity!C8</f>
        <v>2025.Q3 with Routine Update</v>
      </c>
      <c r="D8" s="68" t="str">
        <f>Capacity!D8</f>
        <v>2025.Q4 with Routine Update</v>
      </c>
      <c r="E8" s="68" t="str">
        <f>Capacity!E8</f>
        <v>2025.Q3 with Non-Routine Update</v>
      </c>
      <c r="F8" s="74" t="str">
        <f>Capacity!F8</f>
        <v>2025.Q4 with Non-Routine Update</v>
      </c>
      <c r="G8" s="74" t="str">
        <f>Capacity!G8</f>
        <v>2025.Q4 with Non-Routine Update</v>
      </c>
      <c r="H8" s="9"/>
      <c r="I8" s="1"/>
    </row>
    <row r="9" spans="2:9" ht="18.75" customHeight="1" x14ac:dyDescent="0.25">
      <c r="B9" s="71"/>
      <c r="C9" s="71"/>
      <c r="D9" s="72" t="s">
        <v>11</v>
      </c>
      <c r="E9" s="73"/>
      <c r="F9" s="72" t="s">
        <v>11</v>
      </c>
      <c r="G9" s="72" t="s">
        <v>11</v>
      </c>
      <c r="H9" s="57"/>
      <c r="I9" s="1"/>
    </row>
    <row r="10" spans="2:9" ht="13.5" customHeight="1" x14ac:dyDescent="0.25">
      <c r="B10" s="45"/>
      <c r="C10" s="60"/>
      <c r="D10" s="54"/>
      <c r="E10" s="59"/>
      <c r="F10" s="59"/>
      <c r="G10" s="59"/>
      <c r="H10" s="58"/>
      <c r="I10" s="35"/>
    </row>
    <row r="11" spans="2:9" ht="15.75" x14ac:dyDescent="0.25">
      <c r="B11" s="45">
        <v>2026</v>
      </c>
      <c r="C11" s="54">
        <f>ROUND(VLOOKUP($B11,'[2]Table 1'!$B$13:$G$32,4,FALSE),3)</f>
        <v>20.297999999999998</v>
      </c>
      <c r="D11" s="54">
        <f>ROUND(VLOOKUP($B11,'[3]Table 1'!$B$13:$E$35,4,FALSE),3)</f>
        <v>16.821999999999999</v>
      </c>
      <c r="E11" s="54">
        <f>ROUND(VLOOKUP($B11,'[4]Table 1'!$B$13:$E$37,4,FALSE),3)</f>
        <v>21.172000000000001</v>
      </c>
      <c r="F11" s="54">
        <f>ROUND(VLOOKUP($B11,'[5]Table 1'!$B$13:$E$35,4,FALSE),3)</f>
        <v>17.602</v>
      </c>
      <c r="G11" s="54">
        <f>ROUND(VLOOKUP($B11,'[6]Table 1'!$B$13:$E$34,4,FALSE),3)</f>
        <v>17.602</v>
      </c>
      <c r="H11" s="58"/>
      <c r="I11" s="35"/>
    </row>
    <row r="12" spans="2:9" ht="15.75" x14ac:dyDescent="0.25">
      <c r="B12" s="45">
        <f t="shared" ref="B12:B28" si="0">B11+1</f>
        <v>2027</v>
      </c>
      <c r="C12" s="54">
        <f>ROUND(VLOOKUP($B12,'[2]Table 1'!$B$13:$G$32,4,FALSE),3)</f>
        <v>23.527999999999999</v>
      </c>
      <c r="D12" s="54">
        <f>ROUND(VLOOKUP($B12,'[3]Table 1'!$B$13:$E$35,4,FALSE),3)</f>
        <v>21.931000000000001</v>
      </c>
      <c r="E12" s="54">
        <f>ROUND(VLOOKUP($B12,'[4]Table 1'!$B$13:$E$37,4,FALSE),3)</f>
        <v>24.251999999999999</v>
      </c>
      <c r="F12" s="54">
        <f>ROUND(VLOOKUP($B12,'[5]Table 1'!$B$13:$E$35,4,FALSE),3)</f>
        <v>22.274000000000001</v>
      </c>
      <c r="G12" s="54">
        <f>ROUND(VLOOKUP($B12,'[6]Table 1'!$B$13:$E$34,4,FALSE),3)</f>
        <v>22.274000000000001</v>
      </c>
      <c r="H12" s="58"/>
      <c r="I12" s="35"/>
    </row>
    <row r="13" spans="2:9" ht="15.75" x14ac:dyDescent="0.25">
      <c r="B13" s="45">
        <f t="shared" si="0"/>
        <v>2028</v>
      </c>
      <c r="C13" s="54">
        <f>ROUND(VLOOKUP($B13,'[2]Table 1'!$B$13:$G$32,4,FALSE),3)</f>
        <v>-22.881</v>
      </c>
      <c r="D13" s="54">
        <f>ROUND(VLOOKUP($B13,'[3]Table 1'!$B$13:$E$35,4,FALSE),3)</f>
        <v>-23.706</v>
      </c>
      <c r="E13" s="54">
        <f>ROUND(VLOOKUP($B13,'[4]Table 1'!$B$13:$E$37,4,FALSE),3)</f>
        <v>25.381</v>
      </c>
      <c r="F13" s="54">
        <f>ROUND(VLOOKUP($B13,'[5]Table 1'!$B$13:$E$35,4,FALSE),3)</f>
        <v>23.677</v>
      </c>
      <c r="G13" s="54">
        <f>ROUND(VLOOKUP($B13,'[6]Table 1'!$B$13:$E$34,4,FALSE),3)</f>
        <v>23.677</v>
      </c>
      <c r="H13" s="58"/>
      <c r="I13" s="35"/>
    </row>
    <row r="14" spans="2:9" ht="15.75" x14ac:dyDescent="0.25">
      <c r="B14" s="45">
        <f t="shared" si="0"/>
        <v>2029</v>
      </c>
      <c r="C14" s="54">
        <f>ROUND(VLOOKUP($B14,'[2]Table 1'!$B$13:$G$32,4,FALSE),3)</f>
        <v>-15.35</v>
      </c>
      <c r="D14" s="54">
        <f>ROUND(VLOOKUP($B14,'[3]Table 1'!$B$13:$E$35,4,FALSE),3)</f>
        <v>-16.030999999999999</v>
      </c>
      <c r="E14" s="54">
        <f>ROUND(VLOOKUP($B14,'[4]Table 1'!$B$13:$E$37,4,FALSE),3)</f>
        <v>-37.709000000000003</v>
      </c>
      <c r="F14" s="54">
        <f>ROUND(VLOOKUP($B14,'[5]Table 1'!$B$13:$E$35,4,FALSE),3)</f>
        <v>-37.567999999999998</v>
      </c>
      <c r="G14" s="54">
        <f>ROUND(VLOOKUP($B14,'[6]Table 1'!$B$13:$E$34,4,FALSE),3)</f>
        <v>27.288</v>
      </c>
      <c r="H14" s="58"/>
      <c r="I14" s="35"/>
    </row>
    <row r="15" spans="2:9" ht="15.75" x14ac:dyDescent="0.25">
      <c r="B15" s="45">
        <f t="shared" si="0"/>
        <v>2030</v>
      </c>
      <c r="C15" s="54">
        <f>ROUND(VLOOKUP($B15,'[2]Table 1'!$B$13:$G$32,4,FALSE),3)</f>
        <v>-10.763</v>
      </c>
      <c r="D15" s="54">
        <f>ROUND(VLOOKUP($B15,'[3]Table 1'!$B$13:$E$35,4,FALSE),3)</f>
        <v>-9.3930000000000007</v>
      </c>
      <c r="E15" s="54">
        <f>ROUND(VLOOKUP($B15,'[4]Table 1'!$B$13:$E$37,4,FALSE),3)</f>
        <v>-40.183</v>
      </c>
      <c r="F15" s="54">
        <f>ROUND(VLOOKUP($B15,'[5]Table 1'!$B$13:$E$35,4,FALSE),3)</f>
        <v>-40.326000000000001</v>
      </c>
      <c r="G15" s="54">
        <f>ROUND(VLOOKUP($B15,'[6]Table 1'!$B$13:$E$34,4,FALSE),3)</f>
        <v>29.725000000000001</v>
      </c>
      <c r="H15" s="58"/>
      <c r="I15" s="35"/>
    </row>
    <row r="16" spans="2:9" ht="15.75" x14ac:dyDescent="0.25">
      <c r="B16" s="45">
        <f t="shared" si="0"/>
        <v>2031</v>
      </c>
      <c r="C16" s="54">
        <f>ROUND(VLOOKUP($B16,'[2]Table 1'!$B$13:$G$32,4,FALSE),3)</f>
        <v>-31.039000000000001</v>
      </c>
      <c r="D16" s="54">
        <f>ROUND(VLOOKUP($B16,'[3]Table 1'!$B$13:$E$35,4,FALSE),3)</f>
        <v>-29.824000000000002</v>
      </c>
      <c r="E16" s="54">
        <f>ROUND(VLOOKUP($B16,'[4]Table 1'!$B$13:$E$37,4,FALSE),3)</f>
        <v>-42.655000000000001</v>
      </c>
      <c r="F16" s="54">
        <f>ROUND(VLOOKUP($B16,'[5]Table 1'!$B$13:$E$35,4,FALSE),3)</f>
        <v>-42.872</v>
      </c>
      <c r="G16" s="54">
        <f>ROUND(VLOOKUP($B16,'[6]Table 1'!$B$13:$E$34,4,FALSE),3)</f>
        <v>31.331</v>
      </c>
      <c r="H16" s="58"/>
      <c r="I16" s="35"/>
    </row>
    <row r="17" spans="2:9" ht="15.75" x14ac:dyDescent="0.25">
      <c r="B17" s="45">
        <f t="shared" si="0"/>
        <v>2032</v>
      </c>
      <c r="C17" s="54">
        <f>ROUND(VLOOKUP($B17,'[2]Table 1'!$B$13:$G$32,4,FALSE),3)</f>
        <v>-35.973999999999997</v>
      </c>
      <c r="D17" s="54">
        <f>ROUND(VLOOKUP($B17,'[3]Table 1'!$B$13:$E$35,4,FALSE),3)</f>
        <v>-34.991</v>
      </c>
      <c r="E17" s="54">
        <f>ROUND(VLOOKUP($B17,'[4]Table 1'!$B$13:$E$37,4,FALSE),3)</f>
        <v>-45.104999999999997</v>
      </c>
      <c r="F17" s="54">
        <f>ROUND(VLOOKUP($B17,'[5]Table 1'!$B$13:$E$35,4,FALSE),3)</f>
        <v>-45.924999999999997</v>
      </c>
      <c r="G17" s="54">
        <f>ROUND(VLOOKUP($B17,'[6]Table 1'!$B$13:$E$34,4,FALSE),3)</f>
        <v>28.678000000000001</v>
      </c>
      <c r="H17" s="58"/>
      <c r="I17" s="35"/>
    </row>
    <row r="18" spans="2:9" ht="15.75" x14ac:dyDescent="0.25">
      <c r="B18" s="45">
        <f t="shared" si="0"/>
        <v>2033</v>
      </c>
      <c r="C18" s="54">
        <f>ROUND(VLOOKUP($B18,'[2]Table 1'!$B$13:$G$32,4,FALSE),3)</f>
        <v>-36.417000000000002</v>
      </c>
      <c r="D18" s="54">
        <f>ROUND(VLOOKUP($B18,'[3]Table 1'!$B$13:$E$35,4,FALSE),3)</f>
        <v>-35.125</v>
      </c>
      <c r="E18" s="54">
        <f>ROUND(VLOOKUP($B18,'[4]Table 1'!$B$13:$E$37,4,FALSE),3)</f>
        <v>-44.735999999999997</v>
      </c>
      <c r="F18" s="54">
        <f>ROUND(VLOOKUP($B18,'[5]Table 1'!$B$13:$E$35,4,FALSE),3)</f>
        <v>-45.247999999999998</v>
      </c>
      <c r="G18" s="54">
        <f>ROUND(VLOOKUP($B18,'[6]Table 1'!$B$13:$E$34,4,FALSE),3)</f>
        <v>29.236000000000001</v>
      </c>
      <c r="H18" s="58"/>
      <c r="I18" s="35"/>
    </row>
    <row r="19" spans="2:9" ht="15.75" x14ac:dyDescent="0.25">
      <c r="B19" s="45">
        <f t="shared" si="0"/>
        <v>2034</v>
      </c>
      <c r="C19" s="54">
        <f>ROUND(VLOOKUP($B19,'[2]Table 1'!$B$13:$G$32,4,FALSE),3)</f>
        <v>-37.222999999999999</v>
      </c>
      <c r="D19" s="54">
        <f>ROUND(VLOOKUP($B19,'[3]Table 1'!$B$13:$E$35,4,FALSE),3)</f>
        <v>-36.200000000000003</v>
      </c>
      <c r="E19" s="54">
        <f>ROUND(VLOOKUP($B19,'[4]Table 1'!$B$13:$E$37,4,FALSE),3)</f>
        <v>-45.524000000000001</v>
      </c>
      <c r="F19" s="54">
        <f>ROUND(VLOOKUP($B19,'[5]Table 1'!$B$13:$E$35,4,FALSE),3)</f>
        <v>-45.991999999999997</v>
      </c>
      <c r="G19" s="54">
        <f>ROUND(VLOOKUP($B19,'[6]Table 1'!$B$13:$E$34,4,FALSE),3)</f>
        <v>29.742999999999999</v>
      </c>
      <c r="H19" s="58"/>
      <c r="I19" s="35"/>
    </row>
    <row r="20" spans="2:9" ht="15.75" x14ac:dyDescent="0.25">
      <c r="B20" s="45">
        <f t="shared" si="0"/>
        <v>2035</v>
      </c>
      <c r="C20" s="54">
        <f>ROUND(VLOOKUP($B20,'[2]Table 1'!$B$13:$G$32,4,FALSE),3)</f>
        <v>-37.523000000000003</v>
      </c>
      <c r="D20" s="54">
        <f>ROUND(VLOOKUP($B20,'[3]Table 1'!$B$13:$E$35,4,FALSE),3)</f>
        <v>-35.901000000000003</v>
      </c>
      <c r="E20" s="54">
        <f>ROUND(VLOOKUP($B20,'[4]Table 1'!$B$13:$E$37,4,FALSE),3)</f>
        <v>-46.997</v>
      </c>
      <c r="F20" s="54">
        <f>ROUND(VLOOKUP($B20,'[5]Table 1'!$B$13:$E$35,4,FALSE),3)</f>
        <v>-47.76</v>
      </c>
      <c r="G20" s="54">
        <f>ROUND(VLOOKUP($B20,'[6]Table 1'!$B$13:$E$34,4,FALSE),3)</f>
        <v>30.29</v>
      </c>
      <c r="H20" s="58"/>
      <c r="I20" s="35"/>
    </row>
    <row r="21" spans="2:9" ht="15.75" x14ac:dyDescent="0.25">
      <c r="B21" s="45">
        <f t="shared" si="0"/>
        <v>2036</v>
      </c>
      <c r="C21" s="59">
        <f>ROUND(VLOOKUP($B21,'[2]Table 1'!$B$13:$G$32,4,FALSE),3)</f>
        <v>-29.213000000000001</v>
      </c>
      <c r="D21" s="54">
        <f>ROUND(VLOOKUP($B21,'[3]Table 1'!$B$13:$E$35,4,FALSE),3)</f>
        <v>-28.484999999999999</v>
      </c>
      <c r="E21" s="54">
        <f>ROUND(VLOOKUP($B21,'[4]Table 1'!$B$13:$E$37,4,FALSE),3)</f>
        <v>-50.508000000000003</v>
      </c>
      <c r="F21" s="54">
        <f>ROUND(VLOOKUP($B21,'[5]Table 1'!$B$13:$E$35,4,FALSE),3)</f>
        <v>-49.658999999999999</v>
      </c>
      <c r="G21" s="54">
        <f>ROUND(VLOOKUP($B21,'[6]Table 1'!$B$13:$E$34,4,FALSE),3)</f>
        <v>32.658999999999999</v>
      </c>
      <c r="H21" s="58"/>
      <c r="I21" s="35"/>
    </row>
    <row r="22" spans="2:9" ht="15.75" x14ac:dyDescent="0.25">
      <c r="B22" s="45">
        <f t="shared" si="0"/>
        <v>2037</v>
      </c>
      <c r="C22" s="59">
        <f>ROUND(VLOOKUP($B22,'[2]Table 1'!$B$13:$G$32,4,FALSE),3)</f>
        <v>-27.36</v>
      </c>
      <c r="D22" s="54">
        <f>ROUND(VLOOKUP($B22,'[3]Table 1'!$B$13:$E$35,4,FALSE),3)</f>
        <v>-26.966999999999999</v>
      </c>
      <c r="E22" s="54">
        <f>ROUND(VLOOKUP($B22,'[4]Table 1'!$B$13:$E$37,4,FALSE),3)</f>
        <v>-49.970999999999997</v>
      </c>
      <c r="F22" s="54">
        <f>ROUND(VLOOKUP($B22,'[5]Table 1'!$B$13:$E$35,4,FALSE),3)</f>
        <v>-50.026000000000003</v>
      </c>
      <c r="G22" s="54">
        <f>ROUND(VLOOKUP($B22,'[6]Table 1'!$B$13:$E$34,4,FALSE),3)</f>
        <v>33.796999999999997</v>
      </c>
      <c r="H22" s="58"/>
      <c r="I22" s="35"/>
    </row>
    <row r="23" spans="2:9" ht="15.75" x14ac:dyDescent="0.25">
      <c r="B23" s="45">
        <f t="shared" si="0"/>
        <v>2038</v>
      </c>
      <c r="C23" s="59">
        <f>ROUND(VLOOKUP($B23,'[2]Table 1'!$B$13:$G$32,4,FALSE),3)</f>
        <v>8.875</v>
      </c>
      <c r="D23" s="54">
        <f>ROUND(VLOOKUP($B23,'[3]Table 1'!$B$13:$E$35,4,FALSE),3)</f>
        <v>9.8059999999999992</v>
      </c>
      <c r="E23" s="54">
        <f>ROUND(VLOOKUP($B23,'[4]Table 1'!$B$13:$E$37,4,FALSE),3)</f>
        <v>-49.488999999999997</v>
      </c>
      <c r="F23" s="54">
        <f>ROUND(VLOOKUP($B23,'[5]Table 1'!$B$13:$E$35,4,FALSE),3)</f>
        <v>-48.792000000000002</v>
      </c>
      <c r="G23" s="54">
        <f>ROUND(VLOOKUP($B23,'[6]Table 1'!$B$13:$E$34,4,FALSE),3)</f>
        <v>35.317999999999998</v>
      </c>
      <c r="H23" s="58"/>
      <c r="I23" s="35"/>
    </row>
    <row r="24" spans="2:9" ht="15.75" x14ac:dyDescent="0.25">
      <c r="B24" s="45">
        <f t="shared" si="0"/>
        <v>2039</v>
      </c>
      <c r="C24" s="59">
        <f>ROUND(VLOOKUP($B24,'[2]Table 1'!$B$13:$G$32,4,FALSE),3)</f>
        <v>9.702</v>
      </c>
      <c r="D24" s="54">
        <f>ROUND(VLOOKUP($B24,'[3]Table 1'!$B$13:$E$35,4,FALSE),3)</f>
        <v>10.816000000000001</v>
      </c>
      <c r="E24" s="54">
        <f>ROUND(VLOOKUP($B24,'[4]Table 1'!$B$13:$E$37,4,FALSE),3)</f>
        <v>4.6710000000000003</v>
      </c>
      <c r="F24" s="54">
        <f>ROUND(VLOOKUP($B24,'[5]Table 1'!$B$13:$E$35,4,FALSE),3)</f>
        <v>4.3620000000000001</v>
      </c>
      <c r="G24" s="54">
        <f>ROUND(VLOOKUP($B24,'[6]Table 1'!$B$13:$E$34,4,FALSE),3)</f>
        <v>35.466000000000001</v>
      </c>
      <c r="H24" s="58"/>
      <c r="I24" s="35"/>
    </row>
    <row r="25" spans="2:9" ht="15.75" x14ac:dyDescent="0.25">
      <c r="B25" s="45">
        <f t="shared" si="0"/>
        <v>2040</v>
      </c>
      <c r="C25" s="59">
        <f>ROUND(VLOOKUP($B25,'[2]Table 1'!$B$13:$G$32,4,FALSE),3)</f>
        <v>11.628</v>
      </c>
      <c r="D25" s="54">
        <f>ROUND(VLOOKUP($B25,'[3]Table 1'!$B$13:$E$35,4,FALSE),3)</f>
        <v>12.378</v>
      </c>
      <c r="E25" s="54">
        <f>ROUND(VLOOKUP($B25,'[4]Table 1'!$B$13:$E$37,4,FALSE),3)</f>
        <v>3.0720000000000001</v>
      </c>
      <c r="F25" s="54">
        <f>ROUND(VLOOKUP($B25,'[5]Table 1'!$B$13:$E$35,4,FALSE),3)</f>
        <v>3.4020000000000001</v>
      </c>
      <c r="G25" s="54">
        <f>ROUND(VLOOKUP($B25,'[6]Table 1'!$B$13:$E$34,4,FALSE),3)</f>
        <v>36.884999999999998</v>
      </c>
      <c r="H25" s="58"/>
      <c r="I25" s="35"/>
    </row>
    <row r="26" spans="2:9" ht="15.75" x14ac:dyDescent="0.25">
      <c r="B26" s="45">
        <f t="shared" si="0"/>
        <v>2041</v>
      </c>
      <c r="C26" s="59">
        <f>ROUND(VLOOKUP($B26,'[2]Table 1'!$B$13:$G$32,4,FALSE),3)</f>
        <v>13.244</v>
      </c>
      <c r="D26" s="54">
        <f>ROUND(VLOOKUP($B26,'[3]Table 1'!$B$13:$E$35,4,FALSE),3)</f>
        <v>14.090999999999999</v>
      </c>
      <c r="E26" s="54">
        <f>ROUND(VLOOKUP($B26,'[4]Table 1'!$B$13:$E$37,4,FALSE),3)</f>
        <v>1.766</v>
      </c>
      <c r="F26" s="54">
        <f>ROUND(VLOOKUP($B26,'[5]Table 1'!$B$13:$E$35,4,FALSE),3)</f>
        <v>2.2810000000000001</v>
      </c>
      <c r="G26" s="54">
        <f>ROUND(VLOOKUP($B26,'[6]Table 1'!$B$13:$E$34,4,FALSE),3)</f>
        <v>39.953000000000003</v>
      </c>
      <c r="H26" s="58"/>
      <c r="I26" s="35"/>
    </row>
    <row r="27" spans="2:9" ht="15.75" x14ac:dyDescent="0.25">
      <c r="B27" s="45">
        <f t="shared" si="0"/>
        <v>2042</v>
      </c>
      <c r="C27" s="59">
        <f>ROUND(VLOOKUP($B27,'[2]Table 1'!$B$13:$G$32,4,FALSE),3)</f>
        <v>21.202999999999999</v>
      </c>
      <c r="D27" s="54">
        <f>ROUND(VLOOKUP($B27,'[3]Table 1'!$B$13:$E$35,4,FALSE),3)</f>
        <v>22.831</v>
      </c>
      <c r="E27" s="54">
        <f>ROUND(VLOOKUP($B27,'[4]Table 1'!$B$13:$E$37,4,FALSE),3)</f>
        <v>3.0409999999999999</v>
      </c>
      <c r="F27" s="54">
        <f>ROUND(VLOOKUP($B27,'[5]Table 1'!$B$13:$E$35,4,FALSE),3)</f>
        <v>3.1579999999999999</v>
      </c>
      <c r="G27" s="54">
        <f>ROUND(VLOOKUP($B27,'[6]Table 1'!$B$13:$E$34,4,FALSE),3)</f>
        <v>45.459000000000003</v>
      </c>
      <c r="H27" s="58"/>
      <c r="I27" s="35"/>
    </row>
    <row r="28" spans="2:9" ht="15.75" x14ac:dyDescent="0.25">
      <c r="B28" s="45">
        <f t="shared" si="0"/>
        <v>2043</v>
      </c>
      <c r="C28" s="59">
        <f>ROUND(VLOOKUP($B28,'[2]Table 1'!$B$13:$G$32,4,FALSE),3)</f>
        <v>22.202999999999999</v>
      </c>
      <c r="D28" s="54">
        <f>ROUND(VLOOKUP($B28,'[3]Table 1'!$B$13:$E$35,4,FALSE),3)</f>
        <v>23.010999999999999</v>
      </c>
      <c r="E28" s="54">
        <f>ROUND(VLOOKUP($B28,'[4]Table 1'!$B$13:$E$37,4,FALSE),3)</f>
        <v>5.923</v>
      </c>
      <c r="F28" s="54">
        <f>ROUND(VLOOKUP($B28,'[5]Table 1'!$B$13:$E$35,4,FALSE),3)</f>
        <v>3.4420000000000002</v>
      </c>
      <c r="G28" s="54">
        <f>ROUND(VLOOKUP($B28,'[6]Table 1'!$B$13:$E$34,4,FALSE),3)</f>
        <v>51.2</v>
      </c>
      <c r="H28" s="58"/>
      <c r="I28" s="35"/>
    </row>
    <row r="29" spans="2:9" x14ac:dyDescent="0.2">
      <c r="C29" s="28"/>
      <c r="D29" s="28"/>
      <c r="E29" s="28"/>
      <c r="F29" s="28"/>
      <c r="G29" s="28"/>
      <c r="H29" s="58"/>
      <c r="I29" s="35"/>
    </row>
    <row r="30" spans="2:9" x14ac:dyDescent="0.2">
      <c r="B30" s="15" t="str">
        <f>"Nominal Levelized Payment at "&amp;TEXT($B$41,"0.00%")&amp;" Discount Rate (3)"</f>
        <v>Nominal Levelized Payment at 6.38% Discount Rate (3)</v>
      </c>
      <c r="C30" s="28"/>
      <c r="D30" s="28"/>
      <c r="E30" s="28"/>
      <c r="F30" s="28"/>
      <c r="G30" s="28"/>
      <c r="H30" s="58"/>
      <c r="I30" s="35"/>
    </row>
    <row r="31" spans="2:9" x14ac:dyDescent="0.2">
      <c r="B31" s="23" t="str">
        <f>B11&amp;" - "&amp;B25</f>
        <v>2026 - 2040</v>
      </c>
      <c r="C31" s="38">
        <f t="shared" ref="C31:D33" si="1">ROUND(PMT($B$41,COUNT(C11:C25),-NPV($B$41,C11:C25)),3)</f>
        <v>-12.948</v>
      </c>
      <c r="D31" s="38">
        <f t="shared" si="1"/>
        <v>-12.888</v>
      </c>
      <c r="E31" s="38">
        <f t="shared" ref="E31" si="2">ROUND(PMT($B$41,COUNT(E11:E25),-NPV($B$41,E11:E25)),3)</f>
        <v>-21.343</v>
      </c>
      <c r="F31" s="38">
        <f t="shared" ref="F31:G31" si="3">ROUND(PMT($B$41,COUNT(F11:F25),-NPV($B$41,F11:F25)),3)</f>
        <v>-22.131</v>
      </c>
      <c r="G31" s="38">
        <f t="shared" si="3"/>
        <v>28.323</v>
      </c>
      <c r="H31" s="58"/>
      <c r="I31" s="35"/>
    </row>
    <row r="32" spans="2:9" x14ac:dyDescent="0.2">
      <c r="B32" s="23" t="str">
        <f>B12&amp;" - "&amp;B26</f>
        <v>2027 - 2041</v>
      </c>
      <c r="C32" s="38">
        <f t="shared" si="1"/>
        <v>-15.364000000000001</v>
      </c>
      <c r="D32" s="38">
        <f t="shared" si="1"/>
        <v>-14.898</v>
      </c>
      <c r="E32" s="38">
        <f t="shared" ref="E32" si="4">ROUND(PMT($B$41,COUNT(E12:E26),-NPV($B$41,E12:E26)),3)</f>
        <v>-24.864999999999998</v>
      </c>
      <c r="F32" s="38">
        <f t="shared" ref="F32:G33" si="5">ROUND(PMT($B$41,COUNT(F12:F26),-NPV($B$41,F12:F26)),3)</f>
        <v>-25.306000000000001</v>
      </c>
      <c r="G32" s="38">
        <f t="shared" si="5"/>
        <v>29.94</v>
      </c>
      <c r="H32" s="58"/>
      <c r="I32" s="35"/>
    </row>
    <row r="33" spans="2:9" x14ac:dyDescent="0.2">
      <c r="B33" s="23" t="str">
        <f>B13&amp;" - "&amp;B27</f>
        <v>2028 - 2042</v>
      </c>
      <c r="C33" s="38">
        <f t="shared" si="1"/>
        <v>-17.942</v>
      </c>
      <c r="D33" s="38">
        <f t="shared" si="1"/>
        <v>-17.21</v>
      </c>
      <c r="E33" s="38">
        <f t="shared" ref="E33" si="6">ROUND(PMT($B$41,COUNT(E13:E27),-NPV($B$41,E13:E27)),3)</f>
        <v>-28.884</v>
      </c>
      <c r="F33" s="38">
        <f t="shared" si="5"/>
        <v>-29.138999999999999</v>
      </c>
      <c r="G33" s="38">
        <f t="shared" si="5"/>
        <v>31.396000000000001</v>
      </c>
      <c r="H33" s="58"/>
      <c r="I33" s="35"/>
    </row>
    <row r="34" spans="2:9" x14ac:dyDescent="0.2">
      <c r="B34" s="23"/>
      <c r="C34" s="22"/>
      <c r="D34" s="22"/>
      <c r="E34" s="22"/>
      <c r="F34" s="22"/>
      <c r="G34" s="22"/>
      <c r="H34" s="58"/>
    </row>
    <row r="35" spans="2:9" x14ac:dyDescent="0.2">
      <c r="B35" s="23" t="str">
        <f>Total!B35</f>
        <v>(1)   Studies are sequential.  The order of the studies would affect the price impact.</v>
      </c>
    </row>
    <row r="36" spans="2:9" x14ac:dyDescent="0.2">
      <c r="B36" s="1" t="str">
        <f>"(2)   Official Forward Price Curve Dated "&amp;TEXT(B43,"MMMM YYYY")</f>
        <v>(2)   Official Forward Price Curve Dated December 2025</v>
      </c>
    </row>
    <row r="37" spans="2:9" x14ac:dyDescent="0.2">
      <c r="B37" s="23" t="str">
        <f>Total!B37</f>
        <v>(3)   Discount Rate - 2025 IRP - Calculated Annually</v>
      </c>
    </row>
    <row r="38" spans="2:9" x14ac:dyDescent="0.2">
      <c r="B38" s="23"/>
    </row>
    <row r="40" spans="2:9" x14ac:dyDescent="0.2">
      <c r="B40" s="1" t="str">
        <f>Total!B41</f>
        <v>Discount Rate - 2025 IRP</v>
      </c>
    </row>
    <row r="41" spans="2:9" x14ac:dyDescent="0.2">
      <c r="B41" s="27">
        <f>Total!B42</f>
        <v>6.3799999999999996E-2</v>
      </c>
    </row>
    <row r="42" spans="2:9" x14ac:dyDescent="0.2">
      <c r="B42" s="1" t="s">
        <v>7</v>
      </c>
    </row>
    <row r="43" spans="2:9" x14ac:dyDescent="0.2">
      <c r="B43" s="12">
        <f>Total!B44</f>
        <v>46022</v>
      </c>
    </row>
    <row r="44" spans="2:9" x14ac:dyDescent="0.2">
      <c r="B44"/>
      <c r="C44"/>
      <c r="D44"/>
      <c r="E44"/>
      <c r="F44"/>
      <c r="G44"/>
    </row>
  </sheetData>
  <printOptions horizontalCentered="1"/>
  <pageMargins left="0.25" right="0.25" top="0.75" bottom="0.75" header="0.3" footer="0.2"/>
  <pageSetup scale="84" orientation="landscape" r:id="rId1"/>
  <headerFooter alignWithMargins="0">
    <oddFooter>&amp;L&amp;8NPC Group - &amp;F   ( &amp;A )&amp;C&amp;8Page &amp;P of &amp;N&amp;R&amp;8&amp;D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2"/>
    <pageSetUpPr fitToPage="1"/>
  </sheetPr>
  <dimension ref="B1:Q43"/>
  <sheetViews>
    <sheetView tabSelected="1" view="pageBreakPreview" zoomScale="60" zoomScaleNormal="60" workbookViewId="0">
      <pane xSplit="2" ySplit="9" topLeftCell="C10" activePane="bottomRight" state="frozen"/>
      <selection activeCell="A2" sqref="A2:H15"/>
      <selection pane="topRight" activeCell="A2" sqref="A2:H15"/>
      <selection pane="bottomLeft" activeCell="A2" sqref="A2:H15"/>
      <selection pane="bottomRight" activeCell="A2" sqref="A2:H15"/>
    </sheetView>
  </sheetViews>
  <sheetFormatPr defaultColWidth="9.140625" defaultRowHeight="15" x14ac:dyDescent="0.2"/>
  <cols>
    <col min="1" max="1" width="1.85546875" style="15" customWidth="1"/>
    <col min="2" max="2" width="20" style="15" customWidth="1"/>
    <col min="3" max="5" width="19.140625" style="15" customWidth="1"/>
    <col min="6" max="6" width="16.5703125" style="15" customWidth="1"/>
    <col min="7" max="7" width="18" style="15" customWidth="1"/>
    <col min="8" max="8" width="7.5703125" style="15" customWidth="1"/>
    <col min="9" max="9" width="17.42578125" style="15" customWidth="1"/>
    <col min="10" max="13" width="19.140625" style="15" customWidth="1"/>
    <col min="14" max="14" width="21.5703125" style="15" customWidth="1"/>
    <col min="15" max="16" width="2.140625" customWidth="1"/>
    <col min="17" max="17" width="9.140625" style="15" customWidth="1"/>
    <col min="18" max="16384" width="9.140625" style="15"/>
  </cols>
  <sheetData>
    <row r="1" spans="2:17" ht="15.75" x14ac:dyDescent="0.25">
      <c r="B1" s="13" t="str">
        <f>Total!B1</f>
        <v>Appendix C</v>
      </c>
      <c r="C1" s="13"/>
      <c r="D1" s="13"/>
      <c r="E1" s="13"/>
      <c r="F1" s="13"/>
      <c r="G1" s="13"/>
      <c r="H1" s="14"/>
      <c r="I1" s="13"/>
      <c r="J1" s="13"/>
      <c r="K1" s="13"/>
      <c r="L1" s="13"/>
      <c r="M1" s="13"/>
    </row>
    <row r="2" spans="2:17" ht="8.25" customHeight="1" x14ac:dyDescent="0.25"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13"/>
    </row>
    <row r="3" spans="2:17" ht="15.75" x14ac:dyDescent="0.25">
      <c r="B3" s="13" t="str">
        <f>Total!B3</f>
        <v>Utah Quarterly Compliance Filing</v>
      </c>
      <c r="C3" s="13"/>
      <c r="D3" s="13"/>
      <c r="E3" s="13"/>
      <c r="F3" s="13"/>
      <c r="G3" s="13"/>
      <c r="H3" s="14"/>
      <c r="I3" s="13"/>
      <c r="J3" s="13"/>
      <c r="K3" s="13"/>
      <c r="L3" s="13"/>
      <c r="M3" s="13"/>
    </row>
    <row r="4" spans="2:17" ht="15.75" x14ac:dyDescent="0.25">
      <c r="B4" s="13" t="str">
        <f>"Step Study between "&amp;Q8&amp;" and "&amp;Q7&amp;" Compliance Filing"</f>
        <v>Step Study between 2025.Q4 and 2025.Q3 Compliance Filing</v>
      </c>
      <c r="C4" s="13"/>
      <c r="D4" s="13"/>
      <c r="E4" s="13"/>
      <c r="F4" s="13"/>
      <c r="G4" s="13"/>
      <c r="H4" s="14"/>
      <c r="I4" s="13"/>
      <c r="J4" s="13"/>
      <c r="K4" s="13"/>
      <c r="L4" s="13"/>
      <c r="M4" s="13"/>
    </row>
    <row r="5" spans="2:17" ht="15.75" x14ac:dyDescent="0.25">
      <c r="B5" s="13" t="s">
        <v>5</v>
      </c>
      <c r="C5" s="13"/>
      <c r="D5" s="13"/>
      <c r="E5" s="13"/>
      <c r="F5" s="13"/>
      <c r="G5" s="13"/>
      <c r="H5" s="14"/>
      <c r="I5" s="13"/>
      <c r="J5" s="13"/>
      <c r="K5" s="13"/>
      <c r="L5" s="13"/>
      <c r="M5" s="13"/>
    </row>
    <row r="6" spans="2:17" ht="15.75" x14ac:dyDescent="0.25">
      <c r="B6" s="13"/>
      <c r="C6" s="13"/>
      <c r="D6" s="13"/>
      <c r="E6" s="13"/>
      <c r="F6" s="13"/>
      <c r="G6" s="13"/>
      <c r="I6" s="13"/>
      <c r="J6" s="13"/>
      <c r="K6" s="13"/>
      <c r="L6" s="13"/>
      <c r="M6" s="13"/>
    </row>
    <row r="7" spans="2:17" ht="15.75" x14ac:dyDescent="0.25">
      <c r="B7" s="16"/>
      <c r="C7" s="17" t="s">
        <v>2</v>
      </c>
      <c r="D7" s="17"/>
      <c r="E7" s="17"/>
      <c r="F7" s="17"/>
      <c r="G7" s="17"/>
      <c r="I7" s="17" t="s">
        <v>4</v>
      </c>
      <c r="J7" s="17"/>
      <c r="K7" s="17"/>
      <c r="L7" s="29"/>
      <c r="M7" s="29"/>
      <c r="Q7" s="19" t="s">
        <v>16</v>
      </c>
    </row>
    <row r="8" spans="2:17" ht="69.75" customHeight="1" x14ac:dyDescent="0.25">
      <c r="B8" s="18" t="s">
        <v>0</v>
      </c>
      <c r="C8" s="33" t="str">
        <f>Q7&amp;""&amp;" with Routine Update"</f>
        <v>2025.Q3 with Routine Update</v>
      </c>
      <c r="D8" s="33" t="str">
        <f>Q8&amp;""&amp;" with Routine Update"</f>
        <v>2025.Q4 with Routine Update</v>
      </c>
      <c r="E8" s="33" t="str">
        <f>Q7&amp;""&amp;" with Non-Routine Update"</f>
        <v>2025.Q3 with Non-Routine Update</v>
      </c>
      <c r="F8" s="33" t="str">
        <f>Q8&amp;""&amp;" with Non-Routine Update"</f>
        <v>2025.Q4 with Non-Routine Update</v>
      </c>
      <c r="G8" s="33" t="str">
        <f>Q8&amp;""&amp;" with Non-Routine Update"</f>
        <v>2025.Q4 with Non-Routine Update</v>
      </c>
      <c r="I8" s="33" t="str">
        <f>C8</f>
        <v>2025.Q3 with Routine Update</v>
      </c>
      <c r="J8" s="33" t="str">
        <f>D8</f>
        <v>2025.Q4 with Routine Update</v>
      </c>
      <c r="K8" s="33" t="str">
        <f>E8</f>
        <v>2025.Q3 with Non-Routine Update</v>
      </c>
      <c r="L8" s="33" t="str">
        <f>F8</f>
        <v>2025.Q4 with Non-Routine Update</v>
      </c>
      <c r="M8" s="33" t="str">
        <f>G8</f>
        <v>2025.Q4 with Non-Routine Update</v>
      </c>
      <c r="Q8" s="19" t="s">
        <v>24</v>
      </c>
    </row>
    <row r="9" spans="2:17" ht="18" customHeight="1" x14ac:dyDescent="0.2"/>
    <row r="10" spans="2:17" ht="15.75" x14ac:dyDescent="0.25">
      <c r="B10" s="20"/>
      <c r="C10" s="21"/>
      <c r="D10" s="21"/>
      <c r="E10" s="21"/>
      <c r="F10" s="21"/>
      <c r="G10" s="21"/>
      <c r="I10" s="21"/>
      <c r="J10" s="21"/>
      <c r="K10" s="21"/>
      <c r="L10" s="21"/>
      <c r="M10" s="21"/>
    </row>
    <row r="11" spans="2:17" ht="15.75" x14ac:dyDescent="0.25">
      <c r="B11" s="20">
        <v>2026</v>
      </c>
      <c r="C11" s="21">
        <f>IFERROR(IF(VLOOKUP($B11,'[2]Table 1'!$B$13:$C$35,2,FALSE)&lt;&gt;0,VLOOKUP($B11,'[2]Table 1'!$B$13:$C$35,2,FALSE),0),0)</f>
        <v>0</v>
      </c>
      <c r="D11" s="21">
        <f>IFERROR(IF(VLOOKUP($B11,'[3]Table 1'!$B$13:$C$35,2,FALSE)&lt;&gt;0,VLOOKUP($B11,'[3]Table 1'!$B$13:$C$35,2,FALSE),0),0)</f>
        <v>0</v>
      </c>
      <c r="E11" s="21">
        <f>IFERROR(IF(VLOOKUP($B11,'[4]Table 1'!$B$13:$C$40,2,FALSE)&lt;&gt;0,VLOOKUP($B11,'[4]Table 1'!$B$13:$C$40,2,FALSE),0),0)</f>
        <v>0</v>
      </c>
      <c r="F11" s="21">
        <f>IFERROR(IF(VLOOKUP($B11,'[5]Table 1'!$B$13:$C$35,2,FALSE)&lt;&gt;0,VLOOKUP($B11,'[5]Table 1'!$B$13:$C$33,2,FALSE),0),0)</f>
        <v>0</v>
      </c>
      <c r="G11" s="21">
        <f>IFERROR(IF(VLOOKUP($B11,'[6]Table 1'!$B$13:$C$34,2,FALSE)&lt;&gt;0,VLOOKUP($B11,'[6]Table 1'!$B$13:$C$34,2,FALSE),0),0)</f>
        <v>0</v>
      </c>
      <c r="I11" s="21">
        <f>INDEX('[2]Table 5'!$R$16:$R$41,MATCH(B11,'[2]Table 5'!$L$16:$L$41,0),1)</f>
        <v>0</v>
      </c>
      <c r="J11" s="21">
        <f>INDEX('[3]Table 5'!$R$16:$R$41,MATCH(B11,'[3]Table 5'!$L$16:$L$41,0),1)</f>
        <v>0</v>
      </c>
      <c r="K11" s="21">
        <f>INDEX('[4]Table 5'!$R$16:$R$41,MATCH(B11,'[4]Table 5'!$L$16:$L$41,0),1)</f>
        <v>0</v>
      </c>
      <c r="L11" s="21">
        <f>INDEX('[5]Table 5'!$R$16:$R$41,MATCH(B11,'[5]Table 5'!$L$16:$L$41,0),1)</f>
        <v>0</v>
      </c>
      <c r="M11" s="21">
        <f>INDEX('[6]Table 5'!$R$16:$R$41,MATCH(B11,'[6]Table 5'!$L$16:$L$41,0),1)</f>
        <v>0</v>
      </c>
    </row>
    <row r="12" spans="2:17" ht="15.75" x14ac:dyDescent="0.25">
      <c r="B12" s="20">
        <f t="shared" ref="B12:B28" si="0">B11+1</f>
        <v>2027</v>
      </c>
      <c r="C12" s="21">
        <f>IFERROR(IF(VLOOKUP($B12,'[2]Table 1'!$B$13:$C$35,2,FALSE)&lt;&gt;0,VLOOKUP($B12,'[2]Table 1'!$B$13:$C$35,2,FALSE),0),0)</f>
        <v>0</v>
      </c>
      <c r="D12" s="21">
        <f>IFERROR(IF(VLOOKUP($B12,'[3]Table 1'!$B$13:$C$35,2,FALSE)&lt;&gt;0,VLOOKUP($B12,'[3]Table 1'!$B$13:$C$35,2,FALSE),0),0)</f>
        <v>0</v>
      </c>
      <c r="E12" s="21">
        <f>IFERROR(IF(VLOOKUP($B12,'[4]Table 1'!$B$13:$G$40,2,FALSE)&lt;&gt;0,VLOOKUP($B12,'[4]Table 1'!$B$13:$G$40,2,FALSE),0),0)</f>
        <v>0</v>
      </c>
      <c r="F12" s="21">
        <f>IFERROR(IF(VLOOKUP($B12,'[5]Table 1'!$B$13:$C$35,2,FALSE)&lt;&gt;0,VLOOKUP($B12,'[5]Table 1'!$B$13:$C$33,2,FALSE),0),0)</f>
        <v>0</v>
      </c>
      <c r="G12" s="21">
        <f>IFERROR(IF(VLOOKUP($B12,'[6]Table 1'!$B$13:$C$34,2,FALSE)&lt;&gt;0,VLOOKUP($B12,'[6]Table 1'!$B$13:$C$34,2,FALSE),0),0)</f>
        <v>0</v>
      </c>
      <c r="I12" s="21">
        <f>INDEX('[2]Table 5'!$R$16:$R$41,MATCH(B12,'[2]Table 5'!$L$16:$L$41,0),1)</f>
        <v>0</v>
      </c>
      <c r="J12" s="21">
        <f>INDEX('[3]Table 5'!$R$16:$R$41,MATCH(B12,'[3]Table 5'!$L$16:$L$41,0),1)</f>
        <v>0</v>
      </c>
      <c r="K12" s="21">
        <f>INDEX('[4]Table 5'!$R$16:$R$41,MATCH(B12,'[4]Table 5'!$L$16:$L$41,0),1)</f>
        <v>0</v>
      </c>
      <c r="L12" s="21">
        <f>INDEX('[5]Table 5'!$R$16:$R$41,MATCH(B12,'[5]Table 5'!$L$16:$L$41,0),1)</f>
        <v>0</v>
      </c>
      <c r="M12" s="21">
        <f>INDEX('[6]Table 5'!$R$16:$R$41,MATCH(B12,'[6]Table 5'!$L$16:$L$41,0),1)</f>
        <v>0</v>
      </c>
    </row>
    <row r="13" spans="2:17" ht="15.75" x14ac:dyDescent="0.25">
      <c r="B13" s="20">
        <f t="shared" si="0"/>
        <v>2028</v>
      </c>
      <c r="C13" s="21">
        <f>IFERROR(IF(VLOOKUP($B13,'[2]Table 1'!$B$13:$C$35,2,FALSE)&lt;&gt;0,VLOOKUP($B13,'[2]Table 1'!$B$13:$C$35,2,FALSE),0),0)</f>
        <v>86.516893846414789</v>
      </c>
      <c r="D13" s="21">
        <f>IFERROR(IF(VLOOKUP($B13,'[3]Table 1'!$B$13:$C$35,2,FALSE)&lt;&gt;0,VLOOKUP($B13,'[3]Table 1'!$B$13:$C$35,2,FALSE),0),0)</f>
        <v>86.516893846414789</v>
      </c>
      <c r="E13" s="21">
        <f>IFERROR(IF(VLOOKUP($B13,'[4]Table 1'!$B$13:$G$40,2,FALSE)&lt;&gt;0,VLOOKUP($B13,'[4]Table 1'!$B$13:$G$40,2,FALSE),0),0)</f>
        <v>0</v>
      </c>
      <c r="F13" s="21">
        <f>IFERROR(IF(VLOOKUP($B13,'[5]Table 1'!$B$13:$C$35,2,FALSE)&lt;&gt;0,VLOOKUP($B13,'[5]Table 1'!$B$13:$C$33,2,FALSE),0),0)</f>
        <v>0</v>
      </c>
      <c r="G13" s="21">
        <f>IFERROR(IF(VLOOKUP($B13,'[6]Table 1'!$B$13:$C$34,2,FALSE)&lt;&gt;0,VLOOKUP($B13,'[6]Table 1'!$B$13:$C$34,2,FALSE),0),0)</f>
        <v>0</v>
      </c>
      <c r="I13" s="21">
        <f>INDEX('[2]Table 5'!$R$16:$R$41,MATCH(B13,'[2]Table 5'!$L$16:$L$41,0),1)</f>
        <v>32.470676147819461</v>
      </c>
      <c r="J13" s="21">
        <f>INDEX('[3]Table 5'!$R$16:$R$41,MATCH(B13,'[3]Table 5'!$L$16:$L$41,0),1)</f>
        <v>32.470676147819461</v>
      </c>
      <c r="K13" s="21">
        <f>INDEX('[4]Table 5'!$R$16:$R$41,MATCH(B13,'[4]Table 5'!$L$16:$L$41,0),1)</f>
        <v>0</v>
      </c>
      <c r="L13" s="21">
        <f>INDEX('[5]Table 5'!$R$16:$R$41,MATCH(B13,'[5]Table 5'!$L$16:$L$41,0),1)</f>
        <v>0</v>
      </c>
      <c r="M13" s="21">
        <f>INDEX('[6]Table 5'!$R$16:$R$41,MATCH(B13,'[6]Table 5'!$L$16:$L$41,0),1)</f>
        <v>0</v>
      </c>
    </row>
    <row r="14" spans="2:17" ht="15.75" x14ac:dyDescent="0.25">
      <c r="B14" s="20">
        <f t="shared" si="0"/>
        <v>2029</v>
      </c>
      <c r="C14" s="21">
        <f>IFERROR(IF(VLOOKUP($B14,'[2]Table 1'!$B$13:$C$35,2,FALSE)&lt;&gt;0,VLOOKUP($B14,'[2]Table 1'!$B$13:$C$35,2,FALSE),0),0)</f>
        <v>88.402962153489256</v>
      </c>
      <c r="D14" s="21">
        <f>IFERROR(IF(VLOOKUP($B14,'[3]Table 1'!$B$13:$C$35,2,FALSE)&lt;&gt;0,VLOOKUP($B14,'[3]Table 1'!$B$13:$C$35,2,FALSE),0),0)</f>
        <v>88.402962153489256</v>
      </c>
      <c r="E14" s="21">
        <f>IFERROR(IF(VLOOKUP($B14,'[4]Table 1'!$B$13:$G$40,2,FALSE)&lt;&gt;0,VLOOKUP($B14,'[4]Table 1'!$B$13:$G$40,2,FALSE),0),0)</f>
        <v>87.012450721802509</v>
      </c>
      <c r="F14" s="21">
        <f>IFERROR(IF(VLOOKUP($B14,'[5]Table 1'!$B$13:$C$35,2,FALSE)&lt;&gt;0,VLOOKUP($B14,'[5]Table 1'!$B$13:$C$33,2,FALSE),0),0)</f>
        <v>87.012450721802509</v>
      </c>
      <c r="G14" s="21">
        <f>IFERROR(IF(VLOOKUP($B14,'[6]Table 1'!$B$13:$C$34,2,FALSE)&lt;&gt;0,VLOOKUP($B14,'[6]Table 1'!$B$13:$C$34,2,FALSE),0),0)</f>
        <v>0</v>
      </c>
      <c r="I14" s="21">
        <f>INDEX('[2]Table 5'!$R$16:$R$41,MATCH(B14,'[2]Table 5'!$L$16:$L$41,0),1)</f>
        <v>33.263709843395326</v>
      </c>
      <c r="J14" s="21">
        <f>INDEX('[3]Table 5'!$R$16:$R$41,MATCH(B14,'[3]Table 5'!$L$16:$L$41,0),1)</f>
        <v>33.263709843395326</v>
      </c>
      <c r="K14" s="21">
        <f>INDEX('[4]Table 5'!$R$16:$R$41,MATCH(B14,'[4]Table 5'!$L$16:$L$41,0),1)</f>
        <v>32.740496959224721</v>
      </c>
      <c r="L14" s="21">
        <f>INDEX('[5]Table 5'!$R$16:$R$41,MATCH(B14,'[5]Table 5'!$L$16:$L$41,0),1)</f>
        <v>32.740496959224721</v>
      </c>
      <c r="M14" s="21">
        <f>INDEX('[6]Table 5'!$R$16:$R$41,MATCH(B14,'[6]Table 5'!$L$16:$L$41,0),1)</f>
        <v>0</v>
      </c>
    </row>
    <row r="15" spans="2:17" ht="15.75" x14ac:dyDescent="0.25">
      <c r="B15" s="20">
        <f t="shared" si="0"/>
        <v>2030</v>
      </c>
      <c r="C15" s="21">
        <f>IFERROR(IF(VLOOKUP($B15,'[2]Table 1'!$B$13:$C$35,2,FALSE)&lt;&gt;0,VLOOKUP($B15,'[2]Table 1'!$B$13:$C$35,2,FALSE),0),0)</f>
        <v>90.330146681878915</v>
      </c>
      <c r="D15" s="21">
        <f>IFERROR(IF(VLOOKUP($B15,'[3]Table 1'!$B$13:$C$35,2,FALSE)&lt;&gt;0,VLOOKUP($B15,'[3]Table 1'!$B$13:$C$35,2,FALSE),0),0)</f>
        <v>90.330146681878915</v>
      </c>
      <c r="E15" s="21">
        <f>IFERROR(IF(VLOOKUP($B15,'[4]Table 1'!$B$13:$G$40,2,FALSE)&lt;&gt;0,VLOOKUP($B15,'[4]Table 1'!$B$13:$G$40,2,FALSE),0),0)</f>
        <v>88.909322101713684</v>
      </c>
      <c r="F15" s="21">
        <f>IFERROR(IF(VLOOKUP($B15,'[5]Table 1'!$B$13:$C$35,2,FALSE)&lt;&gt;0,VLOOKUP($B15,'[5]Table 1'!$B$13:$C$33,2,FALSE),0),0)</f>
        <v>88.909322101713684</v>
      </c>
      <c r="G15" s="21">
        <f>IFERROR(IF(VLOOKUP($B15,'[6]Table 1'!$B$13:$C$34,2,FALSE)&lt;&gt;0,VLOOKUP($B15,'[6]Table 1'!$B$13:$C$34,2,FALSE),0),0)</f>
        <v>0</v>
      </c>
      <c r="I15" s="21">
        <f>INDEX('[2]Table 5'!$R$16:$R$41,MATCH(B15,'[2]Table 5'!$L$16:$L$41,0),1)</f>
        <v>33.941594412499207</v>
      </c>
      <c r="J15" s="21">
        <f>INDEX('[3]Table 5'!$R$16:$R$41,MATCH(B15,'[3]Table 5'!$L$16:$L$41,0),1)</f>
        <v>33.941594412499207</v>
      </c>
      <c r="K15" s="21">
        <f>INDEX('[4]Table 5'!$R$16:$R$41,MATCH(B15,'[4]Table 5'!$L$16:$L$41,0),1)</f>
        <v>33.407718919070483</v>
      </c>
      <c r="L15" s="21">
        <f>INDEX('[5]Table 5'!$R$16:$R$41,MATCH(B15,'[5]Table 5'!$L$16:$L$41,0),1)</f>
        <v>33.407718919070483</v>
      </c>
      <c r="M15" s="21">
        <f>INDEX('[6]Table 5'!$R$16:$R$41,MATCH(B15,'[6]Table 5'!$L$16:$L$41,0),1)</f>
        <v>0</v>
      </c>
    </row>
    <row r="16" spans="2:17" ht="15.75" x14ac:dyDescent="0.25">
      <c r="B16" s="20">
        <f t="shared" si="0"/>
        <v>2031</v>
      </c>
      <c r="C16" s="21">
        <f>IFERROR(IF(VLOOKUP($B16,'[2]Table 1'!$B$13:$C$35,2,FALSE)&lt;&gt;0,VLOOKUP($B16,'[2]Table 1'!$B$13:$C$35,2,FALSE),0),0)</f>
        <v>92.299343876400954</v>
      </c>
      <c r="D16" s="21">
        <f>IFERROR(IF(VLOOKUP($B16,'[3]Table 1'!$B$13:$C$35,2,FALSE)&lt;&gt;0,VLOOKUP($B16,'[3]Table 1'!$B$13:$C$35,2,FALSE),0),0)</f>
        <v>92.299343876400954</v>
      </c>
      <c r="E16" s="21">
        <f>IFERROR(IF(VLOOKUP($B16,'[4]Table 1'!$B$13:$G$40,2,FALSE)&lt;&gt;0,VLOOKUP($B16,'[4]Table 1'!$B$13:$G$40,2,FALSE),0),0)</f>
        <v>90.847545320437561</v>
      </c>
      <c r="F16" s="21">
        <f>IFERROR(IF(VLOOKUP($B16,'[5]Table 1'!$B$13:$C$35,2,FALSE)&lt;&gt;0,VLOOKUP($B16,'[5]Table 1'!$B$13:$C$33,2,FALSE),0),0)</f>
        <v>90.847545320437561</v>
      </c>
      <c r="G16" s="21">
        <f>IFERROR(IF(VLOOKUP($B16,'[6]Table 1'!$B$13:$C$34,2,FALSE)&lt;&gt;0,VLOOKUP($B16,'[6]Table 1'!$B$13:$C$34,2,FALSE),0),0)</f>
        <v>0</v>
      </c>
      <c r="I16" s="21">
        <f>INDEX('[2]Table 5'!$R$16:$R$41,MATCH(B16,'[2]Table 5'!$L$16:$L$41,0),1)</f>
        <v>34.647277499837557</v>
      </c>
      <c r="J16" s="21">
        <f>INDEX('[3]Table 5'!$R$16:$R$41,MATCH(B16,'[3]Table 5'!$L$16:$L$41,0),1)</f>
        <v>34.647277499837557</v>
      </c>
      <c r="K16" s="21">
        <f>INDEX('[4]Table 5'!$R$16:$R$41,MATCH(B16,'[4]Table 5'!$L$16:$L$41,0),1)</f>
        <v>34.102302147578463</v>
      </c>
      <c r="L16" s="21">
        <f>INDEX('[5]Table 5'!$R$16:$R$41,MATCH(B16,'[5]Table 5'!$L$16:$L$41,0),1)</f>
        <v>34.102302147578463</v>
      </c>
      <c r="M16" s="21">
        <f>INDEX('[6]Table 5'!$R$16:$R$41,MATCH(B16,'[6]Table 5'!$L$16:$L$41,0),1)</f>
        <v>0</v>
      </c>
    </row>
    <row r="17" spans="2:13" ht="15.75" x14ac:dyDescent="0.25">
      <c r="B17" s="20">
        <f t="shared" si="0"/>
        <v>2032</v>
      </c>
      <c r="C17" s="21">
        <f>IFERROR(IF(VLOOKUP($B17,'[2]Table 1'!$B$13:$C$35,2,FALSE)&lt;&gt;0,VLOOKUP($B17,'[2]Table 1'!$B$13:$C$35,2,FALSE),0),0)</f>
        <v>94.311469547302849</v>
      </c>
      <c r="D17" s="21">
        <f>IFERROR(IF(VLOOKUP($B17,'[3]Table 1'!$B$13:$C$35,2,FALSE)&lt;&gt;0,VLOOKUP($B17,'[3]Table 1'!$B$13:$C$35,2,FALSE),0),0)</f>
        <v>94.311469547302849</v>
      </c>
      <c r="E17" s="21">
        <f>IFERROR(IF(VLOOKUP($B17,'[4]Table 1'!$B$13:$G$40,2,FALSE)&lt;&gt;0,VLOOKUP($B17,'[4]Table 1'!$B$13:$G$40,2,FALSE),0),0)</f>
        <v>92.828021783222212</v>
      </c>
      <c r="F17" s="21">
        <f>IFERROR(IF(VLOOKUP($B17,'[5]Table 1'!$B$13:$C$35,2,FALSE)&lt;&gt;0,VLOOKUP($B17,'[5]Table 1'!$B$13:$C$33,2,FALSE),0),0)</f>
        <v>92.828021783222212</v>
      </c>
      <c r="G17" s="21">
        <f>IFERROR(IF(VLOOKUP($B17,'[6]Table 1'!$B$13:$C$34,2,FALSE)&lt;&gt;0,VLOOKUP($B17,'[6]Table 1'!$B$13:$C$34,2,FALSE),0),0)</f>
        <v>0</v>
      </c>
      <c r="I17" s="21">
        <f>INDEX('[2]Table 5'!$R$16:$R$41,MATCH(B17,'[2]Table 5'!$L$16:$L$41,0),1)</f>
        <v>35.326892865312281</v>
      </c>
      <c r="J17" s="21">
        <f>INDEX('[3]Table 5'!$R$16:$R$41,MATCH(B17,'[3]Table 5'!$L$16:$L$41,0),1)</f>
        <v>35.326892865312281</v>
      </c>
      <c r="K17" s="21">
        <f>INDEX('[4]Table 5'!$R$16:$R$41,MATCH(B17,'[4]Table 5'!$L$16:$L$41,0),1)</f>
        <v>34.771227679683108</v>
      </c>
      <c r="L17" s="21">
        <f>INDEX('[5]Table 5'!$R$16:$R$41,MATCH(B17,'[5]Table 5'!$L$16:$L$41,0),1)</f>
        <v>34.771227679683108</v>
      </c>
      <c r="M17" s="21">
        <f>INDEX('[6]Table 5'!$R$16:$R$41,MATCH(B17,'[6]Table 5'!$L$16:$L$41,0),1)</f>
        <v>0</v>
      </c>
    </row>
    <row r="18" spans="2:13" ht="15.75" x14ac:dyDescent="0.25">
      <c r="B18" s="20">
        <f t="shared" si="0"/>
        <v>2033</v>
      </c>
      <c r="C18" s="21">
        <f>IFERROR(IF(VLOOKUP($B18,'[2]Table 1'!$B$13:$C$35,2,FALSE)&lt;&gt;0,VLOOKUP($B18,'[2]Table 1'!$B$13:$C$35,2,FALSE),0),0)</f>
        <v>96.367459584561033</v>
      </c>
      <c r="D18" s="21">
        <f>IFERROR(IF(VLOOKUP($B18,'[3]Table 1'!$B$13:$C$35,2,FALSE)&lt;&gt;0,VLOOKUP($B18,'[3]Table 1'!$B$13:$C$35,2,FALSE),0),0)</f>
        <v>96.367459584561033</v>
      </c>
      <c r="E18" s="21">
        <f>IFERROR(IF(VLOOKUP($B18,'[4]Table 1'!$B$13:$G$40,2,FALSE)&lt;&gt;0,VLOOKUP($B18,'[4]Table 1'!$B$13:$G$40,2,FALSE),0),0)</f>
        <v>94.851672659205718</v>
      </c>
      <c r="F18" s="21">
        <f>IFERROR(IF(VLOOKUP($B18,'[5]Table 1'!$B$13:$C$35,2,FALSE)&lt;&gt;0,VLOOKUP($B18,'[5]Table 1'!$B$13:$C$33,2,FALSE),0),0)</f>
        <v>94.851672659205718</v>
      </c>
      <c r="G18" s="21">
        <f>IFERROR(IF(VLOOKUP($B18,'[6]Table 1'!$B$13:$C$34,2,FALSE)&lt;&gt;0,VLOOKUP($B18,'[6]Table 1'!$B$13:$C$34,2,FALSE),0),0)</f>
        <v>0</v>
      </c>
      <c r="I18" s="21">
        <f>INDEX('[2]Table 5'!$R$16:$R$41,MATCH(B18,'[2]Table 5'!$L$16:$L$41,0),1)</f>
        <v>36.245342032873253</v>
      </c>
      <c r="J18" s="21">
        <f>INDEX('[3]Table 5'!$R$16:$R$41,MATCH(B18,'[3]Table 5'!$L$16:$L$41,0),1)</f>
        <v>36.245342032873253</v>
      </c>
      <c r="K18" s="21">
        <f>INDEX('[4]Table 5'!$R$16:$R$41,MATCH(B18,'[4]Table 5'!$L$16:$L$41,0),1)</f>
        <v>35.675230339618004</v>
      </c>
      <c r="L18" s="21">
        <f>INDEX('[5]Table 5'!$R$16:$R$41,MATCH(B18,'[5]Table 5'!$L$16:$L$41,0),1)</f>
        <v>35.675230339618004</v>
      </c>
      <c r="M18" s="21">
        <f>INDEX('[6]Table 5'!$R$16:$R$41,MATCH(B18,'[6]Table 5'!$L$16:$L$41,0),1)</f>
        <v>0</v>
      </c>
    </row>
    <row r="19" spans="2:13" ht="15.75" x14ac:dyDescent="0.25">
      <c r="B19" s="20">
        <f t="shared" si="0"/>
        <v>2034</v>
      </c>
      <c r="C19" s="21">
        <f>IFERROR(IF(VLOOKUP($B19,'[2]Table 1'!$B$13:$C$35,2,FALSE)&lt;&gt;0,VLOOKUP($B19,'[2]Table 1'!$B$13:$C$35,2,FALSE),0),0)</f>
        <v>98.468270275347052</v>
      </c>
      <c r="D19" s="21">
        <f>IFERROR(IF(VLOOKUP($B19,'[3]Table 1'!$B$13:$C$35,2,FALSE)&lt;&gt;0,VLOOKUP($B19,'[3]Table 1'!$B$13:$C$35,2,FALSE),0),0)</f>
        <v>98.468270275347052</v>
      </c>
      <c r="E19" s="21">
        <f>IFERROR(IF(VLOOKUP($B19,'[4]Table 1'!$B$13:$G$40,2,FALSE)&lt;&gt;0,VLOOKUP($B19,'[4]Table 1'!$B$13:$G$40,2,FALSE),0),0)</f>
        <v>96.919439193888962</v>
      </c>
      <c r="F19" s="21">
        <f>IFERROR(IF(VLOOKUP($B19,'[5]Table 1'!$B$13:$C$35,2,FALSE)&lt;&gt;0,VLOOKUP($B19,'[5]Table 1'!$B$13:$C$33,2,FALSE),0),0)</f>
        <v>96.919439193888962</v>
      </c>
      <c r="G19" s="21">
        <f>IFERROR(IF(VLOOKUP($B19,'[6]Table 1'!$B$13:$C$34,2,FALSE)&lt;&gt;0,VLOOKUP($B19,'[6]Table 1'!$B$13:$C$34,2,FALSE),0),0)</f>
        <v>0</v>
      </c>
      <c r="I19" s="21">
        <f>INDEX('[2]Table 5'!$R$16:$R$41,MATCH(B19,'[2]Table 5'!$L$16:$L$41,0),1)</f>
        <v>37.027422819811122</v>
      </c>
      <c r="J19" s="21">
        <f>INDEX('[3]Table 5'!$R$16:$R$41,MATCH(B19,'[3]Table 5'!$L$16:$L$41,0),1)</f>
        <v>37.027422819811122</v>
      </c>
      <c r="K19" s="21">
        <f>INDEX('[4]Table 5'!$R$16:$R$41,MATCH(B19,'[4]Table 5'!$L$16:$L$41,0),1)</f>
        <v>36.445009589952932</v>
      </c>
      <c r="L19" s="21">
        <f>INDEX('[5]Table 5'!$R$16:$R$41,MATCH(B19,'[5]Table 5'!$L$16:$L$41,0),1)</f>
        <v>36.445009589952932</v>
      </c>
      <c r="M19" s="21">
        <f>INDEX('[6]Table 5'!$R$16:$R$41,MATCH(B19,'[6]Table 5'!$L$16:$L$41,0),1)</f>
        <v>0</v>
      </c>
    </row>
    <row r="20" spans="2:13" ht="15.75" x14ac:dyDescent="0.25">
      <c r="B20" s="20">
        <f t="shared" si="0"/>
        <v>2035</v>
      </c>
      <c r="C20" s="21">
        <f>IFERROR(IF(VLOOKUP($B20,'[2]Table 1'!$B$13:$C$35,2,FALSE)&lt;&gt;0,VLOOKUP($B20,'[2]Table 1'!$B$13:$C$35,2,FALSE),0),0)</f>
        <v>100.61487854212692</v>
      </c>
      <c r="D20" s="21">
        <f>IFERROR(IF(VLOOKUP($B20,'[3]Table 1'!$B$13:$C$35,2,FALSE)&lt;&gt;0,VLOOKUP($B20,'[3]Table 1'!$B$13:$C$35,2,FALSE),0),0)</f>
        <v>100.61487854212692</v>
      </c>
      <c r="E20" s="21">
        <f>IFERROR(IF(VLOOKUP($B20,'[4]Table 1'!$B$13:$G$40,2,FALSE)&lt;&gt;0,VLOOKUP($B20,'[4]Table 1'!$B$13:$G$40,2,FALSE),0),0)</f>
        <v>99.032282943489761</v>
      </c>
      <c r="F20" s="21">
        <f>IFERROR(IF(VLOOKUP($B20,'[5]Table 1'!$B$13:$C$35,2,FALSE)&lt;&gt;0,VLOOKUP($B20,'[5]Table 1'!$B$13:$C$33,2,FALSE),0),0)</f>
        <v>99.032282943489761</v>
      </c>
      <c r="G20" s="21">
        <f>IFERROR(IF(VLOOKUP($B20,'[6]Table 1'!$B$13:$C$34,2,FALSE)&lt;&gt;0,VLOOKUP($B20,'[6]Table 1'!$B$13:$C$34,2,FALSE),0),0)</f>
        <v>0</v>
      </c>
      <c r="I20" s="21">
        <f>INDEX('[2]Table 5'!$R$16:$R$41,MATCH(B20,'[2]Table 5'!$L$16:$L$41,0),1)</f>
        <v>37.858732832310125</v>
      </c>
      <c r="J20" s="21">
        <f>INDEX('[3]Table 5'!$R$16:$R$41,MATCH(B20,'[3]Table 5'!$L$16:$L$41,0),1)</f>
        <v>37.858732832310125</v>
      </c>
      <c r="K20" s="21">
        <f>INDEX('[4]Table 5'!$R$16:$R$41,MATCH(B20,'[4]Table 5'!$L$16:$L$41,0),1)</f>
        <v>37.263243727532149</v>
      </c>
      <c r="L20" s="21">
        <f>INDEX('[5]Table 5'!$R$16:$R$41,MATCH(B20,'[5]Table 5'!$L$16:$L$41,0),1)</f>
        <v>37.263243727532149</v>
      </c>
      <c r="M20" s="21">
        <f>INDEX('[6]Table 5'!$R$16:$R$41,MATCH(B20,'[6]Table 5'!$L$16:$L$41,0),1)</f>
        <v>0</v>
      </c>
    </row>
    <row r="21" spans="2:13" ht="15.75" x14ac:dyDescent="0.25">
      <c r="B21" s="20">
        <f t="shared" si="0"/>
        <v>2036</v>
      </c>
      <c r="C21" s="21">
        <f>IFERROR(IF(VLOOKUP($B21,'[2]Table 1'!$B$13:$C$35,2,FALSE)&lt;&gt;0,VLOOKUP($B21,'[2]Table 1'!$B$13:$C$35,2,FALSE),0),0)</f>
        <v>102.80828289505959</v>
      </c>
      <c r="D21" s="21">
        <f>IFERROR(IF(VLOOKUP($B21,'[3]Table 1'!$B$13:$C$35,2,FALSE)&lt;&gt;0,VLOOKUP($B21,'[3]Table 1'!$B$13:$C$35,2,FALSE),0),0)</f>
        <v>102.80828289505959</v>
      </c>
      <c r="E21" s="21">
        <f>IFERROR(IF(VLOOKUP($B21,'[4]Table 1'!$B$13:$G$40,2,FALSE)&lt;&gt;0,VLOOKUP($B21,'[4]Table 1'!$B$13:$G$40,2,FALSE),0),0)</f>
        <v>101.19118671236092</v>
      </c>
      <c r="F21" s="21">
        <f>IFERROR(IF(VLOOKUP($B21,'[5]Table 1'!$B$13:$C$35,2,FALSE)&lt;&gt;0,VLOOKUP($B21,'[5]Table 1'!$B$13:$C$33,2,FALSE),0),0)</f>
        <v>101.19118671236092</v>
      </c>
      <c r="G21" s="21">
        <f>IFERROR(IF(VLOOKUP($B21,'[6]Table 1'!$B$13:$C$34,2,FALSE)&lt;&gt;0,VLOOKUP($B21,'[6]Table 1'!$B$13:$C$34,2,FALSE),0),0)</f>
        <v>0</v>
      </c>
      <c r="I21" s="21">
        <f>INDEX('[2]Table 5'!$R$16:$R$41,MATCH(B21,'[2]Table 5'!$L$16:$L$41,0),1)</f>
        <v>38.605652155816635</v>
      </c>
      <c r="J21" s="21">
        <f>INDEX('[3]Table 5'!$R$16:$R$41,MATCH(B21,'[3]Table 5'!$L$16:$L$41,0),1)</f>
        <v>38.605652155816635</v>
      </c>
      <c r="K21" s="21">
        <f>INDEX('[4]Table 5'!$R$16:$R$41,MATCH(B21,'[4]Table 5'!$L$16:$L$41,0),1)</f>
        <v>37.998414577542043</v>
      </c>
      <c r="L21" s="21">
        <f>INDEX('[5]Table 5'!$R$16:$R$41,MATCH(B21,'[5]Table 5'!$L$16:$L$41,0),1)</f>
        <v>37.998414577542043</v>
      </c>
      <c r="M21" s="21">
        <f>INDEX('[6]Table 5'!$R$16:$R$41,MATCH(B21,'[6]Table 5'!$L$16:$L$41,0),1)</f>
        <v>0</v>
      </c>
    </row>
    <row r="22" spans="2:13" ht="15.75" x14ac:dyDescent="0.25">
      <c r="B22" s="20">
        <f t="shared" si="0"/>
        <v>2037</v>
      </c>
      <c r="C22" s="21">
        <f>IFERROR(IF(VLOOKUP($B22,'[2]Table 1'!$B$13:$C$35,2,FALSE)&lt;&gt;0,VLOOKUP($B22,'[2]Table 1'!$B$13:$C$35,2,FALSE),0),0)</f>
        <v>105.04950343199673</v>
      </c>
      <c r="D22" s="21">
        <f>IFERROR(IF(VLOOKUP($B22,'[3]Table 1'!$B$13:$C$35,2,FALSE)&lt;&gt;0,VLOOKUP($B22,'[3]Table 1'!$B$13:$C$35,2,FALSE),0),0)</f>
        <v>105.04950343199673</v>
      </c>
      <c r="E22" s="21">
        <f>IFERROR(IF(VLOOKUP($B22,'[4]Table 1'!$B$13:$G$40,2,FALSE)&lt;&gt;0,VLOOKUP($B22,'[4]Table 1'!$B$13:$G$40,2,FALSE),0),0)</f>
        <v>103.39715455298986</v>
      </c>
      <c r="F22" s="21">
        <f>IFERROR(IF(VLOOKUP($B22,'[5]Table 1'!$B$13:$C$35,2,FALSE)&lt;&gt;0,VLOOKUP($B22,'[5]Table 1'!$B$13:$C$33,2,FALSE),0),0)</f>
        <v>103.39715455298986</v>
      </c>
      <c r="G22" s="21">
        <f>IFERROR(IF(VLOOKUP($B22,'[6]Table 1'!$B$13:$C$34,2,FALSE)&lt;&gt;0,VLOOKUP($B22,'[6]Table 1'!$B$13:$C$34,2,FALSE),0),0)</f>
        <v>0</v>
      </c>
      <c r="I22" s="21">
        <f>INDEX('[2]Table 5'!$R$16:$R$41,MATCH(B22,'[2]Table 5'!$L$16:$L$41,0),1)</f>
        <v>39.442774736389772</v>
      </c>
      <c r="J22" s="21">
        <f>INDEX('[3]Table 5'!$R$16:$R$41,MATCH(B22,'[3]Table 5'!$L$16:$L$41,0),1)</f>
        <v>39.442774736389772</v>
      </c>
      <c r="K22" s="21">
        <f>INDEX('[4]Table 5'!$R$16:$R$41,MATCH(B22,'[4]Table 5'!$L$16:$L$41,0),1)</f>
        <v>38.822369855915632</v>
      </c>
      <c r="L22" s="21">
        <f>INDEX('[5]Table 5'!$R$16:$R$41,MATCH(B22,'[5]Table 5'!$L$16:$L$41,0),1)</f>
        <v>38.822369855915632</v>
      </c>
      <c r="M22" s="21">
        <f>INDEX('[6]Table 5'!$R$16:$R$41,MATCH(B22,'[6]Table 5'!$L$16:$L$41,0),1)</f>
        <v>0</v>
      </c>
    </row>
    <row r="23" spans="2:13" ht="15.75" x14ac:dyDescent="0.25">
      <c r="B23" s="20">
        <f t="shared" si="0"/>
        <v>2038</v>
      </c>
      <c r="C23" s="21">
        <f>IFERROR(IF(VLOOKUP($B23,'[2]Table 1'!$B$13:$C$35,2,FALSE)&lt;&gt;0,VLOOKUP($B23,'[2]Table 1'!$B$13:$C$35,2,FALSE),0),0)</f>
        <v>107.33958263214808</v>
      </c>
      <c r="D23" s="21">
        <f>IFERROR(IF(VLOOKUP($B23,'[3]Table 1'!$B$13:$C$35,2,FALSE)&lt;&gt;0,VLOOKUP($B23,'[3]Table 1'!$B$13:$C$35,2,FALSE),0),0)</f>
        <v>107.33958263214808</v>
      </c>
      <c r="E23" s="21">
        <f>IFERROR(IF(VLOOKUP($B23,'[4]Table 1'!$B$13:$G$40,2,FALSE)&lt;&gt;0,VLOOKUP($B23,'[4]Table 1'!$B$13:$G$40,2,FALSE),0),0)</f>
        <v>105.65121254718035</v>
      </c>
      <c r="F23" s="21">
        <f>IFERROR(IF(VLOOKUP($B23,'[5]Table 1'!$B$13:$C$35,2,FALSE)&lt;&gt;0,VLOOKUP($B23,'[5]Table 1'!$B$13:$C$33,2,FALSE),0),0)</f>
        <v>105.65121254718035</v>
      </c>
      <c r="G23" s="21">
        <f>IFERROR(IF(VLOOKUP($B23,'[6]Table 1'!$B$13:$C$34,2,FALSE)&lt;&gt;0,VLOOKUP($B23,'[6]Table 1'!$B$13:$C$34,2,FALSE),0),0)</f>
        <v>0</v>
      </c>
      <c r="I23" s="21">
        <f>INDEX('[2]Table 5'!$R$16:$R$41,MATCH(B23,'[2]Table 5'!$L$16:$L$41,0),1)</f>
        <v>40.367463551248719</v>
      </c>
      <c r="J23" s="21">
        <f>INDEX('[3]Table 5'!$R$16:$R$41,MATCH(B23,'[3]Table 5'!$L$16:$L$41,0),1)</f>
        <v>40.367463551248719</v>
      </c>
      <c r="K23" s="21">
        <f>INDEX('[4]Table 5'!$R$16:$R$41,MATCH(B23,'[4]Table 5'!$L$16:$L$41,0),1)</f>
        <v>39.732514018237012</v>
      </c>
      <c r="L23" s="21">
        <f>INDEX('[5]Table 5'!$R$16:$R$41,MATCH(B23,'[5]Table 5'!$L$16:$L$41,0),1)</f>
        <v>39.732514018237012</v>
      </c>
      <c r="M23" s="21">
        <f>INDEX('[6]Table 5'!$R$16:$R$41,MATCH(B23,'[6]Table 5'!$L$16:$L$41,0),1)</f>
        <v>0</v>
      </c>
    </row>
    <row r="24" spans="2:13" ht="15.75" x14ac:dyDescent="0.25">
      <c r="B24" s="20">
        <f t="shared" si="0"/>
        <v>2039</v>
      </c>
      <c r="C24" s="21">
        <f>IFERROR(IF(VLOOKUP($B24,'[2]Table 1'!$B$13:$C$35,2,FALSE)&lt;&gt;0,VLOOKUP($B24,'[2]Table 1'!$B$13:$C$35,2,FALSE),0),0)</f>
        <v>109.67958551481426</v>
      </c>
      <c r="D24" s="21">
        <f>IFERROR(IF(VLOOKUP($B24,'[3]Table 1'!$B$13:$C$35,2,FALSE)&lt;&gt;0,VLOOKUP($B24,'[3]Table 1'!$B$13:$C$35,2,FALSE),0),0)</f>
        <v>109.67958551481426</v>
      </c>
      <c r="E24" s="21">
        <f>IFERROR(IF(VLOOKUP($B24,'[4]Table 1'!$B$13:$G$40,2,FALSE)&lt;&gt;0,VLOOKUP($B24,'[4]Table 1'!$B$13:$G$40,2,FALSE),0),0)</f>
        <v>107.95440896228862</v>
      </c>
      <c r="F24" s="21">
        <f>IFERROR(IF(VLOOKUP($B24,'[5]Table 1'!$B$13:$C$35,2,FALSE)&lt;&gt;0,VLOOKUP($B24,'[5]Table 1'!$B$13:$C$33,2,FALSE),0),0)</f>
        <v>107.95440896228862</v>
      </c>
      <c r="G24" s="21">
        <f>IFERROR(IF(VLOOKUP($B24,'[6]Table 1'!$B$13:$C$34,2,FALSE)&lt;&gt;0,VLOOKUP($B24,'[6]Table 1'!$B$13:$C$34,2,FALSE),0),0)</f>
        <v>0</v>
      </c>
      <c r="I24" s="21">
        <f>INDEX('[2]Table 5'!$R$16:$R$41,MATCH(B24,'[2]Table 5'!$L$16:$L$41,0),1)</f>
        <v>41.252245396381774</v>
      </c>
      <c r="J24" s="21">
        <f>INDEX('[3]Table 5'!$R$16:$R$41,MATCH(B24,'[3]Table 5'!$L$16:$L$41,0),1)</f>
        <v>41.252245396381774</v>
      </c>
      <c r="K24" s="21">
        <f>INDEX('[4]Table 5'!$R$16:$R$41,MATCH(B24,'[4]Table 5'!$L$16:$L$41,0),1)</f>
        <v>40.603378917147488</v>
      </c>
      <c r="L24" s="21">
        <f>INDEX('[5]Table 5'!$R$16:$R$41,MATCH(B24,'[5]Table 5'!$L$16:$L$41,0),1)</f>
        <v>40.603378917147488</v>
      </c>
      <c r="M24" s="21">
        <f>INDEX('[6]Table 5'!$R$16:$R$41,MATCH(B24,'[6]Table 5'!$L$16:$L$41,0),1)</f>
        <v>0</v>
      </c>
    </row>
    <row r="25" spans="2:13" ht="15.75" x14ac:dyDescent="0.25">
      <c r="B25" s="20">
        <f t="shared" si="0"/>
        <v>2040</v>
      </c>
      <c r="C25" s="21">
        <f>IFERROR(IF(VLOOKUP($B25,'[2]Table 1'!$B$13:$C$35,2,FALSE)&lt;&gt;0,VLOOKUP($B25,'[2]Table 1'!$B$13:$C$35,2,FALSE),0),0)</f>
        <v>112.07060051241879</v>
      </c>
      <c r="D25" s="21">
        <f>IFERROR(IF(VLOOKUP($B25,'[3]Table 1'!$B$13:$C$35,2,FALSE)&lt;&gt;0,VLOOKUP($B25,'[3]Table 1'!$B$13:$C$35,2,FALSE),0),0)</f>
        <v>112.07060051241879</v>
      </c>
      <c r="E25" s="21">
        <f>IFERROR(IF(VLOOKUP($B25,'[4]Table 1'!$B$13:$G$40,2,FALSE)&lt;&gt;0,VLOOKUP($B25,'[4]Table 1'!$B$13:$G$40,2,FALSE),0),0)</f>
        <v>110.30781511052302</v>
      </c>
      <c r="F25" s="21">
        <f>IFERROR(IF(VLOOKUP($B25,'[5]Table 1'!$B$13:$C$35,2,FALSE)&lt;&gt;0,VLOOKUP($B25,'[5]Table 1'!$B$13:$C$33,2,FALSE),0),0)</f>
        <v>110.30781511052302</v>
      </c>
      <c r="G25" s="21">
        <f>IFERROR(IF(VLOOKUP($B25,'[6]Table 1'!$B$13:$C$34,2,FALSE)&lt;&gt;0,VLOOKUP($B25,'[6]Table 1'!$B$13:$C$34,2,FALSE),0),0)</f>
        <v>0</v>
      </c>
      <c r="I25" s="21">
        <f>INDEX('[2]Table 5'!$R$16:$R$41,MATCH(B25,'[2]Table 5'!$L$16:$L$41,0),1)</f>
        <v>42.057115796814756</v>
      </c>
      <c r="J25" s="21">
        <f>INDEX('[3]Table 5'!$R$16:$R$41,MATCH(B25,'[3]Table 5'!$L$16:$L$41,0),1)</f>
        <v>42.057115796814756</v>
      </c>
      <c r="K25" s="21">
        <f>INDEX('[4]Table 5'!$R$16:$R$41,MATCH(B25,'[4]Table 5'!$L$16:$L$41,0),1)</f>
        <v>41.395589317671366</v>
      </c>
      <c r="L25" s="21">
        <f>INDEX('[5]Table 5'!$R$16:$R$41,MATCH(B25,'[5]Table 5'!$L$16:$L$41,0),1)</f>
        <v>41.395589317671366</v>
      </c>
      <c r="M25" s="21">
        <f>INDEX('[6]Table 5'!$R$16:$R$41,MATCH(B25,'[6]Table 5'!$L$16:$L$41,0),1)</f>
        <v>0</v>
      </c>
    </row>
    <row r="26" spans="2:13" ht="15.75" x14ac:dyDescent="0.25">
      <c r="B26" s="20">
        <f t="shared" si="0"/>
        <v>2041</v>
      </c>
      <c r="C26" s="21">
        <f>IFERROR(IF(VLOOKUP($B26,'[2]Table 1'!$B$13:$C$35,2,FALSE)&lt;&gt;0,VLOOKUP($B26,'[2]Table 1'!$B$13:$C$35,2,FALSE),0),0)</f>
        <v>114.51373954987426</v>
      </c>
      <c r="D26" s="21">
        <f>IFERROR(IF(VLOOKUP($B26,'[3]Table 1'!$B$13:$C$35,2,FALSE)&lt;&gt;0,VLOOKUP($B26,'[3]Table 1'!$B$13:$C$35,2,FALSE),0),0)</f>
        <v>114.51373954987426</v>
      </c>
      <c r="E26" s="21">
        <f>IFERROR(IF(VLOOKUP($B26,'[4]Table 1'!$B$13:$G$40,2,FALSE)&lt;&gt;0,VLOOKUP($B26,'[4]Table 1'!$B$13:$G$40,2,FALSE),0),0)</f>
        <v>112.71252542706206</v>
      </c>
      <c r="F26" s="21">
        <f>IFERROR(IF(VLOOKUP($B26,'[5]Table 1'!$B$13:$C$35,2,FALSE)&lt;&gt;0,VLOOKUP($B26,'[5]Table 1'!$B$13:$C$33,2,FALSE),0),0)</f>
        <v>112.71252542706206</v>
      </c>
      <c r="G26" s="21">
        <f>IFERROR(IF(VLOOKUP($B26,'[6]Table 1'!$B$13:$C$34,2,FALSE)&lt;&gt;0,VLOOKUP($B26,'[6]Table 1'!$B$13:$C$34,2,FALSE),0),0)</f>
        <v>0</v>
      </c>
      <c r="I26" s="21">
        <f>INDEX('[2]Table 5'!$R$16:$R$41,MATCH(B26,'[2]Table 5'!$L$16:$L$41,0),1)</f>
        <v>43.028590622671118</v>
      </c>
      <c r="J26" s="21">
        <f>INDEX('[3]Table 5'!$R$16:$R$41,MATCH(B26,'[3]Table 5'!$L$16:$L$41,0),1)</f>
        <v>43.028590622671118</v>
      </c>
      <c r="K26" s="21">
        <f>INDEX('[4]Table 5'!$R$16:$R$41,MATCH(B26,'[4]Table 5'!$L$16:$L$41,0),1)</f>
        <v>42.351783582582215</v>
      </c>
      <c r="L26" s="21">
        <f>INDEX('[5]Table 5'!$R$16:$R$41,MATCH(B26,'[5]Table 5'!$L$16:$L$41,0),1)</f>
        <v>42.351783582582215</v>
      </c>
      <c r="M26" s="21">
        <f>INDEX('[6]Table 5'!$R$16:$R$41,MATCH(B26,'[6]Table 5'!$L$16:$L$41,0),1)</f>
        <v>0</v>
      </c>
    </row>
    <row r="27" spans="2:13" ht="15.75" x14ac:dyDescent="0.25">
      <c r="B27" s="20">
        <f t="shared" si="0"/>
        <v>2042</v>
      </c>
      <c r="C27" s="21">
        <f>IFERROR(IF(VLOOKUP($B27,'[2]Table 1'!$B$13:$C$35,2,FALSE)&lt;&gt;0,VLOOKUP($B27,'[2]Table 1'!$B$13:$C$35,2,FALSE),0),0)</f>
        <v>117.01013907634731</v>
      </c>
      <c r="D27" s="21">
        <f>IFERROR(IF(VLOOKUP($B27,'[3]Table 1'!$B$13:$C$35,2,FALSE)&lt;&gt;0,VLOOKUP($B27,'[3]Table 1'!$B$13:$C$35,2,FALSE),0),0)</f>
        <v>117.01013907634731</v>
      </c>
      <c r="E27" s="21">
        <f>IFERROR(IF(VLOOKUP($B27,'[4]Table 1'!$B$13:$G$40,2,FALSE)&lt;&gt;0,VLOOKUP($B27,'[4]Table 1'!$B$13:$G$40,2,FALSE),0),0)</f>
        <v>115.16965848559042</v>
      </c>
      <c r="F27" s="21">
        <f>IFERROR(IF(VLOOKUP($B27,'[5]Table 1'!$B$13:$C$35,2,FALSE)&lt;&gt;0,VLOOKUP($B27,'[5]Table 1'!$B$13:$C$33,2,FALSE),0),0)</f>
        <v>115.16965848559042</v>
      </c>
      <c r="G27" s="21">
        <f>IFERROR(IF(VLOOKUP($B27,'[6]Table 1'!$B$13:$C$34,2,FALSE)&lt;&gt;0,VLOOKUP($B27,'[6]Table 1'!$B$13:$C$34,2,FALSE),0),0)</f>
        <v>0</v>
      </c>
      <c r="I27" s="21">
        <f>INDEX('[2]Table 5'!$R$16:$R$41,MATCH(B27,'[2]Table 5'!$L$16:$L$41,0),1)</f>
        <v>43.923202361022838</v>
      </c>
      <c r="J27" s="21">
        <f>INDEX('[3]Table 5'!$R$16:$R$41,MATCH(B27,'[3]Table 5'!$L$16:$L$41,0),1)</f>
        <v>43.923202361022838</v>
      </c>
      <c r="K27" s="21">
        <f>INDEX('[4]Table 5'!$R$16:$R$41,MATCH(B27,'[4]Table 5'!$L$16:$L$41,0),1)</f>
        <v>43.232323757959193</v>
      </c>
      <c r="L27" s="21">
        <f>INDEX('[5]Table 5'!$R$16:$R$41,MATCH(B27,'[5]Table 5'!$L$16:$L$41,0),1)</f>
        <v>43.232323757959193</v>
      </c>
      <c r="M27" s="21">
        <f>INDEX('[6]Table 5'!$R$16:$R$41,MATCH(B27,'[6]Table 5'!$L$16:$L$41,0),1)</f>
        <v>0</v>
      </c>
    </row>
    <row r="28" spans="2:13" ht="15.75" x14ac:dyDescent="0.25">
      <c r="B28" s="20">
        <f t="shared" si="0"/>
        <v>2043</v>
      </c>
      <c r="C28" s="21">
        <f>IFERROR(IF(VLOOKUP($B28,'[2]Table 1'!$B$13:$C$35,2,FALSE)&lt;&gt;0,VLOOKUP($B28,'[2]Table 1'!$B$13:$C$35,2,FALSE),0),0)</f>
        <v>119.56096014462503</v>
      </c>
      <c r="D28" s="21">
        <f>IFERROR(IF(VLOOKUP($B28,'[3]Table 1'!$B$13:$C$35,2,FALSE)&lt;&gt;0,VLOOKUP($B28,'[3]Table 1'!$B$13:$C$35,2,FALSE),0),0)</f>
        <v>119.56096014462503</v>
      </c>
      <c r="E28" s="21">
        <f>IFERROR(IF(VLOOKUP($B28,'[4]Table 1'!$B$13:$G$40,2,FALSE)&lt;&gt;0,VLOOKUP($B28,'[4]Table 1'!$B$13:$G$40,2,FALSE),0),0)</f>
        <v>117.68035707641688</v>
      </c>
      <c r="F28" s="21">
        <f>IFERROR(IF(VLOOKUP($B28,'[5]Table 1'!$B$13:$C$35,2,FALSE)&lt;&gt;0,VLOOKUP($B28,'[5]Table 1'!$B$13:$C$33,2,FALSE),0),0)</f>
        <v>117.68035707641688</v>
      </c>
      <c r="G28" s="21">
        <f>IFERROR(IF(VLOOKUP($B28,'[6]Table 1'!$B$13:$C$34,2,FALSE)&lt;&gt;0,VLOOKUP($B28,'[6]Table 1'!$B$13:$C$34,2,FALSE),0),0)</f>
        <v>0</v>
      </c>
      <c r="I28" s="21">
        <f>INDEX('[2]Table 5'!$R$16:$R$41,MATCH(B28,'[2]Table 5'!$L$16:$L$41,0),1)</f>
        <v>44.891368965905471</v>
      </c>
      <c r="J28" s="21">
        <f>INDEX('[3]Table 5'!$R$16:$R$41,MATCH(B28,'[3]Table 5'!$L$16:$L$41,0),1)</f>
        <v>44.891368965905471</v>
      </c>
      <c r="K28" s="21">
        <f>INDEX('[4]Table 5'!$R$16:$R$41,MATCH(B28,'[4]Table 5'!$L$16:$L$41,0),1)</f>
        <v>44.185261837698881</v>
      </c>
      <c r="L28" s="21">
        <f>INDEX('[5]Table 5'!$R$16:$R$41,MATCH(B28,'[5]Table 5'!$L$16:$L$41,0),1)</f>
        <v>44.185261837698881</v>
      </c>
      <c r="M28" s="21">
        <f>INDEX('[6]Table 5'!$R$16:$R$41,MATCH(B28,'[6]Table 5'!$L$16:$L$41,0),1)</f>
        <v>0</v>
      </c>
    </row>
    <row r="29" spans="2:13" ht="15.75" x14ac:dyDescent="0.25">
      <c r="B29" s="20"/>
      <c r="C29" s="22"/>
      <c r="D29" s="22"/>
      <c r="E29" s="22"/>
      <c r="F29" s="22"/>
      <c r="G29" s="22"/>
      <c r="I29" s="22"/>
      <c r="J29" s="22"/>
      <c r="K29" s="22"/>
    </row>
    <row r="30" spans="2:13" x14ac:dyDescent="0.2">
      <c r="B30" s="15" t="str">
        <f>"Nominal Levelized Payment at "&amp;TEXT($B$41,"0.000%")&amp;" Discount Rate (2)"</f>
        <v>Nominal Levelized Payment at 6.380% Discount Rate (2)</v>
      </c>
    </row>
    <row r="31" spans="2:13" x14ac:dyDescent="0.2">
      <c r="B31" s="23" t="str">
        <f>$B$11&amp;" - "&amp;B25</f>
        <v>2026 - 2040</v>
      </c>
      <c r="C31" s="24">
        <f t="shared" ref="C31:F33" si="1">PMT($B$41,COUNT(C11:C25),-NPV($B$41,C11:C25))</f>
        <v>78.309676154946061</v>
      </c>
      <c r="D31" s="24">
        <f t="shared" ref="D31:E31" si="2">PMT($B$41,COUNT(D11:D25),-NPV($B$41,D11:D25))</f>
        <v>78.309676154946061</v>
      </c>
      <c r="E31" s="24">
        <f t="shared" si="2"/>
        <v>69.612927349209045</v>
      </c>
      <c r="F31" s="24">
        <f t="shared" si="1"/>
        <v>69.612927349209045</v>
      </c>
      <c r="G31" s="24">
        <f t="shared" ref="G31" si="3">PMT($B$41,COUNT(G11:G25),-NPV($B$41,G11:G25))</f>
        <v>0</v>
      </c>
      <c r="I31" s="24">
        <f t="shared" ref="I31:L33" si="4">PMT($B$41,COUNT(I11:I25),-NPV($B$41,I11:I25))</f>
        <v>29.42062639221648</v>
      </c>
      <c r="J31" s="24">
        <f t="shared" ref="J31:K31" si="5">PMT($B$41,COUNT(J11:J25),-NPV($B$41,J11:J25))</f>
        <v>29.42062639221648</v>
      </c>
      <c r="K31" s="24">
        <f t="shared" si="5"/>
        <v>26.156172443785923</v>
      </c>
      <c r="L31" s="24">
        <f t="shared" si="4"/>
        <v>26.156172443785923</v>
      </c>
      <c r="M31" s="24">
        <f t="shared" ref="M31" si="6">PMT($B$41,COUNT(M11:M25),-NPV($B$41,M11:M25))</f>
        <v>0</v>
      </c>
    </row>
    <row r="32" spans="2:13" x14ac:dyDescent="0.2">
      <c r="B32" s="23" t="str">
        <f>$B$12&amp;" - "&amp;B26</f>
        <v>2027 - 2041</v>
      </c>
      <c r="C32" s="24">
        <f t="shared" si="1"/>
        <v>88.084997187380608</v>
      </c>
      <c r="D32" s="24">
        <f t="shared" ref="D32:E32" si="7">PMT($B$41,COUNT(D12:D26),-NPV($B$41,D12:D26))</f>
        <v>88.084997187380608</v>
      </c>
      <c r="E32" s="24">
        <f t="shared" si="7"/>
        <v>78.75822319384163</v>
      </c>
      <c r="F32" s="24">
        <f t="shared" si="1"/>
        <v>78.75822319384163</v>
      </c>
      <c r="G32" s="24">
        <f t="shared" ref="G32" si="8">PMT($B$41,COUNT(G12:G26),-NPV($B$41,G12:G26))</f>
        <v>0</v>
      </c>
      <c r="I32" s="24">
        <f t="shared" si="4"/>
        <v>33.093435325339328</v>
      </c>
      <c r="J32" s="24">
        <f t="shared" ref="J32:K32" si="9">PMT($B$41,COUNT(J12:J26),-NPV($B$41,J12:J26))</f>
        <v>33.093435325339328</v>
      </c>
      <c r="K32" s="24">
        <f t="shared" si="9"/>
        <v>29.592463070506714</v>
      </c>
      <c r="L32" s="24">
        <f t="shared" si="4"/>
        <v>29.592463070506714</v>
      </c>
      <c r="M32" s="24">
        <f t="shared" ref="M32" si="10">PMT($B$41,COUNT(M12:M26),-NPV($B$41,M12:M26))</f>
        <v>0</v>
      </c>
    </row>
    <row r="33" spans="2:16" x14ac:dyDescent="0.2">
      <c r="B33" s="23" t="str">
        <f>$B$13&amp;" - "&amp;B27</f>
        <v>2028 - 2042</v>
      </c>
      <c r="C33" s="24">
        <f t="shared" si="1"/>
        <v>98.588169470387115</v>
      </c>
      <c r="D33" s="24">
        <f t="shared" ref="D33:E33" si="11">PMT($B$41,COUNT(D13:D27),-NPV($B$41,D13:D27))</f>
        <v>98.588169470387115</v>
      </c>
      <c r="E33" s="24">
        <f t="shared" si="11"/>
        <v>88.589535919076496</v>
      </c>
      <c r="F33" s="24">
        <f t="shared" si="1"/>
        <v>88.589535919076496</v>
      </c>
      <c r="G33" s="24">
        <f t="shared" ref="G33" si="12">PMT($B$41,COUNT(G13:G27),-NPV($B$41,G13:G27))</f>
        <v>0</v>
      </c>
      <c r="I33" s="24">
        <f t="shared" si="4"/>
        <v>37.037905564105294</v>
      </c>
      <c r="J33" s="24">
        <f t="shared" ref="J33:K33" si="13">PMT($B$41,COUNT(J13:J27),-NPV($B$41,J13:J27))</f>
        <v>37.037905564105294</v>
      </c>
      <c r="K33" s="24">
        <f t="shared" si="13"/>
        <v>33.284737866502262</v>
      </c>
      <c r="L33" s="24">
        <f t="shared" si="4"/>
        <v>33.284737866502262</v>
      </c>
      <c r="M33" s="24">
        <f t="shared" ref="M33" si="14">PMT($B$41,COUNT(M13:M27),-NPV($B$41,M13:M27))</f>
        <v>0</v>
      </c>
    </row>
    <row r="35" spans="2:16" x14ac:dyDescent="0.2">
      <c r="B35" s="15" t="str">
        <f>"(1)   Capacity costs are allocated based on assumed "&amp;TEXT(B43,"00%")&amp;" capacity factor."</f>
        <v>(1)   Capacity costs are allocated based on assumed 00% capacity factor.</v>
      </c>
    </row>
    <row r="36" spans="2:16" s="1" customFormat="1" x14ac:dyDescent="0.2">
      <c r="B36" s="15" t="str">
        <f>"(2)   "&amp;MID(Total!B36,7,99)</f>
        <v>(2)   Official Forward Price Curve Dated December 2025</v>
      </c>
      <c r="C36" s="15"/>
      <c r="D36" s="15"/>
      <c r="E36" s="15"/>
      <c r="F36" s="15"/>
      <c r="G36" s="15"/>
      <c r="H36" s="15"/>
      <c r="I36" s="15"/>
      <c r="J36" s="15"/>
      <c r="K36" s="15"/>
      <c r="O36"/>
      <c r="P36"/>
    </row>
    <row r="37" spans="2:16" x14ac:dyDescent="0.2">
      <c r="B37" s="15" t="s">
        <v>12</v>
      </c>
    </row>
    <row r="40" spans="2:16" x14ac:dyDescent="0.2">
      <c r="B40" s="15" t="str">
        <f>MID(Total!B36,7,99)</f>
        <v>Official Forward Price Curve Dated December 2025</v>
      </c>
    </row>
    <row r="41" spans="2:16" x14ac:dyDescent="0.2">
      <c r="B41" s="25">
        <f>Discount_Rate</f>
        <v>6.3799999999999996E-2</v>
      </c>
    </row>
    <row r="43" spans="2:16" x14ac:dyDescent="0.2">
      <c r="B43" s="55"/>
    </row>
  </sheetData>
  <printOptions horizontalCentered="1"/>
  <pageMargins left="0.25" right="0.25" top="0.75" bottom="0.75" header="0.3" footer="0.2"/>
  <pageSetup scale="57" orientation="landscape" r:id="rId1"/>
  <headerFooter alignWithMargins="0">
    <oddFooter>&amp;L&amp;8NPC Group - &amp;F   ( &amp;A )&amp;C&amp;8Page &amp;P of &amp;N&amp;R&amp;8&amp;D 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660F878EBB14C9C0EACA228947D1F" ma:contentTypeVersion="10" ma:contentTypeDescription="Create a new document." ma:contentTypeScope="" ma:versionID="6d22e891dda8e2264cc044b07f753d31">
  <xsd:schema xmlns:xsd="http://www.w3.org/2001/XMLSchema" xmlns:xs="http://www.w3.org/2001/XMLSchema" xmlns:p="http://schemas.microsoft.com/office/2006/metadata/properties" xmlns:ns1="http://schemas.microsoft.com/sharepoint/v3" xmlns:ns2="8d2ccb4a-2d3f-46ea-a8a7-18f2e8db3b7b" xmlns:ns3="dd95e425-d589-47f0-8d5d-becc6564e3ac" targetNamespace="http://schemas.microsoft.com/office/2006/metadata/properties" ma:root="true" ma:fieldsID="ad2a839b5969f61ed6e7d502d8ea4ef1" ns1:_="" ns2:_="" ns3:_="">
    <xsd:import namespace="http://schemas.microsoft.com/sharepoint/v3"/>
    <xsd:import namespace="8d2ccb4a-2d3f-46ea-a8a7-18f2e8db3b7b"/>
    <xsd:import namespace="dd95e425-d589-47f0-8d5d-becc6564e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ccb4a-2d3f-46ea-a8a7-18f2e8db3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5e425-d589-47f0-8d5d-becc6564e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53BE5C-D635-4CDA-9D5A-6AAFFD1482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961145-7F59-4684-8ECA-F9F569C0CE8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638BEE3-1D29-42A8-AF7D-7E9079D1B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2ccb4a-2d3f-46ea-a8a7-18f2e8db3b7b"/>
    <ds:schemaRef ds:uri="dd95e425-d589-47f0-8d5d-becc6564e3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Summary</vt:lpstr>
      <vt:lpstr>Incremental</vt:lpstr>
      <vt:lpstr>Total</vt:lpstr>
      <vt:lpstr>Energy</vt:lpstr>
      <vt:lpstr>Capacity</vt:lpstr>
      <vt:lpstr>Summary!Discount_Rate</vt:lpstr>
      <vt:lpstr>Discount_Rate</vt:lpstr>
      <vt:lpstr>Capacity!Print_Area</vt:lpstr>
      <vt:lpstr>Energy!Print_Area</vt:lpstr>
      <vt:lpstr>Incremental!Print_Area</vt:lpstr>
      <vt:lpstr>Total!Print_Area</vt:lpstr>
    </vt:vector>
  </TitlesOfParts>
  <Company>PacifiCorp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Farmer</dc:creator>
  <cp:lastModifiedBy>Fred Nass</cp:lastModifiedBy>
  <cp:lastPrinted>2026-03-24T17:53:55Z</cp:lastPrinted>
  <dcterms:created xsi:type="dcterms:W3CDTF">2006-07-10T20:43:15Z</dcterms:created>
  <dcterms:modified xsi:type="dcterms:W3CDTF">2026-03-24T21:21:10Z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0x010100602660F878EBB14C9C0EACA228947D1F</vt:lpwstr>
  </property>
</Properties>
</file>