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Websites\Pscweb\utilities\electric\25docs\2503538\"/>
    </mc:Choice>
  </mc:AlternateContent>
  <xr:revisionPtr revIDLastSave="0" documentId="8_{FFDA3861-4489-4495-84E8-DEC45AB2D69E}" xr6:coauthVersionLast="47" xr6:coauthVersionMax="47" xr10:uidLastSave="{00000000-0000-0000-0000-000000000000}"/>
  <bookViews>
    <workbookView xWindow="60" yWindow="615" windowWidth="24315" windowHeight="19875" xr2:uid="{00000000-000D-0000-FFFF-FFFF00000000}"/>
  </bookViews>
  <sheets>
    <sheet name="Data Tables" sheetId="1" r:id="rId1"/>
    <sheet name="Costs Data Tables" sheetId="2" r:id="rId2"/>
  </sheets>
  <definedNames>
    <definedName name="_xlnm._FilterDatabase" localSheetId="1" hidden="1">'Costs Data Tables'!$A$1:$N$60</definedName>
    <definedName name="_xlnm._FilterDatabase" localSheetId="0" hidden="1">'Data Tables'!$A$1:$N$62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NTM">6000</definedName>
    <definedName name="IQ_TODAY">0</definedName>
    <definedName name="IQ_WEEK">50000</definedName>
    <definedName name="IQ_YTD">3000</definedName>
    <definedName name="IQ_YTDMONTH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" i="2" l="1"/>
  <c r="O59" i="2"/>
  <c r="N59" i="2"/>
  <c r="L59" i="2"/>
  <c r="J59" i="2"/>
  <c r="H59" i="2"/>
  <c r="F59" i="2"/>
  <c r="E59" i="2"/>
  <c r="D59" i="2"/>
  <c r="M57" i="2"/>
  <c r="K57" i="2"/>
  <c r="I57" i="2"/>
  <c r="M53" i="2"/>
  <c r="K53" i="2"/>
  <c r="M49" i="2"/>
  <c r="M45" i="2"/>
  <c r="K45" i="2"/>
  <c r="M39" i="2"/>
  <c r="K39" i="2"/>
  <c r="M36" i="2"/>
  <c r="K36" i="2"/>
  <c r="I36" i="2"/>
  <c r="G36" i="2"/>
  <c r="M35" i="2"/>
  <c r="K35" i="2"/>
  <c r="I35" i="2"/>
  <c r="G35" i="2"/>
  <c r="I32" i="2"/>
  <c r="I59" i="2" s="1"/>
  <c r="G32" i="2"/>
  <c r="M31" i="2"/>
  <c r="K31" i="2"/>
  <c r="I31" i="2"/>
  <c r="G31" i="2"/>
  <c r="M27" i="2"/>
  <c r="K27" i="2"/>
  <c r="M25" i="2"/>
  <c r="K24" i="2"/>
  <c r="N23" i="2"/>
  <c r="M23" i="2"/>
  <c r="M24" i="2" s="1"/>
  <c r="L23" i="2"/>
  <c r="K23" i="2"/>
  <c r="J23" i="2"/>
  <c r="J24" i="2" s="1"/>
  <c r="J60" i="2" s="1"/>
  <c r="I23" i="2"/>
  <c r="I24" i="2" s="1"/>
  <c r="H23" i="2"/>
  <c r="G23" i="2"/>
  <c r="F23" i="2"/>
  <c r="E23" i="2"/>
  <c r="D23" i="2"/>
  <c r="D24" i="2" s="1"/>
  <c r="N19" i="2"/>
  <c r="N60" i="2" s="1"/>
  <c r="M19" i="2"/>
  <c r="L19" i="2"/>
  <c r="K19" i="2"/>
  <c r="K60" i="2" s="1"/>
  <c r="J19" i="2"/>
  <c r="I19" i="2"/>
  <c r="H19" i="2"/>
  <c r="G19" i="2"/>
  <c r="F19" i="2"/>
  <c r="E19" i="2"/>
  <c r="D19" i="2"/>
  <c r="M14" i="2"/>
  <c r="K14" i="2"/>
  <c r="I14" i="2"/>
  <c r="G14" i="2"/>
  <c r="M11" i="2"/>
  <c r="K11" i="2"/>
  <c r="G11" i="2"/>
  <c r="M9" i="2"/>
  <c r="K9" i="2"/>
  <c r="I9" i="2"/>
  <c r="G9" i="2"/>
  <c r="M8" i="2"/>
  <c r="K8" i="2"/>
  <c r="I8" i="2"/>
  <c r="G8" i="2"/>
  <c r="G59" i="2" s="1"/>
  <c r="M4" i="2"/>
  <c r="M59" i="2" s="1"/>
  <c r="K4" i="2"/>
  <c r="K59" i="2" s="1"/>
  <c r="L61" i="1"/>
  <c r="K61" i="1"/>
  <c r="J61" i="1"/>
  <c r="I61" i="1"/>
  <c r="H61" i="1"/>
  <c r="G61" i="1"/>
  <c r="F61" i="1"/>
  <c r="E61" i="1"/>
  <c r="D61" i="1"/>
  <c r="C61" i="1"/>
  <c r="M58" i="1"/>
  <c r="L58" i="1"/>
  <c r="K58" i="1"/>
  <c r="J58" i="1"/>
  <c r="I58" i="1"/>
  <c r="H58" i="1"/>
  <c r="G58" i="1"/>
  <c r="F58" i="1"/>
  <c r="E58" i="1"/>
  <c r="D58" i="1"/>
  <c r="C58" i="1"/>
  <c r="M39" i="1"/>
  <c r="L39" i="1"/>
  <c r="K39" i="1"/>
  <c r="J39" i="1"/>
  <c r="I39" i="1"/>
  <c r="H39" i="1"/>
  <c r="G39" i="1"/>
  <c r="F39" i="1"/>
  <c r="E39" i="1"/>
  <c r="D39" i="1"/>
  <c r="C39" i="1"/>
  <c r="M34" i="1"/>
  <c r="L34" i="1"/>
  <c r="K34" i="1"/>
  <c r="J34" i="1"/>
  <c r="I34" i="1"/>
  <c r="H34" i="1"/>
  <c r="G34" i="1"/>
  <c r="F34" i="1"/>
  <c r="E34" i="1"/>
  <c r="D34" i="1"/>
  <c r="C34" i="1"/>
  <c r="M30" i="1"/>
  <c r="L30" i="1"/>
  <c r="K30" i="1"/>
  <c r="J30" i="1"/>
  <c r="I30" i="1"/>
  <c r="H30" i="1"/>
  <c r="G30" i="1"/>
  <c r="F30" i="1"/>
  <c r="E30" i="1"/>
  <c r="D30" i="1"/>
  <c r="C30" i="1"/>
  <c r="M20" i="1"/>
  <c r="L20" i="1"/>
  <c r="K20" i="1"/>
  <c r="J20" i="1"/>
  <c r="I20" i="1"/>
  <c r="H20" i="1"/>
  <c r="G20" i="1"/>
  <c r="F20" i="1"/>
  <c r="E20" i="1"/>
  <c r="D20" i="1"/>
  <c r="C20" i="1"/>
  <c r="M15" i="1"/>
  <c r="M14" i="1"/>
  <c r="E24" i="2" l="1"/>
  <c r="F24" i="2"/>
  <c r="G24" i="2"/>
  <c r="G60" i="2"/>
  <c r="H24" i="2"/>
  <c r="L24" i="2"/>
  <c r="I35" i="1"/>
  <c r="J35" i="1"/>
  <c r="H35" i="1"/>
  <c r="C35" i="1"/>
  <c r="D35" i="1"/>
  <c r="K35" i="1"/>
  <c r="L35" i="1"/>
  <c r="G35" i="1"/>
  <c r="F35" i="1"/>
  <c r="M35" i="1"/>
  <c r="E35" i="1"/>
  <c r="D60" i="2"/>
  <c r="E60" i="2"/>
  <c r="F60" i="2"/>
  <c r="H60" i="2"/>
  <c r="I60" i="2"/>
  <c r="L60" i="2"/>
  <c r="M60" i="2"/>
</calcChain>
</file>

<file path=xl/sharedStrings.xml><?xml version="1.0" encoding="utf-8"?>
<sst xmlns="http://schemas.openxmlformats.org/spreadsheetml/2006/main" count="513" uniqueCount="144">
  <si>
    <t>Mitigation Program Category</t>
  </si>
  <si>
    <t>Objective Items</t>
  </si>
  <si>
    <t>2020 Objectives (Goals)</t>
  </si>
  <si>
    <t>2020 Achievements (Actuals)</t>
  </si>
  <si>
    <t>2021 Objectives (Goals)</t>
  </si>
  <si>
    <t>2021 Achievements (Actuals)</t>
  </si>
  <si>
    <t>2022 Objectives (Goals)</t>
  </si>
  <si>
    <t>2022 Achievements (Actuals)</t>
  </si>
  <si>
    <t>2023 Objectives (Goals)</t>
  </si>
  <si>
    <t>2023 Achievements (Actuals)</t>
  </si>
  <si>
    <t>2024 Objectives (Goals)</t>
  </si>
  <si>
    <t>2024 Achievements (Actuals)</t>
  </si>
  <si>
    <t>2025 Objectives (Goals)</t>
  </si>
  <si>
    <t>Risk Modeling &amp; Drivers</t>
  </si>
  <si>
    <t>N/A</t>
  </si>
  <si>
    <t>???</t>
  </si>
  <si>
    <r>
      <rPr>
        <sz val="10"/>
        <color rgb="FF1B1C1D"/>
        <rFont val="Arial"/>
      </rPr>
      <t xml:space="preserve">Projects Completed - Count:
</t>
    </r>
    <r>
      <rPr>
        <i/>
        <sz val="10"/>
        <color rgb="FFFF0000"/>
        <rFont val="Arial"/>
      </rPr>
      <t>(Note: Assumed line rebuild; values provided in miles)</t>
    </r>
  </si>
  <si>
    <t>Median Risk Score of completed projects</t>
  </si>
  <si>
    <r>
      <rPr>
        <sz val="10"/>
        <color rgb="FF1B1C1D"/>
        <rFont val="Arial"/>
      </rPr>
      <t xml:space="preserve">Median Risk Score of outstanding projects (EOY)
</t>
    </r>
    <r>
      <rPr>
        <sz val="10"/>
        <color rgb="FFFF0000"/>
        <rFont val="Arial"/>
      </rPr>
      <t>(Note: Outstanding assumed to be all remaining Circuits in FHCA)</t>
    </r>
  </si>
  <si>
    <t>Risk Score Range of outstanding projects (EOY)</t>
  </si>
  <si>
    <t>(0.027, 0.909)</t>
  </si>
  <si>
    <t>Inspection &amp; Correction Program</t>
  </si>
  <si>
    <t>Distribution Visual Safety (Inspected FHCA Poles):</t>
  </si>
  <si>
    <t>Transmission Visual Safety (Inspected FHCA Poles):</t>
  </si>
  <si>
    <t>Distribution Detail (Inspected FHCA Poles):</t>
  </si>
  <si>
    <t>Transmission Detail (Inspected FHCA Poles):</t>
  </si>
  <si>
    <t>Distribution Intrusive (Inspected FHCA Poles):</t>
  </si>
  <si>
    <t>Tansmission Intrusive (Inspected FHCA Poles):</t>
  </si>
  <si>
    <t>Miles of Idle Transmission lines at End of Year (EOY)</t>
  </si>
  <si>
    <t>Miles of Idle Distribution lines at End of Year (EOY)</t>
  </si>
  <si>
    <t>Miles of IR Inspect on Trans lines:</t>
  </si>
  <si>
    <t>Conditions Corrected in HFCA (ERR and Power Only; current FHCA retroactive to all years)</t>
  </si>
  <si>
    <t>NA</t>
  </si>
  <si>
    <t>Vegetation Management</t>
  </si>
  <si>
    <t>Distribution Line-Miles Inspected:</t>
  </si>
  <si>
    <t>Transmission Line-Miles Inspected:</t>
  </si>
  <si>
    <t>Total Line-Miles Inspected:</t>
  </si>
  <si>
    <t>Trees Trimmed/pruned:</t>
  </si>
  <si>
    <t>n/a based on inspections</t>
  </si>
  <si>
    <t>Trees Removed (Included brush equiv):</t>
  </si>
  <si>
    <t>Poles Radially Cleared:</t>
  </si>
  <si>
    <t>Environmental Program</t>
  </si>
  <si>
    <t>Nests Managed:</t>
  </si>
  <si>
    <t>n/a</t>
  </si>
  <si>
    <t>Poles Retrofitted:</t>
  </si>
  <si>
    <t>Nestboxes maintained:</t>
  </si>
  <si>
    <t>System Hardening</t>
  </si>
  <si>
    <t>Miles of Transmission Line - Undergrounding</t>
  </si>
  <si>
    <t>Miles of Transmission Line - Covered Conductor</t>
  </si>
  <si>
    <t>Miles of Transmission Line - Other</t>
  </si>
  <si>
    <t>Total Miles of Transmission Line Rebuild Constructed:</t>
  </si>
  <si>
    <t>Miles of Distribution Line - Undergrounding</t>
  </si>
  <si>
    <t>Miles of Distribution Line - Covered Conductor</t>
  </si>
  <si>
    <t>Miles of Distribution Line - Other</t>
  </si>
  <si>
    <t>Total Miles of Distribution Line Rebuild Constructed:</t>
  </si>
  <si>
    <t>Total Miles of Line Rebuild Constructed:</t>
  </si>
  <si>
    <t>Distribution Relays Upgraded:</t>
  </si>
  <si>
    <t>Transmission Relays Upgraded:</t>
  </si>
  <si>
    <t>Recloser Replacements:</t>
  </si>
  <si>
    <t>Total Relays and Reclosers Upgraded:</t>
  </si>
  <si>
    <t>Expulsion Fuses Replaced:</t>
  </si>
  <si>
    <t>Communicating Fault Indicators Installed:</t>
  </si>
  <si>
    <t>Weather Stations Installed:</t>
  </si>
  <si>
    <t>Fire Mesh Wrap Installations:</t>
  </si>
  <si>
    <t>Situational Awareness Program</t>
  </si>
  <si>
    <t>Weather Stations Maintenance Completed:</t>
  </si>
  <si>
    <t>Weather Stations (End of Year Count Including Portable Stations)</t>
  </si>
  <si>
    <t>HPCC's Installed:</t>
  </si>
  <si>
    <t>Wildfire Detection Cameras Installed:</t>
  </si>
  <si>
    <t>Wildfire Detection Cameras Maintained:</t>
  </si>
  <si>
    <t>System Operations</t>
  </si>
  <si>
    <t># Safety Settings Deployed:</t>
  </si>
  <si>
    <t>Field Operations &amp; Work Practices</t>
  </si>
  <si>
    <t>Emergency De-energizations:</t>
  </si>
  <si>
    <t>COW and Starlink Devices Purchased</t>
  </si>
  <si>
    <t>6 starlink devices</t>
  </si>
  <si>
    <t>26 starlink devices</t>
  </si>
  <si>
    <t>10 Starlink devices</t>
  </si>
  <si>
    <t>Fire Vehicles Purchased:</t>
  </si>
  <si>
    <t>Public Safety Power Shutoff (PSPS) Program</t>
  </si>
  <si>
    <t>PSPS Events Conducted:</t>
  </si>
  <si>
    <t>PSPS Watch Events where ECC was Activated:</t>
  </si>
  <si>
    <t>Emergency Management Wildfire Response</t>
  </si>
  <si>
    <t>Entities(cities, counties, agencies, etc) that participated in training events</t>
  </si>
  <si>
    <t>Cedar City Fire 
Department, North Fork Fire District, Summit, Wasatch, Utah, and Iron Counties Emergency 
Managers</t>
  </si>
  <si>
    <t>Iron, Salt Lake, 
Utah, Wasatch and Summit Counites</t>
  </si>
  <si>
    <t>Washington, Iron, Beaver, Santaquin, Sanpete, Sevier, San Juan, Grand, Summit, Wasatch counties</t>
  </si>
  <si>
    <t>Washington, Iron, Beaver, Santaquin, Sanpete, Sevier, San Juan, Grand, Utah, Juab, Milliars, Carbon, Emery, Salt Lake, Tooele, Summit, Wasatch, Davis, Morgan, Weber, Vernal, Cache, Box Elder counties</t>
  </si>
  <si>
    <t>Uintah, Millard, Sanpete, Sevier, Piute, Garfield, Juab, Utah, Carbon, Emery, Grand, San Juan,Washington, Salt Lake, Davis, Tooele, Rich, Cache, Box Elder, Summit, Wasatch. Iron, Beaver counties; State of Utah, State partners, Forestry Wardens, FMOs, Public (webinar)</t>
  </si>
  <si>
    <t>Public Safety Partner Coordination Strategy</t>
  </si>
  <si>
    <t>Tabletop Exercises Hosted:</t>
  </si>
  <si>
    <t>Other Outreach and Training Events Conducted:</t>
  </si>
  <si>
    <t>Total Events Conducted:</t>
  </si>
  <si>
    <t>Wildfire Safety &amp; Preparedness Engagement Strategy</t>
  </si>
  <si>
    <t>Community Webinars Conducted:</t>
  </si>
  <si>
    <t>Community Events:</t>
  </si>
  <si>
    <t>Total Wildfire Safety and Preparedness Engagement Events:</t>
  </si>
  <si>
    <t>Industry Collaboration</t>
  </si>
  <si>
    <t>Number of notable Associations currently collaborating with:</t>
  </si>
  <si>
    <t>Plan Monitoring &amp; Implementation</t>
  </si>
  <si>
    <t>Objective Items ($ Millions)</t>
  </si>
  <si>
    <t>2020 Plan (Approved)</t>
  </si>
  <si>
    <t xml:space="preserve">2020 Actuals </t>
  </si>
  <si>
    <t>2021 (Approved)</t>
  </si>
  <si>
    <t xml:space="preserve">2021 Actuals </t>
  </si>
  <si>
    <t>2022 (Approved)</t>
  </si>
  <si>
    <t xml:space="preserve">2022 Actuals </t>
  </si>
  <si>
    <t>2023 (Approved)</t>
  </si>
  <si>
    <t xml:space="preserve">2023 Actuals </t>
  </si>
  <si>
    <t>2024 (Approved)</t>
  </si>
  <si>
    <t xml:space="preserve">2024 Actuals </t>
  </si>
  <si>
    <t>2025 (Approved)</t>
  </si>
  <si>
    <t>2025 Forecast - From 2024 Report</t>
  </si>
  <si>
    <t>Capital Spend</t>
  </si>
  <si>
    <t>Distribution Costs</t>
  </si>
  <si>
    <t>Transmission Costs</t>
  </si>
  <si>
    <t>O&amp;M Spend</t>
  </si>
  <si>
    <t>Transmission Line - Undergrounding</t>
  </si>
  <si>
    <t>Transmission Line - Covered Conductor</t>
  </si>
  <si>
    <t>Transmission Line - Other</t>
  </si>
  <si>
    <t>Total Transmission Line Rebuild:</t>
  </si>
  <si>
    <t>Distribution Line - Undergrounding</t>
  </si>
  <si>
    <t>Distribution Line - Covered Conductor</t>
  </si>
  <si>
    <t>Distribution Line - Other</t>
  </si>
  <si>
    <t>Total Distribution Line Rebuild:</t>
  </si>
  <si>
    <t>Total Line Rebuild Constructed:</t>
  </si>
  <si>
    <t>2024 GRC Approved Amts for 2025</t>
  </si>
  <si>
    <t>Total O&amp;M</t>
  </si>
  <si>
    <t>Total Capital Spend (CAPEX)</t>
  </si>
  <si>
    <t>Additional Element added by DPU to clarify the data element on row 2 above</t>
  </si>
  <si>
    <t>Number of ignitions in HFCA Areas (Non utility-caused)</t>
  </si>
  <si>
    <t>*</t>
  </si>
  <si>
    <t>** 369</t>
  </si>
  <si>
    <t>Number of ignitions in Non-HFCA Areas  (Non utility-caused)</t>
  </si>
  <si>
    <t>** 209</t>
  </si>
  <si>
    <t>Number of utility-caused ignitions in HFCA Areas</t>
  </si>
  <si>
    <t>Number of utility-caused ignitions in Non-HFCA Areas</t>
  </si>
  <si>
    <t>*  Data for calender years 2020 through 2023 is unavailable because the Company did not track non-utility caused wildfires until 2024. In addition, many wildfires never reach a point of action and are thus not recorded.  Also, the Company notes that there are no goals for non-utility caused ignitions.</t>
  </si>
  <si>
    <t>** Data includes both 2024 and 2025 through September 5, 2025.  Tracking only ignitions at or near RMP facilities.</t>
  </si>
  <si>
    <t xml:space="preserve">Assumption 1:  only ignitions originating from, or alleged to have originated from Company assets that extended to additional fuel sources (e.g., vegetation) were considered.  </t>
  </si>
  <si>
    <t xml:space="preserve">Assumption 2: Reliability of data diminishes over time, largely due to historical differences in processes and data collection practices. Current year (2025) is considered most accurate. </t>
  </si>
  <si>
    <t>Outstanding projects include projects started and not completed by year-end as well as projects planned but not started.</t>
  </si>
  <si>
    <r>
      <t xml:space="preserve">Projects with Risk score assigned (EOY) %
</t>
    </r>
    <r>
      <rPr>
        <i/>
        <sz val="10"/>
        <color rgb="FFFF0000"/>
        <rFont val="Arial"/>
      </rPr>
      <t>(Note: Risk scores were not available until 2024)</t>
    </r>
  </si>
  <si>
    <r>
      <t xml:space="preserve">Projects with Risk score assigned during Yr - Count
</t>
    </r>
    <r>
      <rPr>
        <i/>
        <sz val="10"/>
        <color rgb="FFFF0000"/>
        <rFont val="Arial"/>
      </rPr>
      <t>(Note: Risk scores were not available until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</si>
</sst>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&quot;$&quot;#,##0.0"/>
  </numFmts>
  <fonts count="14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0"/>
      <color rgb="FF1B1C1D"/>
      <name val="Arial"/>
    </font>
    <font>
      <b/>
      <sz val="10"/>
      <color rgb="FFFF0000"/>
      <name val="Arial"/>
    </font>
    <font>
      <sz val="10"/>
      <color theme="1"/>
      <name val="Arial"/>
    </font>
    <font>
      <sz val="10"/>
      <color rgb="FF1B1C1D"/>
      <name val="Arial"/>
    </font>
    <font>
      <sz val="10"/>
      <color rgb="FFFF0000"/>
      <name val="Arial"/>
    </font>
    <font>
      <b/>
      <sz val="10"/>
      <color theme="1"/>
      <name val="Arial"/>
    </font>
    <font>
      <i/>
      <sz val="10"/>
      <color rgb="FFFF0000"/>
      <name val="Arial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u/>
      <sz val="10"/>
      <color rgb="FF0000FF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AEDFB"/>
        <bgColor rgb="FFCAEDFB"/>
      </patternFill>
    </fill>
    <fill>
      <patternFill patternType="solid">
        <fgColor rgb="FFD9EAD3"/>
        <bgColor rgb="FFD9EAD3"/>
      </patternFill>
    </fill>
    <fill>
      <patternFill patternType="solid">
        <fgColor rgb="FFC1E4F5"/>
        <bgColor rgb="FFC1E4F5"/>
      </patternFill>
    </fill>
    <fill>
      <patternFill patternType="solid">
        <fgColor theme="0"/>
        <bgColor rgb="FFFFFF00"/>
      </patternFill>
    </fill>
  </fills>
  <borders count="4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3"/>
  </cellStyleXfs>
  <cellXfs count="108">
    <xf numFmtId="0" fontId="0" fillId="0" borderId="0" xfId="0"/>
    <xf numFmtId="0" fontId="2" fillId="2" borderId="1" xfId="0" applyFont="1" applyFill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2" fillId="2" borderId="3" xfId="0" applyFont="1" applyFill="1" applyBorder="1" applyAlignment="1">
      <alignment horizontal="left" vertical="center" wrapText="1" readingOrder="1"/>
    </xf>
    <xf numFmtId="0" fontId="5" fillId="2" borderId="3" xfId="0" applyFont="1" applyFill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right" wrapText="1" readingOrder="1"/>
    </xf>
    <xf numFmtId="9" fontId="5" fillId="0" borderId="4" xfId="0" applyNumberFormat="1" applyFont="1" applyBorder="1" applyAlignment="1">
      <alignment horizontal="right" wrapText="1" readingOrder="1"/>
    </xf>
    <xf numFmtId="0" fontId="6" fillId="0" borderId="0" xfId="0" applyFont="1" applyAlignment="1">
      <alignment wrapText="1"/>
    </xf>
    <xf numFmtId="3" fontId="4" fillId="0" borderId="5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 wrapText="1" readingOrder="1"/>
    </xf>
    <xf numFmtId="0" fontId="5" fillId="0" borderId="5" xfId="0" applyFont="1" applyBorder="1" applyAlignment="1">
      <alignment horizontal="right" wrapText="1" readingOrder="1"/>
    </xf>
    <xf numFmtId="0" fontId="5" fillId="2" borderId="1" xfId="0" applyFont="1" applyFill="1" applyBorder="1" applyAlignment="1">
      <alignment horizontal="left" vertical="center" wrapText="1" readingOrder="1"/>
    </xf>
    <xf numFmtId="3" fontId="5" fillId="0" borderId="7" xfId="0" applyNumberFormat="1" applyFont="1" applyBorder="1" applyAlignment="1">
      <alignment horizontal="right" wrapText="1" readingOrder="1"/>
    </xf>
    <xf numFmtId="0" fontId="4" fillId="0" borderId="7" xfId="0" applyFont="1" applyBorder="1" applyAlignment="1">
      <alignment horizontal="right" wrapText="1"/>
    </xf>
    <xf numFmtId="3" fontId="4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5" fillId="2" borderId="8" xfId="0" applyFont="1" applyFill="1" applyBorder="1" applyAlignment="1">
      <alignment horizontal="left" vertical="center" wrapText="1" readingOrder="1"/>
    </xf>
    <xf numFmtId="3" fontId="4" fillId="0" borderId="9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5" fillId="2" borderId="7" xfId="0" applyFont="1" applyFill="1" applyBorder="1" applyAlignment="1">
      <alignment horizontal="left" vertical="center" wrapText="1" readingOrder="1"/>
    </xf>
    <xf numFmtId="3" fontId="4" fillId="0" borderId="11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 wrapText="1"/>
    </xf>
    <xf numFmtId="0" fontId="5" fillId="2" borderId="12" xfId="0" applyFont="1" applyFill="1" applyBorder="1" applyAlignment="1">
      <alignment horizontal="left" vertical="center" wrapText="1" readingOrder="1"/>
    </xf>
    <xf numFmtId="3" fontId="4" fillId="0" borderId="9" xfId="0" applyNumberFormat="1" applyFont="1" applyBorder="1"/>
    <xf numFmtId="3" fontId="4" fillId="0" borderId="10" xfId="0" applyNumberFormat="1" applyFont="1" applyBorder="1"/>
    <xf numFmtId="0" fontId="2" fillId="4" borderId="1" xfId="0" applyFont="1" applyFill="1" applyBorder="1" applyAlignment="1">
      <alignment horizontal="left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0" fontId="3" fillId="0" borderId="0" xfId="0" applyFont="1" applyAlignment="1">
      <alignment horizontal="left" vertical="top" wrapText="1"/>
    </xf>
    <xf numFmtId="0" fontId="2" fillId="4" borderId="3" xfId="0" applyFont="1" applyFill="1" applyBorder="1" applyAlignment="1">
      <alignment horizontal="left" vertical="center" wrapText="1" readingOrder="1"/>
    </xf>
    <xf numFmtId="0" fontId="5" fillId="4" borderId="3" xfId="0" applyFont="1" applyFill="1" applyBorder="1" applyAlignment="1">
      <alignment horizontal="left" vertical="center" wrapText="1" readingOrder="1"/>
    </xf>
    <xf numFmtId="166" fontId="4" fillId="0" borderId="6" xfId="0" applyNumberFormat="1" applyFont="1" applyBorder="1" applyAlignment="1">
      <alignment horizontal="right"/>
    </xf>
    <xf numFmtId="0" fontId="6" fillId="0" borderId="0" xfId="0" applyFont="1"/>
    <xf numFmtId="166" fontId="4" fillId="0" borderId="5" xfId="0" applyNumberFormat="1" applyFont="1" applyBorder="1" applyAlignment="1">
      <alignment horizontal="right"/>
    </xf>
    <xf numFmtId="0" fontId="5" fillId="4" borderId="1" xfId="0" applyFont="1" applyFill="1" applyBorder="1" applyAlignment="1">
      <alignment horizontal="left" vertical="center" wrapText="1" readingOrder="1"/>
    </xf>
    <xf numFmtId="166" fontId="4" fillId="0" borderId="7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6" fontId="4" fillId="0" borderId="13" xfId="0" applyNumberFormat="1" applyFont="1" applyBorder="1" applyAlignment="1">
      <alignment horizontal="right" wrapText="1"/>
    </xf>
    <xf numFmtId="166" fontId="4" fillId="0" borderId="5" xfId="0" applyNumberFormat="1" applyFont="1" applyBorder="1" applyAlignment="1">
      <alignment wrapText="1"/>
    </xf>
    <xf numFmtId="166" fontId="4" fillId="0" borderId="5" xfId="0" applyNumberFormat="1" applyFont="1" applyBorder="1" applyAlignment="1">
      <alignment horizontal="right" wrapText="1"/>
    </xf>
    <xf numFmtId="166" fontId="4" fillId="0" borderId="4" xfId="0" applyNumberFormat="1" applyFont="1" applyBorder="1" applyAlignment="1">
      <alignment horizontal="right"/>
    </xf>
    <xf numFmtId="0" fontId="5" fillId="4" borderId="8" xfId="0" applyFont="1" applyFill="1" applyBorder="1" applyAlignment="1">
      <alignment horizontal="left" vertical="center" wrapText="1" readingOrder="1"/>
    </xf>
    <xf numFmtId="166" fontId="4" fillId="0" borderId="10" xfId="0" applyNumberFormat="1" applyFont="1" applyBorder="1" applyAlignment="1">
      <alignment horizontal="right"/>
    </xf>
    <xf numFmtId="166" fontId="4" fillId="0" borderId="14" xfId="0" applyNumberFormat="1" applyFont="1" applyBorder="1" applyAlignment="1">
      <alignment horizontal="right"/>
    </xf>
    <xf numFmtId="166" fontId="4" fillId="0" borderId="9" xfId="0" applyNumberFormat="1" applyFont="1" applyBorder="1" applyAlignment="1">
      <alignment horizontal="right"/>
    </xf>
    <xf numFmtId="166" fontId="4" fillId="0" borderId="15" xfId="0" applyNumberFormat="1" applyFont="1" applyBorder="1" applyAlignment="1">
      <alignment horizontal="right"/>
    </xf>
    <xf numFmtId="166" fontId="4" fillId="0" borderId="16" xfId="0" applyNumberFormat="1" applyFont="1" applyBorder="1" applyAlignment="1">
      <alignment horizontal="right"/>
    </xf>
    <xf numFmtId="166" fontId="4" fillId="0" borderId="17" xfId="0" applyNumberFormat="1" applyFont="1" applyBorder="1" applyAlignment="1">
      <alignment horizontal="right"/>
    </xf>
    <xf numFmtId="0" fontId="2" fillId="4" borderId="18" xfId="0" applyFont="1" applyFill="1" applyBorder="1" applyAlignment="1">
      <alignment horizontal="left" vertical="center" wrapText="1" readingOrder="1"/>
    </xf>
    <xf numFmtId="0" fontId="5" fillId="4" borderId="19" xfId="0" applyFont="1" applyFill="1" applyBorder="1" applyAlignment="1">
      <alignment horizontal="left" vertical="center" wrapText="1" readingOrder="1"/>
    </xf>
    <xf numFmtId="166" fontId="4" fillId="0" borderId="20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166" fontId="4" fillId="0" borderId="22" xfId="0" applyNumberFormat="1" applyFont="1" applyBorder="1" applyAlignment="1">
      <alignment horizontal="right"/>
    </xf>
    <xf numFmtId="166" fontId="4" fillId="0" borderId="23" xfId="0" applyNumberFormat="1" applyFont="1" applyBorder="1" applyAlignment="1">
      <alignment horizontal="right"/>
    </xf>
    <xf numFmtId="0" fontId="2" fillId="4" borderId="24" xfId="0" applyFont="1" applyFill="1" applyBorder="1" applyAlignment="1">
      <alignment horizontal="left" vertical="center" wrapText="1" readingOrder="1"/>
    </xf>
    <xf numFmtId="166" fontId="4" fillId="0" borderId="6" xfId="0" applyNumberFormat="1" applyFont="1" applyBorder="1" applyAlignment="1">
      <alignment wrapText="1"/>
    </xf>
    <xf numFmtId="166" fontId="4" fillId="0" borderId="25" xfId="0" applyNumberFormat="1" applyFont="1" applyBorder="1" applyAlignment="1">
      <alignment horizontal="right" wrapText="1"/>
    </xf>
    <xf numFmtId="166" fontId="4" fillId="0" borderId="26" xfId="0" applyNumberFormat="1" applyFont="1" applyBorder="1" applyAlignment="1">
      <alignment horizontal="right"/>
    </xf>
    <xf numFmtId="166" fontId="4" fillId="0" borderId="6" xfId="0" applyNumberFormat="1" applyFont="1" applyBorder="1" applyAlignment="1">
      <alignment horizontal="right" wrapText="1"/>
    </xf>
    <xf numFmtId="166" fontId="4" fillId="0" borderId="27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0" fontId="7" fillId="0" borderId="28" xfId="0" applyFont="1" applyBorder="1"/>
    <xf numFmtId="166" fontId="7" fillId="0" borderId="29" xfId="0" applyNumberFormat="1" applyFont="1" applyBorder="1" applyAlignment="1">
      <alignment horizontal="right"/>
    </xf>
    <xf numFmtId="166" fontId="7" fillId="0" borderId="21" xfId="0" applyNumberFormat="1" applyFont="1" applyBorder="1" applyAlignment="1">
      <alignment horizontal="right"/>
    </xf>
    <xf numFmtId="166" fontId="7" fillId="0" borderId="22" xfId="0" applyNumberFormat="1" applyFont="1" applyBorder="1" applyAlignment="1">
      <alignment horizontal="right"/>
    </xf>
    <xf numFmtId="0" fontId="7" fillId="0" borderId="30" xfId="0" applyFont="1" applyBorder="1"/>
    <xf numFmtId="166" fontId="7" fillId="0" borderId="31" xfId="0" applyNumberFormat="1" applyFont="1" applyBorder="1" applyAlignment="1">
      <alignment horizontal="right"/>
    </xf>
    <xf numFmtId="166" fontId="7" fillId="0" borderId="7" xfId="0" applyNumberFormat="1" applyFont="1" applyBorder="1" applyAlignment="1">
      <alignment horizontal="right"/>
    </xf>
    <xf numFmtId="166" fontId="7" fillId="0" borderId="32" xfId="0" applyNumberFormat="1" applyFont="1" applyBorder="1" applyAlignment="1">
      <alignment horizontal="right"/>
    </xf>
    <xf numFmtId="0" fontId="7" fillId="0" borderId="0" xfId="0" applyFont="1"/>
    <xf numFmtId="0" fontId="9" fillId="0" borderId="0" xfId="0" applyFont="1" applyAlignment="1">
      <alignment wrapText="1"/>
    </xf>
    <xf numFmtId="0" fontId="2" fillId="2" borderId="2" xfId="0" applyFont="1" applyFill="1" applyBorder="1" applyAlignment="1">
      <alignment horizontal="left" vertical="center" wrapText="1" readingOrder="1"/>
    </xf>
    <xf numFmtId="0" fontId="5" fillId="2" borderId="16" xfId="0" applyFont="1" applyFill="1" applyBorder="1" applyAlignment="1">
      <alignment horizontal="left" vertical="center" wrapText="1" readingOrder="1"/>
    </xf>
    <xf numFmtId="0" fontId="2" fillId="2" borderId="34" xfId="0" applyFont="1" applyFill="1" applyBorder="1" applyAlignment="1">
      <alignment horizontal="left" vertical="center" wrapText="1" readingOrder="1"/>
    </xf>
    <xf numFmtId="0" fontId="5" fillId="2" borderId="33" xfId="0" applyFont="1" applyFill="1" applyBorder="1" applyAlignment="1">
      <alignment horizontal="left" vertical="center" wrapText="1" readingOrder="1"/>
    </xf>
    <xf numFmtId="0" fontId="5" fillId="2" borderId="35" xfId="0" applyFont="1" applyFill="1" applyBorder="1" applyAlignment="1">
      <alignment horizontal="left" vertical="center" wrapText="1" readingOrder="1"/>
    </xf>
    <xf numFmtId="3" fontId="4" fillId="0" borderId="36" xfId="0" applyNumberFormat="1" applyFont="1" applyBorder="1" applyAlignment="1">
      <alignment horizontal="right"/>
    </xf>
    <xf numFmtId="3" fontId="4" fillId="0" borderId="37" xfId="0" applyNumberFormat="1" applyFont="1" applyBorder="1" applyAlignment="1">
      <alignment horizontal="right"/>
    </xf>
    <xf numFmtId="0" fontId="2" fillId="2" borderId="38" xfId="0" applyFont="1" applyFill="1" applyBorder="1" applyAlignment="1">
      <alignment horizontal="left" vertical="center" wrapText="1" readingOrder="1"/>
    </xf>
    <xf numFmtId="0" fontId="5" fillId="2" borderId="38" xfId="0" applyFont="1" applyFill="1" applyBorder="1" applyAlignment="1">
      <alignment horizontal="left" vertical="center" wrapText="1" readingOrder="1"/>
    </xf>
    <xf numFmtId="3" fontId="4" fillId="0" borderId="37" xfId="0" applyNumberFormat="1" applyFont="1" applyBorder="1" applyAlignment="1">
      <alignment horizontal="right" wrapText="1" readingOrder="1"/>
    </xf>
    <xf numFmtId="0" fontId="10" fillId="0" borderId="39" xfId="0" applyFont="1" applyBorder="1" applyAlignment="1">
      <alignment horizontal="left" vertical="top" wrapText="1"/>
    </xf>
    <xf numFmtId="166" fontId="9" fillId="0" borderId="5" xfId="0" applyNumberFormat="1" applyFont="1" applyBorder="1" applyAlignment="1">
      <alignment horizontal="right"/>
    </xf>
    <xf numFmtId="166" fontId="9" fillId="0" borderId="7" xfId="0" applyNumberFormat="1" applyFont="1" applyBorder="1" applyAlignment="1">
      <alignment horizontal="right"/>
    </xf>
    <xf numFmtId="166" fontId="9" fillId="0" borderId="4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right"/>
    </xf>
    <xf numFmtId="166" fontId="9" fillId="0" borderId="23" xfId="0" applyNumberFormat="1" applyFont="1" applyBorder="1" applyAlignment="1">
      <alignment horizontal="right"/>
    </xf>
    <xf numFmtId="0" fontId="11" fillId="0" borderId="0" xfId="0" applyFont="1" applyAlignment="1">
      <alignment wrapText="1"/>
    </xf>
    <xf numFmtId="166" fontId="9" fillId="3" borderId="0" xfId="0" applyNumberFormat="1" applyFont="1" applyFill="1" applyAlignment="1">
      <alignment wrapText="1"/>
    </xf>
    <xf numFmtId="166" fontId="10" fillId="0" borderId="22" xfId="0" applyNumberFormat="1" applyFont="1" applyBorder="1" applyAlignment="1">
      <alignment horizontal="right"/>
    </xf>
    <xf numFmtId="166" fontId="10" fillId="0" borderId="32" xfId="0" applyNumberFormat="1" applyFont="1" applyBorder="1" applyAlignment="1">
      <alignment horizontal="right"/>
    </xf>
    <xf numFmtId="166" fontId="9" fillId="0" borderId="10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17" xfId="0" applyNumberFormat="1" applyFont="1" applyBorder="1" applyAlignment="1">
      <alignment horizontal="right"/>
    </xf>
    <xf numFmtId="166" fontId="9" fillId="0" borderId="22" xfId="0" applyNumberFormat="1" applyFont="1" applyBorder="1" applyAlignment="1">
      <alignment horizontal="right"/>
    </xf>
    <xf numFmtId="0" fontId="12" fillId="0" borderId="0" xfId="0" applyFont="1"/>
    <xf numFmtId="0" fontId="12" fillId="0" borderId="3" xfId="1" applyFont="1" applyAlignment="1">
      <alignment vertical="center" wrapText="1"/>
    </xf>
    <xf numFmtId="0" fontId="12" fillId="5" borderId="39" xfId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5" fillId="2" borderId="34" xfId="0" applyFont="1" applyFill="1" applyBorder="1" applyAlignment="1">
      <alignment horizontal="left" vertical="center" wrapText="1" readingOrder="1"/>
    </xf>
    <xf numFmtId="0" fontId="12" fillId="5" borderId="4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20B489FF-8F5D-46BB-B40C-22E761F5875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37"/>
  <sheetViews>
    <sheetView tabSelected="1" workbookViewId="0">
      <pane xSplit="2" ySplit="1" topLeftCell="I2" activePane="bottomRight" state="frozen"/>
      <selection pane="topRight" activeCell="C1" sqref="C1"/>
      <selection pane="bottomLeft" activeCell="A2" sqref="A2"/>
      <selection pane="bottomRight" activeCell="N3" sqref="N3"/>
    </sheetView>
  </sheetViews>
  <sheetFormatPr defaultColWidth="12.7109375" defaultRowHeight="15" customHeight="1" x14ac:dyDescent="0.25"/>
  <cols>
    <col min="1" max="1" width="45.140625" customWidth="1"/>
    <col min="2" max="2" width="52.28515625" customWidth="1"/>
    <col min="3" max="3" width="23" customWidth="1"/>
    <col min="4" max="4" width="21.28515625" customWidth="1"/>
    <col min="5" max="5" width="20.28515625" customWidth="1"/>
    <col min="6" max="6" width="22" customWidth="1"/>
    <col min="7" max="7" width="17.28515625" customWidth="1"/>
    <col min="8" max="8" width="18.7109375" customWidth="1"/>
    <col min="9" max="9" width="21.140625" customWidth="1"/>
    <col min="10" max="10" width="20" customWidth="1"/>
    <col min="11" max="11" width="18.28515625" customWidth="1"/>
    <col min="12" max="12" width="19.7109375" customWidth="1"/>
    <col min="13" max="13" width="19.140625" customWidth="1"/>
    <col min="14" max="14" width="37.7109375" customWidth="1"/>
    <col min="15" max="32" width="28.7109375" customWidth="1"/>
  </cols>
  <sheetData>
    <row r="1" spans="1:32" ht="66.7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30" customHeight="1" x14ac:dyDescent="0.25">
      <c r="A2" s="5" t="s">
        <v>13</v>
      </c>
      <c r="B2" s="6" t="s">
        <v>142</v>
      </c>
      <c r="C2" s="7" t="s">
        <v>14</v>
      </c>
      <c r="D2" s="7" t="s">
        <v>14</v>
      </c>
      <c r="E2" s="7" t="s">
        <v>14</v>
      </c>
      <c r="F2" s="7" t="s">
        <v>14</v>
      </c>
      <c r="G2" s="7" t="s">
        <v>14</v>
      </c>
      <c r="H2" s="7" t="s">
        <v>14</v>
      </c>
      <c r="I2" s="7" t="s">
        <v>14</v>
      </c>
      <c r="J2" s="7" t="s">
        <v>14</v>
      </c>
      <c r="K2" s="8">
        <v>1</v>
      </c>
      <c r="L2" s="8">
        <v>1</v>
      </c>
      <c r="M2" s="8">
        <v>1</v>
      </c>
      <c r="N2" s="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30" customHeight="1" x14ac:dyDescent="0.25">
      <c r="A3" s="5" t="s">
        <v>13</v>
      </c>
      <c r="B3" s="6" t="s">
        <v>143</v>
      </c>
      <c r="C3" s="7" t="s">
        <v>14</v>
      </c>
      <c r="D3" s="7" t="s">
        <v>14</v>
      </c>
      <c r="E3" s="7" t="s">
        <v>14</v>
      </c>
      <c r="F3" s="7" t="s">
        <v>14</v>
      </c>
      <c r="G3" s="7" t="s">
        <v>14</v>
      </c>
      <c r="H3" s="7" t="s">
        <v>14</v>
      </c>
      <c r="I3" s="7" t="s">
        <v>14</v>
      </c>
      <c r="J3" s="7" t="s">
        <v>14</v>
      </c>
      <c r="K3" s="7" t="s">
        <v>15</v>
      </c>
      <c r="L3" s="7" t="s">
        <v>15</v>
      </c>
      <c r="M3" s="7" t="s">
        <v>15</v>
      </c>
      <c r="N3" s="77" t="s">
        <v>129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30" customHeight="1" x14ac:dyDescent="0.25">
      <c r="A4" s="5" t="s">
        <v>13</v>
      </c>
      <c r="B4" s="6" t="s">
        <v>16</v>
      </c>
      <c r="C4" s="10">
        <v>60</v>
      </c>
      <c r="D4" s="10">
        <v>11.5</v>
      </c>
      <c r="E4" s="10">
        <v>80</v>
      </c>
      <c r="F4" s="10">
        <v>14.600000000000001</v>
      </c>
      <c r="G4" s="10">
        <v>80</v>
      </c>
      <c r="H4" s="10">
        <v>39.200000000000003</v>
      </c>
      <c r="I4" s="10">
        <v>80</v>
      </c>
      <c r="J4" s="10">
        <v>49</v>
      </c>
      <c r="K4" s="10">
        <v>80</v>
      </c>
      <c r="L4" s="10">
        <v>102.2</v>
      </c>
      <c r="M4" s="10">
        <v>100</v>
      </c>
      <c r="N4" s="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30" customHeight="1" x14ac:dyDescent="0.25">
      <c r="A5" s="5" t="s">
        <v>13</v>
      </c>
      <c r="B5" s="6" t="s">
        <v>17</v>
      </c>
      <c r="C5" s="11" t="s">
        <v>14</v>
      </c>
      <c r="D5" s="11">
        <v>0.20499999999999999</v>
      </c>
      <c r="E5" s="11" t="s">
        <v>14</v>
      </c>
      <c r="F5" s="11">
        <v>0.36</v>
      </c>
      <c r="G5" s="11" t="s">
        <v>14</v>
      </c>
      <c r="H5" s="11">
        <v>0.31</v>
      </c>
      <c r="I5" s="11" t="s">
        <v>14</v>
      </c>
      <c r="J5" s="11">
        <v>0.33</v>
      </c>
      <c r="K5" s="11" t="s">
        <v>14</v>
      </c>
      <c r="L5" s="11">
        <v>0.31</v>
      </c>
      <c r="M5" s="11" t="s">
        <v>14</v>
      </c>
      <c r="N5" s="9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39" x14ac:dyDescent="0.25">
      <c r="A6" s="5" t="s">
        <v>13</v>
      </c>
      <c r="B6" s="6" t="s">
        <v>18</v>
      </c>
      <c r="C6" s="12">
        <v>0.23200000000000001</v>
      </c>
      <c r="D6" s="12" t="s">
        <v>14</v>
      </c>
      <c r="E6" s="12">
        <v>0.23200000000000001</v>
      </c>
      <c r="F6" s="12" t="s">
        <v>14</v>
      </c>
      <c r="G6" s="12">
        <v>0.23200000000000001</v>
      </c>
      <c r="H6" s="12" t="s">
        <v>14</v>
      </c>
      <c r="I6" s="12">
        <v>0.23200000000000001</v>
      </c>
      <c r="J6" s="12" t="s">
        <v>14</v>
      </c>
      <c r="K6" s="12">
        <v>0.23200000000000001</v>
      </c>
      <c r="L6" s="12" t="s">
        <v>14</v>
      </c>
      <c r="M6" s="12">
        <v>0.23200000000000001</v>
      </c>
      <c r="N6" s="77" t="s">
        <v>141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0" customHeight="1" x14ac:dyDescent="0.25">
      <c r="A7" s="1" t="s">
        <v>13</v>
      </c>
      <c r="B7" s="13" t="s">
        <v>19</v>
      </c>
      <c r="C7" s="14" t="s">
        <v>20</v>
      </c>
      <c r="D7" s="14" t="s">
        <v>14</v>
      </c>
      <c r="E7" s="14" t="s">
        <v>20</v>
      </c>
      <c r="F7" s="14" t="s">
        <v>14</v>
      </c>
      <c r="G7" s="14" t="s">
        <v>20</v>
      </c>
      <c r="H7" s="14" t="s">
        <v>14</v>
      </c>
      <c r="I7" s="14" t="s">
        <v>20</v>
      </c>
      <c r="J7" s="14" t="s">
        <v>14</v>
      </c>
      <c r="K7" s="15" t="s">
        <v>20</v>
      </c>
      <c r="L7" s="14" t="s">
        <v>14</v>
      </c>
      <c r="M7" s="14" t="s">
        <v>20</v>
      </c>
      <c r="N7" s="9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30" customHeight="1" x14ac:dyDescent="0.25">
      <c r="A8" s="5" t="s">
        <v>21</v>
      </c>
      <c r="B8" s="6" t="s">
        <v>22</v>
      </c>
      <c r="C8" s="16">
        <v>15159</v>
      </c>
      <c r="D8" s="16">
        <v>15159</v>
      </c>
      <c r="E8" s="16">
        <v>17148</v>
      </c>
      <c r="F8" s="16">
        <v>17148</v>
      </c>
      <c r="G8" s="16">
        <v>15071</v>
      </c>
      <c r="H8" s="16">
        <v>15071</v>
      </c>
      <c r="I8" s="16">
        <v>16117</v>
      </c>
      <c r="J8" s="16">
        <v>16117</v>
      </c>
      <c r="K8" s="16">
        <v>40961</v>
      </c>
      <c r="L8" s="16">
        <v>40961</v>
      </c>
      <c r="M8" s="16">
        <v>42877</v>
      </c>
      <c r="N8" s="9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ht="30" customHeight="1" x14ac:dyDescent="0.25">
      <c r="A9" s="5" t="s">
        <v>21</v>
      </c>
      <c r="B9" s="6" t="s">
        <v>23</v>
      </c>
      <c r="C9" s="10">
        <v>20652</v>
      </c>
      <c r="D9" s="10">
        <v>20652</v>
      </c>
      <c r="E9" s="10">
        <v>21406</v>
      </c>
      <c r="F9" s="10">
        <v>21406</v>
      </c>
      <c r="G9" s="10">
        <v>19957</v>
      </c>
      <c r="H9" s="10">
        <v>19957</v>
      </c>
      <c r="I9" s="10">
        <v>20594</v>
      </c>
      <c r="J9" s="10">
        <v>20594</v>
      </c>
      <c r="K9" s="10">
        <v>51882</v>
      </c>
      <c r="L9" s="10">
        <v>51882</v>
      </c>
      <c r="M9" s="10">
        <v>57832</v>
      </c>
      <c r="N9" s="9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ht="30" customHeight="1" x14ac:dyDescent="0.25">
      <c r="A10" s="5" t="s">
        <v>21</v>
      </c>
      <c r="B10" s="6" t="s">
        <v>24</v>
      </c>
      <c r="C10" s="10">
        <v>0</v>
      </c>
      <c r="D10" s="10">
        <v>0</v>
      </c>
      <c r="E10" s="10">
        <v>0</v>
      </c>
      <c r="F10" s="10">
        <v>0</v>
      </c>
      <c r="G10" s="10">
        <v>825</v>
      </c>
      <c r="H10" s="10">
        <v>825</v>
      </c>
      <c r="I10" s="10">
        <v>1314</v>
      </c>
      <c r="J10" s="10">
        <v>1314</v>
      </c>
      <c r="K10" s="10">
        <v>1672</v>
      </c>
      <c r="L10" s="10">
        <v>1672</v>
      </c>
      <c r="M10" s="10">
        <v>3317</v>
      </c>
      <c r="N10" s="9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ht="30" customHeight="1" x14ac:dyDescent="0.25">
      <c r="A11" s="5" t="s">
        <v>21</v>
      </c>
      <c r="B11" s="6" t="s">
        <v>25</v>
      </c>
      <c r="C11" s="10">
        <v>7489</v>
      </c>
      <c r="D11" s="10">
        <v>7489</v>
      </c>
      <c r="E11" s="10">
        <v>3553</v>
      </c>
      <c r="F11" s="10">
        <v>3553</v>
      </c>
      <c r="G11" s="10">
        <v>8314</v>
      </c>
      <c r="H11" s="10">
        <v>8314</v>
      </c>
      <c r="I11" s="10">
        <v>4510</v>
      </c>
      <c r="J11" s="10">
        <v>4510</v>
      </c>
      <c r="K11" s="10">
        <v>17663</v>
      </c>
      <c r="L11" s="10">
        <v>17663</v>
      </c>
      <c r="M11" s="10">
        <v>16189</v>
      </c>
      <c r="N11" s="9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30" customHeight="1" x14ac:dyDescent="0.25">
      <c r="A12" s="5" t="s">
        <v>21</v>
      </c>
      <c r="B12" s="6" t="s">
        <v>26</v>
      </c>
      <c r="C12" s="10">
        <v>0</v>
      </c>
      <c r="D12" s="10">
        <v>0</v>
      </c>
      <c r="E12" s="10">
        <v>2280</v>
      </c>
      <c r="F12" s="10">
        <v>2280</v>
      </c>
      <c r="G12" s="10">
        <v>3255</v>
      </c>
      <c r="H12" s="10">
        <v>3255</v>
      </c>
      <c r="I12" s="10">
        <v>1997</v>
      </c>
      <c r="J12" s="10">
        <v>1997</v>
      </c>
      <c r="K12" s="10">
        <v>5874</v>
      </c>
      <c r="L12" s="10">
        <v>5874</v>
      </c>
      <c r="M12" s="10">
        <v>6313</v>
      </c>
      <c r="N12" s="9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30" customHeight="1" x14ac:dyDescent="0.25">
      <c r="A13" s="5" t="s">
        <v>21</v>
      </c>
      <c r="B13" s="6" t="s">
        <v>27</v>
      </c>
      <c r="C13" s="10">
        <v>1592</v>
      </c>
      <c r="D13" s="10">
        <v>1592</v>
      </c>
      <c r="E13" s="10">
        <v>6246</v>
      </c>
      <c r="F13" s="10">
        <v>6246</v>
      </c>
      <c r="G13" s="10">
        <v>107</v>
      </c>
      <c r="H13" s="10">
        <v>107</v>
      </c>
      <c r="I13" s="10">
        <v>0</v>
      </c>
      <c r="J13" s="10">
        <v>0</v>
      </c>
      <c r="K13" s="10">
        <v>4795</v>
      </c>
      <c r="L13" s="10">
        <v>4795</v>
      </c>
      <c r="M13" s="10">
        <v>1377</v>
      </c>
      <c r="N13" s="9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ht="30" customHeight="1" x14ac:dyDescent="0.25">
      <c r="A14" s="5" t="s">
        <v>21</v>
      </c>
      <c r="B14" s="6" t="s">
        <v>28</v>
      </c>
      <c r="C14" s="10" t="s">
        <v>14</v>
      </c>
      <c r="D14" s="10">
        <v>118</v>
      </c>
      <c r="E14" s="10" t="s">
        <v>14</v>
      </c>
      <c r="F14" s="10">
        <v>118</v>
      </c>
      <c r="G14" s="10" t="s">
        <v>14</v>
      </c>
      <c r="H14" s="10">
        <v>118</v>
      </c>
      <c r="I14" s="10" t="s">
        <v>14</v>
      </c>
      <c r="J14" s="10">
        <v>118</v>
      </c>
      <c r="K14" s="10" t="s">
        <v>14</v>
      </c>
      <c r="L14" s="10">
        <v>118</v>
      </c>
      <c r="M14" s="10">
        <f>118.12-22.64</f>
        <v>95.48</v>
      </c>
      <c r="N14" s="9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30" customHeight="1" x14ac:dyDescent="0.25">
      <c r="A15" s="5" t="s">
        <v>21</v>
      </c>
      <c r="B15" s="6" t="s">
        <v>29</v>
      </c>
      <c r="C15" s="10" t="s">
        <v>14</v>
      </c>
      <c r="D15" s="10">
        <v>54</v>
      </c>
      <c r="E15" s="10" t="s">
        <v>14</v>
      </c>
      <c r="F15" s="10">
        <v>54</v>
      </c>
      <c r="G15" s="10" t="s">
        <v>14</v>
      </c>
      <c r="H15" s="10">
        <v>54</v>
      </c>
      <c r="I15" s="10" t="s">
        <v>14</v>
      </c>
      <c r="J15" s="10">
        <v>54</v>
      </c>
      <c r="K15" s="10" t="s">
        <v>14</v>
      </c>
      <c r="L15" s="10">
        <v>54</v>
      </c>
      <c r="M15" s="10">
        <f>53.84-19.91</f>
        <v>33.930000000000007</v>
      </c>
      <c r="N15" s="9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30" customHeight="1" x14ac:dyDescent="0.25">
      <c r="A16" s="5" t="s">
        <v>21</v>
      </c>
      <c r="B16" s="6" t="s">
        <v>30</v>
      </c>
      <c r="C16" s="10">
        <v>0</v>
      </c>
      <c r="D16" s="10">
        <v>0</v>
      </c>
      <c r="E16" s="10">
        <v>200</v>
      </c>
      <c r="F16" s="10">
        <v>200</v>
      </c>
      <c r="G16" s="10">
        <v>230</v>
      </c>
      <c r="H16" s="10">
        <v>230</v>
      </c>
      <c r="I16" s="10">
        <v>1638</v>
      </c>
      <c r="J16" s="10">
        <v>1077</v>
      </c>
      <c r="K16" s="10">
        <v>1638</v>
      </c>
      <c r="L16" s="10">
        <v>1638</v>
      </c>
      <c r="M16" s="10">
        <v>4427</v>
      </c>
      <c r="N16" s="9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30" customHeight="1" x14ac:dyDescent="0.25">
      <c r="A17" s="1" t="s">
        <v>21</v>
      </c>
      <c r="B17" s="13" t="s">
        <v>31</v>
      </c>
      <c r="C17" s="17" t="s">
        <v>32</v>
      </c>
      <c r="D17" s="17">
        <v>1291</v>
      </c>
      <c r="E17" s="17" t="s">
        <v>32</v>
      </c>
      <c r="F17" s="17">
        <v>1681</v>
      </c>
      <c r="G17" s="17" t="s">
        <v>32</v>
      </c>
      <c r="H17" s="17">
        <v>1625</v>
      </c>
      <c r="I17" s="17" t="s">
        <v>32</v>
      </c>
      <c r="J17" s="17">
        <v>1382</v>
      </c>
      <c r="K17" s="17" t="s">
        <v>32</v>
      </c>
      <c r="L17" s="17">
        <v>3209</v>
      </c>
      <c r="M17" s="17" t="s">
        <v>32</v>
      </c>
      <c r="N17" s="9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30" customHeight="1" x14ac:dyDescent="0.25">
      <c r="A18" s="5" t="s">
        <v>33</v>
      </c>
      <c r="B18" s="6" t="s">
        <v>34</v>
      </c>
      <c r="C18" s="16">
        <v>1212</v>
      </c>
      <c r="D18" s="16">
        <v>1212</v>
      </c>
      <c r="E18" s="16">
        <v>1209</v>
      </c>
      <c r="F18" s="16">
        <v>1209</v>
      </c>
      <c r="G18" s="16">
        <v>1209</v>
      </c>
      <c r="H18" s="16">
        <v>1209</v>
      </c>
      <c r="I18" s="16">
        <v>1198</v>
      </c>
      <c r="J18" s="16">
        <v>1198</v>
      </c>
      <c r="K18" s="16">
        <v>1172</v>
      </c>
      <c r="L18" s="16">
        <v>1172</v>
      </c>
      <c r="M18" s="16">
        <v>1172</v>
      </c>
      <c r="N18" s="9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30" customHeight="1" x14ac:dyDescent="0.25">
      <c r="A19" s="5" t="s">
        <v>33</v>
      </c>
      <c r="B19" s="6" t="s">
        <v>35</v>
      </c>
      <c r="C19" s="18">
        <v>195</v>
      </c>
      <c r="D19" s="18">
        <v>195</v>
      </c>
      <c r="E19" s="18">
        <v>218</v>
      </c>
      <c r="F19" s="18">
        <v>218</v>
      </c>
      <c r="G19" s="18">
        <v>218</v>
      </c>
      <c r="H19" s="18">
        <v>218</v>
      </c>
      <c r="I19" s="18">
        <v>218</v>
      </c>
      <c r="J19" s="18">
        <v>218</v>
      </c>
      <c r="K19" s="18">
        <v>890</v>
      </c>
      <c r="L19" s="18">
        <v>890</v>
      </c>
      <c r="M19" s="18">
        <v>890</v>
      </c>
      <c r="N19" s="9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30" customHeight="1" x14ac:dyDescent="0.25">
      <c r="A20" s="5" t="s">
        <v>33</v>
      </c>
      <c r="B20" s="19" t="s">
        <v>36</v>
      </c>
      <c r="C20" s="20">
        <f t="shared" ref="C20:M20" si="0">SUM(C18:C19)</f>
        <v>1407</v>
      </c>
      <c r="D20" s="20">
        <f t="shared" si="0"/>
        <v>1407</v>
      </c>
      <c r="E20" s="20">
        <f t="shared" si="0"/>
        <v>1427</v>
      </c>
      <c r="F20" s="20">
        <f t="shared" si="0"/>
        <v>1427</v>
      </c>
      <c r="G20" s="20">
        <f t="shared" si="0"/>
        <v>1427</v>
      </c>
      <c r="H20" s="20">
        <f t="shared" si="0"/>
        <v>1427</v>
      </c>
      <c r="I20" s="21">
        <f t="shared" si="0"/>
        <v>1416</v>
      </c>
      <c r="J20" s="21">
        <f t="shared" si="0"/>
        <v>1416</v>
      </c>
      <c r="K20" s="21">
        <f t="shared" si="0"/>
        <v>2062</v>
      </c>
      <c r="L20" s="21">
        <f t="shared" si="0"/>
        <v>2062</v>
      </c>
      <c r="M20" s="20">
        <f t="shared" si="0"/>
        <v>2062</v>
      </c>
      <c r="N20" s="9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30" customHeight="1" x14ac:dyDescent="0.25">
      <c r="A21" s="5" t="s">
        <v>33</v>
      </c>
      <c r="B21" s="6" t="s">
        <v>37</v>
      </c>
      <c r="C21" s="16" t="s">
        <v>38</v>
      </c>
      <c r="D21" s="16">
        <v>4746</v>
      </c>
      <c r="E21" s="16" t="s">
        <v>38</v>
      </c>
      <c r="F21" s="16">
        <v>12665</v>
      </c>
      <c r="G21" s="16" t="s">
        <v>38</v>
      </c>
      <c r="H21" s="16">
        <v>11723</v>
      </c>
      <c r="I21" s="16" t="s">
        <v>38</v>
      </c>
      <c r="J21" s="16">
        <v>7154</v>
      </c>
      <c r="K21" s="16" t="s">
        <v>38</v>
      </c>
      <c r="L21" s="16">
        <v>6439</v>
      </c>
      <c r="M21" s="16" t="s">
        <v>38</v>
      </c>
      <c r="N21" s="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30" customHeight="1" x14ac:dyDescent="0.25">
      <c r="A22" s="5" t="s">
        <v>33</v>
      </c>
      <c r="B22" s="6" t="s">
        <v>39</v>
      </c>
      <c r="C22" s="16" t="s">
        <v>38</v>
      </c>
      <c r="D22" s="10">
        <v>971</v>
      </c>
      <c r="E22" s="16" t="s">
        <v>38</v>
      </c>
      <c r="F22" s="10">
        <v>1942</v>
      </c>
      <c r="G22" s="16" t="s">
        <v>38</v>
      </c>
      <c r="H22" s="10">
        <v>1358</v>
      </c>
      <c r="I22" s="16" t="s">
        <v>38</v>
      </c>
      <c r="J22" s="10">
        <v>805</v>
      </c>
      <c r="K22" s="16" t="s">
        <v>38</v>
      </c>
      <c r="L22" s="10">
        <v>1109</v>
      </c>
      <c r="M22" s="16" t="s">
        <v>38</v>
      </c>
      <c r="N22" s="9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30" customHeight="1" x14ac:dyDescent="0.25">
      <c r="A23" s="1" t="s">
        <v>33</v>
      </c>
      <c r="B23" s="13" t="s">
        <v>40</v>
      </c>
      <c r="C23" s="17">
        <v>5033</v>
      </c>
      <c r="D23" s="17">
        <v>4712</v>
      </c>
      <c r="E23" s="17">
        <v>4603</v>
      </c>
      <c r="F23" s="17">
        <v>5073</v>
      </c>
      <c r="G23" s="17">
        <v>4737</v>
      </c>
      <c r="H23" s="17">
        <v>4794</v>
      </c>
      <c r="I23" s="17">
        <v>4305</v>
      </c>
      <c r="J23" s="17">
        <v>4603</v>
      </c>
      <c r="K23" s="17">
        <v>12529</v>
      </c>
      <c r="L23" s="17">
        <v>12930</v>
      </c>
      <c r="M23" s="17">
        <v>12615</v>
      </c>
      <c r="N23" s="9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30" customHeight="1" x14ac:dyDescent="0.25">
      <c r="A24" s="5" t="s">
        <v>41</v>
      </c>
      <c r="B24" s="6" t="s">
        <v>42</v>
      </c>
      <c r="C24" s="16" t="s">
        <v>43</v>
      </c>
      <c r="D24" s="16">
        <v>83</v>
      </c>
      <c r="E24" s="16" t="s">
        <v>43</v>
      </c>
      <c r="F24" s="16">
        <v>42</v>
      </c>
      <c r="G24" s="16" t="s">
        <v>43</v>
      </c>
      <c r="H24" s="16">
        <v>66</v>
      </c>
      <c r="I24" s="16" t="s">
        <v>43</v>
      </c>
      <c r="J24" s="16">
        <v>105</v>
      </c>
      <c r="K24" s="16" t="s">
        <v>43</v>
      </c>
      <c r="L24" s="16">
        <v>76</v>
      </c>
      <c r="M24" s="16" t="s">
        <v>43</v>
      </c>
      <c r="N24" s="9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ht="30" customHeight="1" x14ac:dyDescent="0.25">
      <c r="A25" s="5" t="s">
        <v>41</v>
      </c>
      <c r="B25" s="6" t="s">
        <v>44</v>
      </c>
      <c r="C25" s="10">
        <v>2670</v>
      </c>
      <c r="D25" s="10">
        <v>2866</v>
      </c>
      <c r="E25" s="10">
        <v>2000</v>
      </c>
      <c r="F25" s="10">
        <v>2423</v>
      </c>
      <c r="G25" s="16">
        <v>2776</v>
      </c>
      <c r="H25" s="16">
        <v>3996</v>
      </c>
      <c r="I25" s="10">
        <v>3095</v>
      </c>
      <c r="J25" s="10">
        <v>3429</v>
      </c>
      <c r="K25" s="10">
        <v>3068</v>
      </c>
      <c r="L25" s="10">
        <v>4907</v>
      </c>
      <c r="M25" s="10">
        <v>3524</v>
      </c>
      <c r="N25" s="9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30" customHeight="1" x14ac:dyDescent="0.25">
      <c r="A26" s="1" t="s">
        <v>41</v>
      </c>
      <c r="B26" s="13" t="s">
        <v>45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500</v>
      </c>
      <c r="K26" s="17">
        <v>500</v>
      </c>
      <c r="L26" s="17">
        <v>500</v>
      </c>
      <c r="M26" s="17">
        <v>500</v>
      </c>
      <c r="N26" s="9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30" customHeight="1" x14ac:dyDescent="0.25">
      <c r="A27" s="5" t="s">
        <v>46</v>
      </c>
      <c r="B27" s="6" t="s">
        <v>47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9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30" customHeight="1" x14ac:dyDescent="0.25">
      <c r="A28" s="5" t="s">
        <v>46</v>
      </c>
      <c r="B28" s="6" t="s">
        <v>48</v>
      </c>
      <c r="C28" s="23">
        <v>3.8</v>
      </c>
      <c r="D28" s="23">
        <v>3.8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9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30" customHeight="1" x14ac:dyDescent="0.25">
      <c r="A29" s="5" t="s">
        <v>46</v>
      </c>
      <c r="B29" s="6" t="s">
        <v>49</v>
      </c>
      <c r="C29" s="24">
        <v>11.2</v>
      </c>
      <c r="D29" s="24">
        <v>7.7</v>
      </c>
      <c r="E29" s="24">
        <v>15</v>
      </c>
      <c r="F29" s="24">
        <v>0</v>
      </c>
      <c r="G29" s="24">
        <v>15</v>
      </c>
      <c r="H29" s="24">
        <v>11</v>
      </c>
      <c r="I29" s="24">
        <v>18</v>
      </c>
      <c r="J29" s="24">
        <v>12</v>
      </c>
      <c r="K29" s="24">
        <v>20</v>
      </c>
      <c r="L29" s="24">
        <v>8.1999999999999993</v>
      </c>
      <c r="M29" s="24">
        <v>20</v>
      </c>
      <c r="N29" s="9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ht="30" customHeight="1" x14ac:dyDescent="0.25">
      <c r="A30" s="5" t="s">
        <v>46</v>
      </c>
      <c r="B30" s="19" t="s">
        <v>50</v>
      </c>
      <c r="C30" s="25">
        <f t="shared" ref="C30:M30" si="1">SUM(C27:C29)</f>
        <v>15</v>
      </c>
      <c r="D30" s="25">
        <f t="shared" si="1"/>
        <v>11.5</v>
      </c>
      <c r="E30" s="25">
        <f t="shared" si="1"/>
        <v>15</v>
      </c>
      <c r="F30" s="25">
        <f t="shared" si="1"/>
        <v>0</v>
      </c>
      <c r="G30" s="25">
        <f t="shared" si="1"/>
        <v>15</v>
      </c>
      <c r="H30" s="25">
        <f t="shared" si="1"/>
        <v>11</v>
      </c>
      <c r="I30" s="25">
        <f t="shared" si="1"/>
        <v>18</v>
      </c>
      <c r="J30" s="25">
        <f t="shared" si="1"/>
        <v>12</v>
      </c>
      <c r="K30" s="25">
        <f t="shared" si="1"/>
        <v>20</v>
      </c>
      <c r="L30" s="25">
        <f t="shared" si="1"/>
        <v>8.1999999999999993</v>
      </c>
      <c r="M30" s="25">
        <f t="shared" si="1"/>
        <v>20</v>
      </c>
      <c r="N30" s="9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30" customHeight="1" x14ac:dyDescent="0.25">
      <c r="A31" s="5" t="s">
        <v>46</v>
      </c>
      <c r="B31" s="6" t="s">
        <v>51</v>
      </c>
      <c r="C31" s="22">
        <v>20</v>
      </c>
      <c r="D31" s="22">
        <v>0</v>
      </c>
      <c r="E31" s="22">
        <v>30</v>
      </c>
      <c r="F31" s="22">
        <v>10.4</v>
      </c>
      <c r="G31" s="22">
        <v>30</v>
      </c>
      <c r="H31" s="22">
        <v>28.2</v>
      </c>
      <c r="I31" s="22">
        <v>17</v>
      </c>
      <c r="J31" s="22">
        <v>11</v>
      </c>
      <c r="K31" s="22">
        <v>20</v>
      </c>
      <c r="L31" s="22">
        <v>40.6</v>
      </c>
      <c r="M31" s="22">
        <v>30</v>
      </c>
      <c r="N31" s="9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ht="30" customHeight="1" x14ac:dyDescent="0.25">
      <c r="A32" s="5" t="s">
        <v>46</v>
      </c>
      <c r="B32" s="6" t="s">
        <v>52</v>
      </c>
      <c r="C32" s="23">
        <v>25</v>
      </c>
      <c r="D32" s="23">
        <v>0</v>
      </c>
      <c r="E32" s="23">
        <v>35</v>
      </c>
      <c r="F32" s="23">
        <v>4.2</v>
      </c>
      <c r="G32" s="23">
        <v>35</v>
      </c>
      <c r="H32" s="23">
        <v>0</v>
      </c>
      <c r="I32" s="23">
        <v>45</v>
      </c>
      <c r="J32" s="23">
        <v>26</v>
      </c>
      <c r="K32" s="23">
        <v>40</v>
      </c>
      <c r="L32" s="23">
        <v>53.4</v>
      </c>
      <c r="M32" s="23">
        <v>50</v>
      </c>
      <c r="N32" s="9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ht="30" customHeight="1" x14ac:dyDescent="0.25">
      <c r="A33" s="5" t="s">
        <v>46</v>
      </c>
      <c r="B33" s="6" t="s">
        <v>53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9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ht="30" customHeight="1" x14ac:dyDescent="0.25">
      <c r="A34" s="5" t="s">
        <v>46</v>
      </c>
      <c r="B34" s="19" t="s">
        <v>54</v>
      </c>
      <c r="C34" s="25">
        <f t="shared" ref="C34:M34" si="2">SUM(C31:C33)</f>
        <v>45</v>
      </c>
      <c r="D34" s="25">
        <f t="shared" si="2"/>
        <v>0</v>
      </c>
      <c r="E34" s="25">
        <f t="shared" si="2"/>
        <v>65</v>
      </c>
      <c r="F34" s="25">
        <f t="shared" si="2"/>
        <v>14.600000000000001</v>
      </c>
      <c r="G34" s="25">
        <f t="shared" si="2"/>
        <v>65</v>
      </c>
      <c r="H34" s="25">
        <f t="shared" si="2"/>
        <v>28.2</v>
      </c>
      <c r="I34" s="25">
        <f t="shared" si="2"/>
        <v>62</v>
      </c>
      <c r="J34" s="25">
        <f t="shared" si="2"/>
        <v>37</v>
      </c>
      <c r="K34" s="25">
        <f t="shared" si="2"/>
        <v>60</v>
      </c>
      <c r="L34" s="25">
        <f t="shared" si="2"/>
        <v>94</v>
      </c>
      <c r="M34" s="25">
        <f t="shared" si="2"/>
        <v>80</v>
      </c>
      <c r="N34" s="9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ht="30" customHeight="1" x14ac:dyDescent="0.25">
      <c r="A35" s="5" t="s">
        <v>46</v>
      </c>
      <c r="B35" s="19" t="s">
        <v>55</v>
      </c>
      <c r="C35" s="21">
        <f t="shared" ref="C35:M35" si="3">C30+C34</f>
        <v>60</v>
      </c>
      <c r="D35" s="21">
        <f t="shared" si="3"/>
        <v>11.5</v>
      </c>
      <c r="E35" s="21">
        <f t="shared" si="3"/>
        <v>80</v>
      </c>
      <c r="F35" s="21">
        <f t="shared" si="3"/>
        <v>14.600000000000001</v>
      </c>
      <c r="G35" s="21">
        <f t="shared" si="3"/>
        <v>80</v>
      </c>
      <c r="H35" s="21">
        <f t="shared" si="3"/>
        <v>39.200000000000003</v>
      </c>
      <c r="I35" s="21">
        <f t="shared" si="3"/>
        <v>80</v>
      </c>
      <c r="J35" s="21">
        <f t="shared" si="3"/>
        <v>49</v>
      </c>
      <c r="K35" s="21">
        <f t="shared" si="3"/>
        <v>80</v>
      </c>
      <c r="L35" s="21">
        <f t="shared" si="3"/>
        <v>102.2</v>
      </c>
      <c r="M35" s="21">
        <f t="shared" si="3"/>
        <v>100</v>
      </c>
      <c r="N35" s="9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ht="30" customHeight="1" x14ac:dyDescent="0.25">
      <c r="A36" s="5" t="s">
        <v>46</v>
      </c>
      <c r="B36" s="6" t="s">
        <v>56</v>
      </c>
      <c r="C36" s="16">
        <v>21</v>
      </c>
      <c r="D36" s="16">
        <v>21</v>
      </c>
      <c r="E36" s="16">
        <v>16</v>
      </c>
      <c r="F36" s="16">
        <v>9</v>
      </c>
      <c r="G36" s="16">
        <v>30</v>
      </c>
      <c r="H36" s="16">
        <v>7</v>
      </c>
      <c r="I36" s="16">
        <v>22</v>
      </c>
      <c r="J36" s="16">
        <v>28</v>
      </c>
      <c r="K36" s="16">
        <v>18</v>
      </c>
      <c r="L36" s="16">
        <v>19</v>
      </c>
      <c r="M36" s="16">
        <v>10</v>
      </c>
      <c r="N36" s="9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ht="30" customHeight="1" x14ac:dyDescent="0.25">
      <c r="A37" s="5" t="s">
        <v>46</v>
      </c>
      <c r="B37" s="6" t="s">
        <v>57</v>
      </c>
      <c r="C37" s="10">
        <v>12</v>
      </c>
      <c r="D37" s="10">
        <v>12</v>
      </c>
      <c r="E37" s="10">
        <v>10</v>
      </c>
      <c r="F37" s="10">
        <v>0</v>
      </c>
      <c r="G37" s="10">
        <v>4</v>
      </c>
      <c r="H37" s="10">
        <v>2</v>
      </c>
      <c r="I37" s="10">
        <v>18</v>
      </c>
      <c r="J37" s="10">
        <v>16</v>
      </c>
      <c r="K37" s="10">
        <v>0</v>
      </c>
      <c r="L37" s="10">
        <v>6</v>
      </c>
      <c r="M37" s="10">
        <v>0</v>
      </c>
      <c r="N37" s="9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ht="30" customHeight="1" x14ac:dyDescent="0.25">
      <c r="A38" s="5" t="s">
        <v>46</v>
      </c>
      <c r="B38" s="6" t="s">
        <v>58</v>
      </c>
      <c r="C38" s="18">
        <v>0</v>
      </c>
      <c r="D38" s="18">
        <v>0</v>
      </c>
      <c r="E38" s="18">
        <v>6</v>
      </c>
      <c r="F38" s="18">
        <v>1</v>
      </c>
      <c r="G38" s="18">
        <v>6</v>
      </c>
      <c r="H38" s="18">
        <v>7</v>
      </c>
      <c r="I38" s="18">
        <v>6</v>
      </c>
      <c r="J38" s="18">
        <v>22</v>
      </c>
      <c r="K38" s="18">
        <v>10</v>
      </c>
      <c r="L38" s="18">
        <v>57</v>
      </c>
      <c r="M38" s="18">
        <v>10</v>
      </c>
      <c r="N38" s="9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ht="30" customHeight="1" x14ac:dyDescent="0.25">
      <c r="A39" s="5" t="s">
        <v>46</v>
      </c>
      <c r="B39" s="19" t="s">
        <v>59</v>
      </c>
      <c r="C39" s="21">
        <f t="shared" ref="C39:M39" si="4">SUM(C36:C38)</f>
        <v>33</v>
      </c>
      <c r="D39" s="21">
        <f t="shared" si="4"/>
        <v>33</v>
      </c>
      <c r="E39" s="21">
        <f t="shared" si="4"/>
        <v>32</v>
      </c>
      <c r="F39" s="21">
        <f t="shared" si="4"/>
        <v>10</v>
      </c>
      <c r="G39" s="21">
        <f t="shared" si="4"/>
        <v>40</v>
      </c>
      <c r="H39" s="21">
        <f t="shared" si="4"/>
        <v>16</v>
      </c>
      <c r="I39" s="21">
        <f t="shared" si="4"/>
        <v>46</v>
      </c>
      <c r="J39" s="21">
        <f t="shared" si="4"/>
        <v>66</v>
      </c>
      <c r="K39" s="21">
        <f t="shared" si="4"/>
        <v>28</v>
      </c>
      <c r="L39" s="21">
        <f t="shared" si="4"/>
        <v>82</v>
      </c>
      <c r="M39" s="20">
        <f t="shared" si="4"/>
        <v>20</v>
      </c>
      <c r="N39" s="9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ht="30" customHeight="1" x14ac:dyDescent="0.25">
      <c r="A40" s="5" t="s">
        <v>46</v>
      </c>
      <c r="B40" s="6" t="s">
        <v>60</v>
      </c>
      <c r="C40" s="16">
        <v>289</v>
      </c>
      <c r="D40" s="16">
        <v>289</v>
      </c>
      <c r="E40" s="16">
        <v>1497</v>
      </c>
      <c r="F40" s="16">
        <v>980</v>
      </c>
      <c r="G40" s="16">
        <v>1254</v>
      </c>
      <c r="H40" s="16">
        <v>1667</v>
      </c>
      <c r="I40" s="16">
        <v>1770</v>
      </c>
      <c r="J40" s="16">
        <v>1790</v>
      </c>
      <c r="K40" s="16">
        <v>2000</v>
      </c>
      <c r="L40" s="16">
        <v>2921</v>
      </c>
      <c r="M40" s="16">
        <v>2000</v>
      </c>
      <c r="N40" s="9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ht="30" customHeight="1" x14ac:dyDescent="0.25">
      <c r="A41" s="5" t="s">
        <v>46</v>
      </c>
      <c r="B41" s="6" t="s">
        <v>61</v>
      </c>
      <c r="C41" s="26">
        <v>0</v>
      </c>
      <c r="D41" s="10">
        <v>0</v>
      </c>
      <c r="E41" s="10" t="s">
        <v>14</v>
      </c>
      <c r="F41" s="10">
        <v>449</v>
      </c>
      <c r="G41" s="10" t="s">
        <v>14</v>
      </c>
      <c r="H41" s="10">
        <v>1387</v>
      </c>
      <c r="I41" s="10" t="s">
        <v>14</v>
      </c>
      <c r="J41" s="10">
        <v>79</v>
      </c>
      <c r="K41" s="10" t="s">
        <v>14</v>
      </c>
      <c r="L41" s="10">
        <v>166</v>
      </c>
      <c r="M41" s="10">
        <v>991</v>
      </c>
      <c r="N41" s="9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30" customHeight="1" x14ac:dyDescent="0.25">
      <c r="A42" s="5" t="s">
        <v>46</v>
      </c>
      <c r="B42" s="6" t="s">
        <v>62</v>
      </c>
      <c r="C42" s="10">
        <v>21</v>
      </c>
      <c r="D42" s="10">
        <v>21</v>
      </c>
      <c r="E42" s="10">
        <v>10</v>
      </c>
      <c r="F42" s="10">
        <v>10</v>
      </c>
      <c r="G42" s="10">
        <v>65</v>
      </c>
      <c r="H42" s="10">
        <v>65</v>
      </c>
      <c r="I42" s="10">
        <v>25</v>
      </c>
      <c r="J42" s="10">
        <v>25</v>
      </c>
      <c r="K42" s="10">
        <v>25</v>
      </c>
      <c r="L42" s="10">
        <v>47</v>
      </c>
      <c r="M42" s="10">
        <v>10</v>
      </c>
      <c r="N42" s="9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ht="30" customHeight="1" x14ac:dyDescent="0.25">
      <c r="A43" s="1" t="s">
        <v>46</v>
      </c>
      <c r="B43" s="27" t="s">
        <v>63</v>
      </c>
      <c r="C43" s="17">
        <v>400</v>
      </c>
      <c r="D43" s="17">
        <v>90</v>
      </c>
      <c r="E43" s="17">
        <v>400</v>
      </c>
      <c r="F43" s="17">
        <v>340</v>
      </c>
      <c r="G43" s="17">
        <v>400</v>
      </c>
      <c r="H43" s="17">
        <v>0</v>
      </c>
      <c r="I43" s="17">
        <v>400</v>
      </c>
      <c r="J43" s="17">
        <v>732</v>
      </c>
      <c r="K43" s="17">
        <v>400</v>
      </c>
      <c r="L43" s="17">
        <v>830</v>
      </c>
      <c r="M43" s="17">
        <v>800</v>
      </c>
      <c r="N43" s="9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ht="30" customHeight="1" x14ac:dyDescent="0.25">
      <c r="A44" s="5" t="s">
        <v>64</v>
      </c>
      <c r="B44" s="6" t="s">
        <v>65</v>
      </c>
      <c r="C44" s="10">
        <v>11</v>
      </c>
      <c r="D44" s="10">
        <v>11</v>
      </c>
      <c r="E44" s="10">
        <v>21</v>
      </c>
      <c r="F44" s="10">
        <v>21</v>
      </c>
      <c r="G44" s="10">
        <v>39</v>
      </c>
      <c r="H44" s="10">
        <v>39</v>
      </c>
      <c r="I44" s="10">
        <v>105</v>
      </c>
      <c r="J44" s="10">
        <v>105</v>
      </c>
      <c r="K44" s="10">
        <v>130</v>
      </c>
      <c r="L44" s="10">
        <v>130</v>
      </c>
      <c r="M44" s="10">
        <v>177</v>
      </c>
      <c r="N44" s="9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ht="30" customHeight="1" x14ac:dyDescent="0.25">
      <c r="A45" s="5" t="s">
        <v>64</v>
      </c>
      <c r="B45" s="6" t="s">
        <v>66</v>
      </c>
      <c r="C45" s="10">
        <v>21</v>
      </c>
      <c r="D45" s="10">
        <v>21</v>
      </c>
      <c r="E45" s="10">
        <v>39</v>
      </c>
      <c r="F45" s="10">
        <v>39</v>
      </c>
      <c r="G45" s="10">
        <v>105</v>
      </c>
      <c r="H45" s="10">
        <v>105</v>
      </c>
      <c r="I45" s="10">
        <v>130</v>
      </c>
      <c r="J45" s="10">
        <v>130</v>
      </c>
      <c r="K45" s="10">
        <v>155</v>
      </c>
      <c r="L45" s="10">
        <v>177</v>
      </c>
      <c r="M45" s="10">
        <v>187</v>
      </c>
      <c r="N45" s="9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30" customHeight="1" x14ac:dyDescent="0.25">
      <c r="A46" s="5" t="s">
        <v>64</v>
      </c>
      <c r="B46" s="6" t="s">
        <v>67</v>
      </c>
      <c r="C46" s="10" t="s">
        <v>43</v>
      </c>
      <c r="D46" s="10" t="s">
        <v>43</v>
      </c>
      <c r="E46" s="10">
        <v>2</v>
      </c>
      <c r="F46" s="10">
        <v>2</v>
      </c>
      <c r="G46" s="10">
        <v>2</v>
      </c>
      <c r="H46" s="10">
        <v>2</v>
      </c>
      <c r="I46" s="10">
        <v>2</v>
      </c>
      <c r="J46" s="10">
        <v>2</v>
      </c>
      <c r="K46" s="10">
        <v>5</v>
      </c>
      <c r="L46" s="10">
        <v>5</v>
      </c>
      <c r="M46" s="10">
        <v>5</v>
      </c>
      <c r="N46" s="9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ht="30" customHeight="1" x14ac:dyDescent="0.25">
      <c r="A47" s="5" t="s">
        <v>64</v>
      </c>
      <c r="B47" s="6" t="s">
        <v>68</v>
      </c>
      <c r="C47" s="10">
        <v>14</v>
      </c>
      <c r="D47" s="10">
        <v>0</v>
      </c>
      <c r="E47" s="10">
        <v>0</v>
      </c>
      <c r="F47" s="10">
        <v>14</v>
      </c>
      <c r="G47" s="10">
        <v>0</v>
      </c>
      <c r="H47" s="10">
        <v>0</v>
      </c>
      <c r="I47" s="10">
        <v>0</v>
      </c>
      <c r="J47" s="10">
        <v>0</v>
      </c>
      <c r="K47" s="10">
        <v>5</v>
      </c>
      <c r="L47" s="10">
        <v>5</v>
      </c>
      <c r="M47" s="10">
        <v>0</v>
      </c>
      <c r="N47" s="9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ht="30" customHeight="1" x14ac:dyDescent="0.25">
      <c r="A48" s="1" t="s">
        <v>64</v>
      </c>
      <c r="B48" s="13" t="s">
        <v>69</v>
      </c>
      <c r="C48" s="17">
        <v>0</v>
      </c>
      <c r="D48" s="17">
        <v>0</v>
      </c>
      <c r="E48" s="17">
        <v>0</v>
      </c>
      <c r="F48" s="17">
        <v>0</v>
      </c>
      <c r="G48" s="17">
        <v>14</v>
      </c>
      <c r="H48" s="17">
        <v>14</v>
      </c>
      <c r="I48" s="17">
        <v>14</v>
      </c>
      <c r="J48" s="17">
        <v>14</v>
      </c>
      <c r="K48" s="17">
        <v>14</v>
      </c>
      <c r="L48" s="17">
        <v>0</v>
      </c>
      <c r="M48" s="17">
        <v>5</v>
      </c>
      <c r="N48" s="9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ht="30" customHeight="1" x14ac:dyDescent="0.25">
      <c r="A49" s="1" t="s">
        <v>70</v>
      </c>
      <c r="B49" s="13" t="s">
        <v>71</v>
      </c>
      <c r="C49" s="14" t="s">
        <v>14</v>
      </c>
      <c r="D49" s="14" t="s">
        <v>14</v>
      </c>
      <c r="E49" s="14" t="s">
        <v>14</v>
      </c>
      <c r="F49" s="14">
        <v>29</v>
      </c>
      <c r="G49" s="14" t="s">
        <v>14</v>
      </c>
      <c r="H49" s="14">
        <v>131</v>
      </c>
      <c r="I49" s="14" t="s">
        <v>14</v>
      </c>
      <c r="J49" s="14">
        <v>188</v>
      </c>
      <c r="K49" s="17" t="s">
        <v>14</v>
      </c>
      <c r="L49" s="17">
        <v>340</v>
      </c>
      <c r="M49" s="14" t="s">
        <v>14</v>
      </c>
      <c r="N49" s="9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ht="30" customHeight="1" x14ac:dyDescent="0.25">
      <c r="A50" s="5" t="s">
        <v>72</v>
      </c>
      <c r="B50" s="13" t="s">
        <v>73</v>
      </c>
      <c r="C50" s="14" t="s">
        <v>14</v>
      </c>
      <c r="D50" s="14" t="s">
        <v>14</v>
      </c>
      <c r="E50" s="14" t="s">
        <v>14</v>
      </c>
      <c r="F50" s="14" t="s">
        <v>14</v>
      </c>
      <c r="G50" s="14" t="s">
        <v>14</v>
      </c>
      <c r="H50" s="14" t="s">
        <v>14</v>
      </c>
      <c r="I50" s="14" t="s">
        <v>14</v>
      </c>
      <c r="J50" s="14" t="s">
        <v>14</v>
      </c>
      <c r="K50" s="17" t="s">
        <v>14</v>
      </c>
      <c r="L50" s="17">
        <v>24</v>
      </c>
      <c r="M50" s="14" t="s">
        <v>14</v>
      </c>
      <c r="N50" s="9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30" customHeight="1" x14ac:dyDescent="0.25">
      <c r="A51" s="5" t="s">
        <v>72</v>
      </c>
      <c r="B51" s="6" t="s">
        <v>74</v>
      </c>
      <c r="C51" s="16" t="s">
        <v>43</v>
      </c>
      <c r="D51" s="16">
        <v>0</v>
      </c>
      <c r="E51" s="16">
        <v>0</v>
      </c>
      <c r="F51" s="16">
        <v>0</v>
      </c>
      <c r="G51" s="16">
        <v>1</v>
      </c>
      <c r="H51" s="16">
        <v>1</v>
      </c>
      <c r="I51" s="16">
        <v>1</v>
      </c>
      <c r="J51" s="16" t="s">
        <v>75</v>
      </c>
      <c r="K51" s="16" t="s">
        <v>76</v>
      </c>
      <c r="L51" s="16" t="s">
        <v>76</v>
      </c>
      <c r="M51" s="16" t="s">
        <v>77</v>
      </c>
      <c r="N51" s="9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30" customHeight="1" x14ac:dyDescent="0.25">
      <c r="A52" s="1" t="s">
        <v>72</v>
      </c>
      <c r="B52" s="6" t="s">
        <v>78</v>
      </c>
      <c r="C52" s="18" t="s">
        <v>43</v>
      </c>
      <c r="D52" s="18">
        <v>0</v>
      </c>
      <c r="E52" s="18" t="s">
        <v>43</v>
      </c>
      <c r="F52" s="18">
        <v>2</v>
      </c>
      <c r="G52" s="18" t="s">
        <v>43</v>
      </c>
      <c r="H52" s="18">
        <v>21</v>
      </c>
      <c r="I52" s="18" t="s">
        <v>43</v>
      </c>
      <c r="J52" s="18">
        <v>19</v>
      </c>
      <c r="K52" s="18" t="s">
        <v>43</v>
      </c>
      <c r="L52" s="18">
        <v>1</v>
      </c>
      <c r="M52" s="18" t="s">
        <v>43</v>
      </c>
      <c r="N52" s="9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ht="30" customHeight="1" thickBot="1" x14ac:dyDescent="0.3">
      <c r="A53" s="5" t="s">
        <v>79</v>
      </c>
      <c r="B53" s="19" t="s">
        <v>80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1</v>
      </c>
      <c r="I53" s="21">
        <v>0</v>
      </c>
      <c r="J53" s="21">
        <v>0</v>
      </c>
      <c r="K53" s="21">
        <v>0</v>
      </c>
      <c r="L53" s="21">
        <v>0</v>
      </c>
      <c r="M53" s="20">
        <v>0</v>
      </c>
      <c r="N53" s="9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ht="30" customHeight="1" thickBot="1" x14ac:dyDescent="0.3">
      <c r="A54" s="80" t="s">
        <v>79</v>
      </c>
      <c r="B54" s="81" t="s">
        <v>81</v>
      </c>
      <c r="C54" s="28" t="s">
        <v>43</v>
      </c>
      <c r="D54" s="28">
        <v>2</v>
      </c>
      <c r="E54" s="28" t="s">
        <v>43</v>
      </c>
      <c r="F54" s="28">
        <v>2</v>
      </c>
      <c r="G54" s="28" t="s">
        <v>43</v>
      </c>
      <c r="H54" s="28">
        <v>1</v>
      </c>
      <c r="I54" s="28" t="s">
        <v>43</v>
      </c>
      <c r="J54" s="28">
        <v>0</v>
      </c>
      <c r="K54" s="28" t="s">
        <v>43</v>
      </c>
      <c r="L54" s="28">
        <v>0</v>
      </c>
      <c r="M54" s="28" t="s">
        <v>43</v>
      </c>
      <c r="N54" s="9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 ht="192.75" thickBot="1" x14ac:dyDescent="0.3">
      <c r="A55" s="78" t="s">
        <v>82</v>
      </c>
      <c r="B55" s="79" t="s">
        <v>83</v>
      </c>
      <c r="C55" s="14" t="s">
        <v>14</v>
      </c>
      <c r="D55" s="14" t="s">
        <v>84</v>
      </c>
      <c r="E55" s="14" t="s">
        <v>14</v>
      </c>
      <c r="F55" s="14" t="s">
        <v>85</v>
      </c>
      <c r="G55" s="14" t="s">
        <v>14</v>
      </c>
      <c r="H55" s="14" t="s">
        <v>86</v>
      </c>
      <c r="I55" s="14" t="s">
        <v>14</v>
      </c>
      <c r="J55" s="14" t="s">
        <v>87</v>
      </c>
      <c r="K55" s="14" t="s">
        <v>14</v>
      </c>
      <c r="L55" s="29" t="s">
        <v>88</v>
      </c>
      <c r="M55" s="14" t="s">
        <v>14</v>
      </c>
      <c r="N55" s="9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x14ac:dyDescent="0.25">
      <c r="A56" s="5" t="s">
        <v>89</v>
      </c>
      <c r="B56" s="30" t="s">
        <v>90</v>
      </c>
      <c r="C56" s="16" t="s">
        <v>14</v>
      </c>
      <c r="D56" s="16">
        <v>0</v>
      </c>
      <c r="E56" s="16" t="s">
        <v>14</v>
      </c>
      <c r="F56" s="16">
        <v>1</v>
      </c>
      <c r="G56" s="16" t="s">
        <v>14</v>
      </c>
      <c r="H56" s="16">
        <v>3</v>
      </c>
      <c r="I56" s="16" t="s">
        <v>14</v>
      </c>
      <c r="J56" s="16">
        <v>11</v>
      </c>
      <c r="K56" s="16" t="s">
        <v>14</v>
      </c>
      <c r="L56" s="16">
        <v>3</v>
      </c>
      <c r="M56" s="16" t="s">
        <v>14</v>
      </c>
      <c r="N56" s="9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ht="15.75" thickBot="1" x14ac:dyDescent="0.3">
      <c r="A57" s="5" t="s">
        <v>89</v>
      </c>
      <c r="B57" s="6" t="s">
        <v>91</v>
      </c>
      <c r="C57" s="18" t="s">
        <v>14</v>
      </c>
      <c r="D57" s="18">
        <v>0</v>
      </c>
      <c r="E57" s="16" t="s">
        <v>14</v>
      </c>
      <c r="F57" s="18">
        <v>0</v>
      </c>
      <c r="G57" s="16" t="s">
        <v>14</v>
      </c>
      <c r="H57" s="18">
        <v>0</v>
      </c>
      <c r="I57" s="16" t="s">
        <v>14</v>
      </c>
      <c r="J57" s="18">
        <v>5</v>
      </c>
      <c r="K57" s="16" t="s">
        <v>14</v>
      </c>
      <c r="L57" s="18">
        <v>12</v>
      </c>
      <c r="M57" s="16" t="s">
        <v>14</v>
      </c>
      <c r="N57" s="9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ht="15.75" thickBot="1" x14ac:dyDescent="0.3">
      <c r="A58" s="80" t="s">
        <v>89</v>
      </c>
      <c r="B58" s="82" t="s">
        <v>92</v>
      </c>
      <c r="C58" s="83">
        <f t="shared" ref="C58:M58" si="5">SUM(C56:C57)</f>
        <v>0</v>
      </c>
      <c r="D58" s="83">
        <f t="shared" si="5"/>
        <v>0</v>
      </c>
      <c r="E58" s="83">
        <f t="shared" si="5"/>
        <v>0</v>
      </c>
      <c r="F58" s="83">
        <f t="shared" si="5"/>
        <v>1</v>
      </c>
      <c r="G58" s="83">
        <f t="shared" si="5"/>
        <v>0</v>
      </c>
      <c r="H58" s="83">
        <f t="shared" si="5"/>
        <v>3</v>
      </c>
      <c r="I58" s="84">
        <f t="shared" si="5"/>
        <v>0</v>
      </c>
      <c r="J58" s="84">
        <f t="shared" si="5"/>
        <v>16</v>
      </c>
      <c r="K58" s="84">
        <f t="shared" si="5"/>
        <v>0</v>
      </c>
      <c r="L58" s="84">
        <f t="shared" si="5"/>
        <v>15</v>
      </c>
      <c r="M58" s="83">
        <f t="shared" si="5"/>
        <v>0</v>
      </c>
      <c r="N58" s="9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ht="25.5" x14ac:dyDescent="0.25">
      <c r="A59" s="5" t="s">
        <v>93</v>
      </c>
      <c r="B59" s="6" t="s">
        <v>94</v>
      </c>
      <c r="C59" s="16">
        <v>1</v>
      </c>
      <c r="D59" s="16">
        <v>1</v>
      </c>
      <c r="E59" s="16">
        <v>1</v>
      </c>
      <c r="F59" s="16">
        <v>1</v>
      </c>
      <c r="G59" s="16">
        <v>1</v>
      </c>
      <c r="H59" s="16">
        <v>1</v>
      </c>
      <c r="I59" s="16">
        <v>1</v>
      </c>
      <c r="J59" s="16">
        <v>1</v>
      </c>
      <c r="K59" s="16">
        <v>1</v>
      </c>
      <c r="L59" s="16">
        <v>1</v>
      </c>
      <c r="M59" s="16">
        <v>1</v>
      </c>
      <c r="N59" s="9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ht="25.5" x14ac:dyDescent="0.25">
      <c r="A60" s="5" t="s">
        <v>93</v>
      </c>
      <c r="B60" s="6" t="s">
        <v>95</v>
      </c>
      <c r="C60" s="18" t="s">
        <v>14</v>
      </c>
      <c r="D60" s="18" t="s">
        <v>14</v>
      </c>
      <c r="E60" s="18" t="s">
        <v>14</v>
      </c>
      <c r="F60" s="18" t="s">
        <v>14</v>
      </c>
      <c r="G60" s="18" t="s">
        <v>14</v>
      </c>
      <c r="H60" s="18" t="s">
        <v>14</v>
      </c>
      <c r="I60" s="18" t="s">
        <v>14</v>
      </c>
      <c r="J60" s="18" t="s">
        <v>14</v>
      </c>
      <c r="K60" s="18" t="s">
        <v>14</v>
      </c>
      <c r="L60" s="18" t="s">
        <v>14</v>
      </c>
      <c r="M60" s="18">
        <v>4</v>
      </c>
      <c r="N60" s="9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ht="26.25" thickBot="1" x14ac:dyDescent="0.3">
      <c r="A61" s="1" t="s">
        <v>93</v>
      </c>
      <c r="B61" s="19" t="s">
        <v>96</v>
      </c>
      <c r="C61" s="31">
        <f t="shared" ref="C61:L61" si="6">SUM(C59:C60)</f>
        <v>1</v>
      </c>
      <c r="D61" s="31">
        <f t="shared" si="6"/>
        <v>1</v>
      </c>
      <c r="E61" s="31">
        <f t="shared" si="6"/>
        <v>1</v>
      </c>
      <c r="F61" s="31">
        <f t="shared" si="6"/>
        <v>1</v>
      </c>
      <c r="G61" s="31">
        <f t="shared" si="6"/>
        <v>1</v>
      </c>
      <c r="H61" s="31">
        <f t="shared" si="6"/>
        <v>1</v>
      </c>
      <c r="I61" s="32">
        <f t="shared" si="6"/>
        <v>1</v>
      </c>
      <c r="J61" s="32">
        <f t="shared" si="6"/>
        <v>1</v>
      </c>
      <c r="K61" s="32">
        <f t="shared" si="6"/>
        <v>1</v>
      </c>
      <c r="L61" s="32">
        <f t="shared" si="6"/>
        <v>1</v>
      </c>
      <c r="M61" s="31">
        <v>5</v>
      </c>
      <c r="N61" s="9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ht="15.75" thickBot="1" x14ac:dyDescent="0.3">
      <c r="A62" s="85" t="s">
        <v>97</v>
      </c>
      <c r="B62" s="86" t="s">
        <v>98</v>
      </c>
      <c r="C62" s="84" t="s">
        <v>14</v>
      </c>
      <c r="D62" s="87">
        <v>6</v>
      </c>
      <c r="E62" s="84" t="s">
        <v>14</v>
      </c>
      <c r="F62" s="87">
        <v>6</v>
      </c>
      <c r="G62" s="84" t="s">
        <v>14</v>
      </c>
      <c r="H62" s="87">
        <v>7</v>
      </c>
      <c r="I62" s="84" t="s">
        <v>14</v>
      </c>
      <c r="J62" s="87">
        <v>9</v>
      </c>
      <c r="K62" s="84" t="s">
        <v>14</v>
      </c>
      <c r="L62" s="87">
        <v>9</v>
      </c>
      <c r="M62" s="84" t="s">
        <v>14</v>
      </c>
      <c r="N62" s="9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x14ac:dyDescent="0.25">
      <c r="A63" s="5" t="s">
        <v>99</v>
      </c>
      <c r="B63" s="6" t="s">
        <v>130</v>
      </c>
      <c r="C63" s="104" t="s">
        <v>14</v>
      </c>
      <c r="D63" s="104" t="s">
        <v>131</v>
      </c>
      <c r="E63" s="104" t="s">
        <v>14</v>
      </c>
      <c r="F63" s="104" t="s">
        <v>131</v>
      </c>
      <c r="G63" s="104" t="s">
        <v>14</v>
      </c>
      <c r="H63" s="104" t="s">
        <v>131</v>
      </c>
      <c r="I63" s="104" t="s">
        <v>14</v>
      </c>
      <c r="J63" s="104" t="s">
        <v>131</v>
      </c>
      <c r="K63" s="104" t="s">
        <v>14</v>
      </c>
      <c r="L63" s="104" t="s">
        <v>132</v>
      </c>
      <c r="M63" s="104" t="s">
        <v>14</v>
      </c>
      <c r="N63" s="10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x14ac:dyDescent="0.25">
      <c r="A64" s="5" t="s">
        <v>99</v>
      </c>
      <c r="B64" s="6" t="s">
        <v>133</v>
      </c>
      <c r="C64" s="104" t="s">
        <v>14</v>
      </c>
      <c r="D64" s="104" t="s">
        <v>131</v>
      </c>
      <c r="E64" s="104" t="s">
        <v>14</v>
      </c>
      <c r="F64" s="104" t="s">
        <v>131</v>
      </c>
      <c r="G64" s="104" t="s">
        <v>14</v>
      </c>
      <c r="H64" s="104" t="s">
        <v>131</v>
      </c>
      <c r="I64" s="104" t="s">
        <v>14</v>
      </c>
      <c r="J64" s="104" t="s">
        <v>131</v>
      </c>
      <c r="K64" s="104" t="s">
        <v>14</v>
      </c>
      <c r="L64" s="104" t="s">
        <v>134</v>
      </c>
      <c r="M64" s="104" t="s">
        <v>14</v>
      </c>
      <c r="N64" s="10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x14ac:dyDescent="0.25">
      <c r="A65" s="5" t="s">
        <v>99</v>
      </c>
      <c r="B65" s="6" t="s">
        <v>135</v>
      </c>
      <c r="C65" s="104">
        <v>0</v>
      </c>
      <c r="D65" s="104">
        <v>4</v>
      </c>
      <c r="E65" s="104">
        <v>0</v>
      </c>
      <c r="F65" s="104">
        <v>10</v>
      </c>
      <c r="G65" s="104">
        <v>0</v>
      </c>
      <c r="H65" s="104">
        <v>14</v>
      </c>
      <c r="I65" s="104">
        <v>0</v>
      </c>
      <c r="J65" s="104">
        <v>16</v>
      </c>
      <c r="K65" s="104">
        <v>0</v>
      </c>
      <c r="L65" s="104">
        <v>14</v>
      </c>
      <c r="M65" s="104">
        <v>0</v>
      </c>
      <c r="N65" s="105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5.75" thickBot="1" x14ac:dyDescent="0.3">
      <c r="A66" s="1" t="s">
        <v>99</v>
      </c>
      <c r="B66" s="106" t="s">
        <v>136</v>
      </c>
      <c r="C66" s="107">
        <v>0</v>
      </c>
      <c r="D66" s="107">
        <v>51</v>
      </c>
      <c r="E66" s="107">
        <v>0</v>
      </c>
      <c r="F66" s="107">
        <v>21</v>
      </c>
      <c r="G66" s="107">
        <v>0</v>
      </c>
      <c r="H66" s="107">
        <v>49</v>
      </c>
      <c r="I66" s="107">
        <v>0</v>
      </c>
      <c r="J66" s="107">
        <v>34</v>
      </c>
      <c r="K66" s="107">
        <v>0</v>
      </c>
      <c r="L66" s="107">
        <v>38</v>
      </c>
      <c r="M66" s="107">
        <v>0</v>
      </c>
      <c r="N66" s="105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 x14ac:dyDescent="0.25">
      <c r="A67" s="4"/>
      <c r="B67" s="4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 ht="76.5" x14ac:dyDescent="0.25">
      <c r="A68" s="4"/>
      <c r="B68" s="103" t="s">
        <v>137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9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32" ht="25.5" x14ac:dyDescent="0.25">
      <c r="A69" s="4"/>
      <c r="B69" s="103" t="s">
        <v>138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9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 ht="38.25" x14ac:dyDescent="0.25">
      <c r="A70" s="4"/>
      <c r="B70" s="103" t="s">
        <v>139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9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1:32" ht="51" x14ac:dyDescent="0.25">
      <c r="A71" s="4"/>
      <c r="B71" s="103" t="s">
        <v>140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9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 x14ac:dyDescent="0.25">
      <c r="A72" s="4"/>
      <c r="B72" s="10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9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9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1:3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9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1:3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9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9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9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9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1:3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9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9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1:3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9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9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9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9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spans="1:3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9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9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9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9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9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9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9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9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9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9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9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9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9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9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9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9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9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9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9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9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9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9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9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2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9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2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9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1:32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9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32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9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32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9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9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1:32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9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32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9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1:32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9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9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9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9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9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9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9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9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9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1:32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9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1:32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9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1:32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9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9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1:32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9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2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9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1:32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9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1:32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9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9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9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9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9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9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9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9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1:32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9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1:32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9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1:32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9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1:32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9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1:32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9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1:32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9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1:32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9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9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9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1:32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9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1:32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9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1:32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9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1:32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9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1:32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9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9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spans="1:32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9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spans="1:32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9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spans="1:32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9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spans="1:32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9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spans="1:32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9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spans="1:32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9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spans="1:32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9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spans="1:32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9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1:32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9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spans="1:32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9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spans="1:32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9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spans="1:32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9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spans="1:32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9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spans="1:32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9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spans="1:32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9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spans="1:32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9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spans="1:32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9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spans="1:32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9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spans="1:32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9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spans="1:32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9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spans="1:32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9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spans="1:32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9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spans="1:32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9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spans="1:32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9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spans="1:32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9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spans="1:32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9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spans="1:32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9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spans="1:32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9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spans="1:32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9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spans="1:32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9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spans="1:32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9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spans="1:32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9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spans="1:32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9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spans="1:32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9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spans="1:32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9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spans="1:32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9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spans="1:32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spans="1:32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9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spans="1:32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9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spans="1:32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9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spans="1:32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9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spans="1:32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9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spans="1:32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9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spans="1:32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9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spans="1:32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9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spans="1:32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9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spans="1:32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9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spans="1:32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9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spans="1:32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9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spans="1:32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9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spans="1:32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9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spans="1:32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9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spans="1:32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9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spans="1:32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9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spans="1:32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9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spans="1:32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9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spans="1:32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9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spans="1:32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9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spans="1:32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9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spans="1:32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9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spans="1:32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9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spans="1:32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9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spans="1:32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9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spans="1:32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9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spans="1:32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9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spans="1:32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9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spans="1:32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9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spans="1:32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9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spans="1:32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9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spans="1:32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9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spans="1:32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9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spans="1:32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9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spans="1:32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9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spans="1:32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9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spans="1:32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9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spans="1:32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9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spans="1:32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9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spans="1:32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9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spans="1:32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9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spans="1:32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9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spans="1:32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9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spans="1:32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9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spans="1:32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9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spans="1:32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9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spans="1:32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9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spans="1:32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9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spans="1:32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9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spans="1:32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9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spans="1:32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9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spans="1:32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9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spans="1:32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9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spans="1:32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9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spans="1:32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9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spans="1:32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9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 spans="1:32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9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spans="1:32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9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 spans="1:32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9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spans="1:32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9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 spans="1:32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9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spans="1:32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9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 spans="1:32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9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spans="1:32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9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 spans="1:32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9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spans="1:32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9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 spans="1:32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9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spans="1:32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9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 spans="1:32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9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spans="1:32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9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 spans="1:32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9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spans="1:32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9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 spans="1:32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9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spans="1:32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9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 spans="1:32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9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spans="1:32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9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 spans="1:32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9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spans="1:32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9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 spans="1:32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9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spans="1:32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9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 spans="1:32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9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spans="1:32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9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 spans="1:32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9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spans="1:32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9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 spans="1:32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9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spans="1:32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9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 spans="1:32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9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spans="1:32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9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 spans="1:32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9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spans="1:32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9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 spans="1:32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9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spans="1:32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9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 spans="1:32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9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spans="1:32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9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 spans="1:32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9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spans="1:32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9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 spans="1:32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9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spans="1:32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9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 spans="1:32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9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spans="1:32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9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 spans="1:32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9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spans="1:32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9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 spans="1:32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9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spans="1:32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9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 spans="1:32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9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spans="1:32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9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 spans="1:32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9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spans="1:32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9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 spans="1:32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9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spans="1:32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9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 spans="1:32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9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spans="1:32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9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 spans="1:32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9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spans="1:32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9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 spans="1:32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9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spans="1:32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9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 spans="1:32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9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spans="1:32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9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 spans="1:32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9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spans="1:32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9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 spans="1:32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9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spans="1:32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9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 spans="1:32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9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spans="1:32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9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 spans="1:32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9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spans="1:32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9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 spans="1:32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9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 spans="1:32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9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  <row r="321" spans="1:32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9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 spans="1:32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9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</row>
    <row r="323" spans="1:32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9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 spans="1:32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9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</row>
    <row r="325" spans="1:32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9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 spans="1:32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9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</row>
    <row r="327" spans="1:32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9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 spans="1:32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9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</row>
    <row r="329" spans="1:32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9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 spans="1:32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9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</row>
    <row r="331" spans="1:32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9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 spans="1:32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9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</row>
    <row r="333" spans="1:32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9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 spans="1:32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9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</row>
    <row r="335" spans="1:32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9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 spans="1:32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9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</row>
    <row r="337" spans="1:32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9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 spans="1:32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9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</row>
    <row r="339" spans="1:32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9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spans="1:32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9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 spans="1:32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9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spans="1:32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9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 spans="1:32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9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spans="1:32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9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 spans="1:32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9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spans="1:32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9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 spans="1:32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9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spans="1:32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9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 spans="1:32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9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spans="1:32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9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 spans="1:32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9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spans="1:32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9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 spans="1:32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9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spans="1:32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9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 spans="1:32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9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spans="1:32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9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 spans="1:32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9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spans="1:32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9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 spans="1:32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9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spans="1:32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9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 spans="1:32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9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spans="1:32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9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spans="1:32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9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spans="1:32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9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spans="1:32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9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spans="1:32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9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spans="1:32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9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spans="1:32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9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spans="1:32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9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spans="1:32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9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spans="1:32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9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spans="1:32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9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spans="1:32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9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spans="1:32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9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spans="1:32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9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spans="1:32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9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spans="1:32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9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spans="1:32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9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spans="1:32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9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spans="1:32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9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spans="1:32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9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spans="1:32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9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spans="1:32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9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spans="1:32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9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spans="1:32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9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spans="1:32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9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spans="1:32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9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spans="1:32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9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spans="1:32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9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spans="1:32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9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spans="1:32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9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spans="1:32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9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spans="1:32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9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spans="1:32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9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spans="1:32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9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spans="1:32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9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spans="1:32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9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spans="1:32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9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spans="1:32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9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spans="1:32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9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spans="1:32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9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spans="1:32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9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spans="1:32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9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spans="1:32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9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spans="1:32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9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spans="1:32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9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spans="1:32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9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spans="1:32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9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spans="1:32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9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spans="1:32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9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spans="1:32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9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spans="1:32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9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spans="1:32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9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spans="1:32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9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spans="1:32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9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spans="1:32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9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spans="1:32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9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spans="1:32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9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spans="1:32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9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spans="1:32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9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spans="1:32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9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spans="1:32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9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spans="1:32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9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spans="1:32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9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spans="1:32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9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spans="1:32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9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spans="1:32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9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spans="1:32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9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spans="1:32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9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spans="1:32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9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spans="1:32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9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spans="1:32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9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spans="1:32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9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spans="1:32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9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spans="1:32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9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spans="1:32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9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spans="1:32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9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spans="1:32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9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spans="1:32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9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spans="1:32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9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spans="1:32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9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spans="1:32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9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spans="1:32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9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spans="1:32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9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spans="1:32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9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spans="1:32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9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spans="1:32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9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spans="1:32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9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spans="1:32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9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spans="1:32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9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spans="1:32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9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spans="1:32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9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spans="1:32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9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spans="1:32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9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spans="1:32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9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spans="1:32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9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spans="1:32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9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spans="1:32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9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spans="1:32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9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spans="1:32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9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spans="1:32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9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spans="1:32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9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spans="1:32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9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spans="1:32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9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spans="1:32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9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spans="1:32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9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spans="1:32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9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spans="1:32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9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spans="1:32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9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spans="1:32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9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spans="1:32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9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spans="1:32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9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spans="1:32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9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spans="1:32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9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spans="1:32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9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spans="1:32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9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spans="1:32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9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spans="1:32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9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spans="1:32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9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spans="1:32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9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spans="1:32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9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spans="1:32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9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spans="1:32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9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spans="1:32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9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spans="1:32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9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spans="1:32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9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spans="1:32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9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spans="1:32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9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spans="1:32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9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spans="1:32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9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spans="1:32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9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spans="1:32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9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spans="1:32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9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spans="1:32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9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spans="1:32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9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spans="1:32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9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 spans="1:32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9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 spans="1:32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9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 spans="1:32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9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 spans="1:32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9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 spans="1:32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9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 spans="1:32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9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 spans="1:32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9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 spans="1:32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9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 spans="1:32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9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 spans="1:32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9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 spans="1:32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9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 spans="1:32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9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 spans="1:32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9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 spans="1:32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9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 spans="1:32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9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 spans="1:32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9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 spans="1:32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9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 spans="1:32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9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 spans="1:32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9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 spans="1:32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9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 spans="1:32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9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 spans="1:32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9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 spans="1:32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9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 spans="1:32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9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 spans="1:32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9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 spans="1:32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9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 spans="1:32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9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 spans="1:32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9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 spans="1:32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9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 spans="1:32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9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 spans="1:32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9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 spans="1:32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9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 spans="1:32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9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 spans="1:32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9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 spans="1:32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9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 spans="1:32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9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 spans="1:32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9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 spans="1:32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9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 spans="1:32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9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 spans="1:32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9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 spans="1:32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9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 spans="1:32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9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 spans="1:32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9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 spans="1:32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9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 spans="1:32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9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 spans="1:32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9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 spans="1:32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9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 spans="1:32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9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 spans="1:32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9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 spans="1:32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9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 spans="1:32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9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 spans="1:32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9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 spans="1:32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9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 spans="1:32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9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 spans="1:32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9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 spans="1:32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9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 spans="1:32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9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 spans="1:32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9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 spans="1:32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9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 spans="1:32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9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 spans="1:32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9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 spans="1:32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9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 spans="1:32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9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 spans="1:32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9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 spans="1:32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9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 spans="1:32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9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 spans="1:32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9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 spans="1:32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9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 spans="1:32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9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 spans="1:32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9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 spans="1:32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9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 spans="1:32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9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 spans="1:32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9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 spans="1:32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9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 spans="1:32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9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 spans="1:32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9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 spans="1:32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9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 spans="1:32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9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 spans="1:32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9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 spans="1:32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9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 spans="1:32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9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 spans="1:32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9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 spans="1:32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9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 spans="1:32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9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 spans="1:32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9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 spans="1:32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9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 spans="1:32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9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 spans="1:32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9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 spans="1:32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9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 spans="1:32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9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 spans="1:32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9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 spans="1:32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9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 spans="1:32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9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 spans="1:32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9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 spans="1:32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9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 spans="1:32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9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 spans="1:32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9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 spans="1:32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9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 spans="1:32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9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 spans="1:32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9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 spans="1:32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9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 spans="1:32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9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 spans="1:32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9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 spans="1:32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9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 spans="1:32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9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 spans="1:32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9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 spans="1:32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9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 spans="1:32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9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 spans="1:32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9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 spans="1:32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9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 spans="1:32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9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 spans="1:32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9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 spans="1:32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9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 spans="1:32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9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 spans="1:32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9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 spans="1:32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9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 spans="1:32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9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 spans="1:32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9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 spans="1:32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9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 spans="1:32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9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 spans="1:32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9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 spans="1:32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9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 spans="1:32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9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 spans="1:32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9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 spans="1:32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9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 spans="1:32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9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 spans="1:32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9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 spans="1:32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9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 spans="1:32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9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 spans="1:32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9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 spans="1:32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9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 spans="1:32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9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 spans="1:32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9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 spans="1:32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9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 spans="1:32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9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 spans="1:32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9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 spans="1:32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9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 spans="1:32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9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 spans="1:32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9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 spans="1:32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9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 spans="1:32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9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 spans="1:32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9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 spans="1:32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9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 spans="1:32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9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 spans="1:32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9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 spans="1:32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9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 spans="1:32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9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 spans="1:32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9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 spans="1:32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9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 spans="1:32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9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 spans="1:32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9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 spans="1:32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9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 spans="1:32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9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 spans="1:32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9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 spans="1:32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9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 spans="1:32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9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 spans="1:32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9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 spans="1:32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9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 spans="1:32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9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 spans="1:32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9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 spans="1:32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9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 spans="1:32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9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 spans="1:32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9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 spans="1:32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9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 spans="1:32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9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 spans="1:32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9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 spans="1:32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9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 spans="1:32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9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 spans="1:32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9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 spans="1:32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9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 spans="1:32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9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 spans="1:32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9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 spans="1:32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9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 spans="1:32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9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 spans="1:32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9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 spans="1:32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9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 spans="1:32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9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 spans="1:32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9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 spans="1:32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9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 spans="1:32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9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 spans="1:32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9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 spans="1:32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9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 spans="1:32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9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 spans="1:32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9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 spans="1:32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9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 spans="1:32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9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 spans="1:32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9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 spans="1:32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9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 spans="1:32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9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 spans="1:32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9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 spans="1:32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9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 spans="1:32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9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 spans="1:32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9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 spans="1:32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9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 spans="1:32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9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 spans="1:32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9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 spans="1:32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9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 spans="1:32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9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 spans="1:32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9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 spans="1:32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9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 spans="1:32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9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 spans="1:32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9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 spans="1:32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9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 spans="1:32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9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 spans="1:32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9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 spans="1:32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9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 spans="1:32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9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 spans="1:32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9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 spans="1:32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9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 spans="1:32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9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 spans="1:32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9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 spans="1:32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9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 spans="1:32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9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 spans="1:32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9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 spans="1:32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9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 spans="1:32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9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 spans="1:32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9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 spans="1:32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9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 spans="1:32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9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 spans="1:32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9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 spans="1:32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9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 spans="1:32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9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 spans="1:32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9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 spans="1:32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9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 spans="1:32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9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 spans="1:32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9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 spans="1:32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9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 spans="1:32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9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 spans="1:32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9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 spans="1:32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9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 spans="1:32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 spans="1:32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9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 spans="1:32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9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 spans="1:32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9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 spans="1:32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9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 spans="1:32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9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 spans="1:32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9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 spans="1:32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9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 spans="1:32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9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 spans="1:32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9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 spans="1:32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9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 spans="1:32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9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 spans="1:32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9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 spans="1:32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9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 spans="1:32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9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 spans="1:32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9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 spans="1:32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9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 spans="1:32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9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 spans="1:32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9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 spans="1:32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9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 spans="1:32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9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 spans="1:32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9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 spans="1:32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9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 spans="1:32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9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 spans="1:32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9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 spans="1:32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9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 spans="1:32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9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 spans="1:32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9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 spans="1:32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9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 spans="1:32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9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 spans="1:32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9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 spans="1:32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9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 spans="1:32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9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 spans="1:32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9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 spans="1:32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9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 spans="1:32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9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 spans="1:32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9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 spans="1:32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9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 spans="1:32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9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 spans="1:32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9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 spans="1:32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9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 spans="1:32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9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 spans="1:32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9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 spans="1:32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9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 spans="1:32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9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 spans="1:32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9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 spans="1:32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9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 spans="1:32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9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 spans="1:32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9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 spans="1:32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9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 spans="1:32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9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 spans="1:32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9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 spans="1:32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9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 spans="1:32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9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 spans="1:32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9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 spans="1:32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9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 spans="1:32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9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 spans="1:32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9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 spans="1:32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9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 spans="1:32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9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 spans="1:32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9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 spans="1:32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9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 spans="1:32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9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 spans="1:32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9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 spans="1:32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9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 spans="1:32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9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 spans="1:32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9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 spans="1:32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9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 spans="1:32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9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 spans="1:32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9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 spans="1:32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9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 spans="1:32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9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 spans="1:32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9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 spans="1:32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9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 spans="1:32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9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 spans="1:32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9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 spans="1:32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9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 spans="1:32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9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 spans="1:32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9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 spans="1:32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9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 spans="1:32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9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 spans="1:32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9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 spans="1:32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9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 spans="1:32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9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 spans="1:32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9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 spans="1:32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9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 spans="1:32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9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 spans="1:32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9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 spans="1:32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9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 spans="1:32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9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 spans="1:32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9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 spans="1:32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9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 spans="1:32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9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 spans="1:32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9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 spans="1:32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9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 spans="1:32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9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 spans="1:32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9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 spans="1:32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9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 spans="1:32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9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 spans="1:32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9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 spans="1:32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9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 spans="1:32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9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 spans="1:32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9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 spans="1:32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9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 spans="1:32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9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 spans="1:32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9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 spans="1:32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9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 spans="1:32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9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 spans="1:32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9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 spans="1:32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9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 spans="1:32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9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 spans="1:32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9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 spans="1:32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9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 spans="1:32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9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 spans="1:32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9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 spans="1:32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9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 spans="1:32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9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 spans="1:32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9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 spans="1:32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9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 spans="1:32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9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 spans="1:32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9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 spans="1:32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9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 spans="1:32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9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 spans="1:32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9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 spans="1:32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9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 spans="1:32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9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 spans="1:32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9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 spans="1:32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9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 spans="1:32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9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 spans="1:32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9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 spans="1:32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9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 spans="1:32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9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 spans="1:32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9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 spans="1:32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9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 spans="1:32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9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 spans="1:32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9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 spans="1:32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9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 spans="1:32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9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 spans="1:32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9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 spans="1:32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9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 spans="1:32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9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 spans="1:32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9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 spans="1:32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9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 spans="1:32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9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 spans="1:32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9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 spans="1:32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9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 spans="1:32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9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 spans="1:32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9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 spans="1:32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9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 spans="1:32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9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 spans="1:32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9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 spans="1:32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9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 spans="1:32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9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 spans="1:32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9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 spans="1:32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9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 spans="1:32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9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 spans="1:32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9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 spans="1:32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9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 spans="1:32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9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 spans="1:32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9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 spans="1:32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9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 spans="1:32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9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 spans="1:32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9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 spans="1:32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9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 spans="1:32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9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 spans="1:32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9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 spans="1:32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9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 spans="1:32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9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 spans="1:32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9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 spans="1:32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9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 spans="1:32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9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 spans="1:32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9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 spans="1:32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9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 spans="1:32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9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 spans="1:32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9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 spans="1:32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9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 spans="1:32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9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 spans="1:32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9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 spans="1:32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9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 spans="1:32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9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 spans="1:32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9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 spans="1:32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9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 spans="1:32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9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 spans="1:32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9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 spans="1:32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9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 spans="1:32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9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 spans="1:32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9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 spans="1:32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9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 spans="1:32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9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 spans="1:32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9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  <row r="917" spans="1:32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9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</row>
    <row r="918" spans="1:32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9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</row>
    <row r="919" spans="1:32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9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</row>
    <row r="920" spans="1:32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9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</row>
    <row r="921" spans="1:32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9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</row>
    <row r="922" spans="1:32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9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</row>
    <row r="923" spans="1:32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9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</row>
    <row r="924" spans="1:32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9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</row>
    <row r="925" spans="1:32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9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</row>
    <row r="926" spans="1:32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9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</row>
    <row r="927" spans="1:32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9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</row>
    <row r="928" spans="1:32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9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</row>
    <row r="929" spans="1:32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9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</row>
    <row r="930" spans="1:32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9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</row>
    <row r="931" spans="1:32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9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</row>
    <row r="932" spans="1:32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9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</row>
    <row r="933" spans="1:32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9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</row>
    <row r="934" spans="1:32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9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</row>
    <row r="935" spans="1:32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9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</row>
    <row r="936" spans="1:32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9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</row>
    <row r="937" spans="1:32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9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</row>
    <row r="938" spans="1:32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9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</row>
    <row r="939" spans="1:32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9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</row>
    <row r="940" spans="1:32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9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</row>
    <row r="941" spans="1:32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9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</row>
    <row r="942" spans="1:32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9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</row>
    <row r="943" spans="1:32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9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</row>
    <row r="944" spans="1:32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9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</row>
    <row r="945" spans="1:32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9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</row>
    <row r="946" spans="1:32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9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</row>
    <row r="947" spans="1:32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9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</row>
    <row r="948" spans="1:32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9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</row>
    <row r="949" spans="1:32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9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</row>
    <row r="950" spans="1:32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9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</row>
    <row r="951" spans="1:32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9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</row>
    <row r="952" spans="1:32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9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</row>
    <row r="953" spans="1:32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9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</row>
    <row r="954" spans="1:32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9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</row>
    <row r="955" spans="1:32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9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</row>
    <row r="956" spans="1:32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9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</row>
    <row r="957" spans="1:32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9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</row>
    <row r="958" spans="1:32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9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</row>
    <row r="959" spans="1:32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9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</row>
    <row r="960" spans="1:32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9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</row>
    <row r="961" spans="1:32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9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</row>
    <row r="962" spans="1:32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9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</row>
    <row r="963" spans="1:32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9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</row>
    <row r="964" spans="1:32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9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</row>
    <row r="965" spans="1:32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9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</row>
    <row r="966" spans="1:32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9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</row>
    <row r="967" spans="1:32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9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</row>
    <row r="968" spans="1:32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9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</row>
    <row r="969" spans="1:32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9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</row>
    <row r="970" spans="1:32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9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</row>
    <row r="971" spans="1:32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9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</row>
    <row r="972" spans="1:32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9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</row>
    <row r="973" spans="1:32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9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</row>
    <row r="974" spans="1:32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9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</row>
    <row r="975" spans="1:32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9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</row>
    <row r="976" spans="1:32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9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</row>
    <row r="977" spans="1:32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9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</row>
    <row r="978" spans="1:32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9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</row>
    <row r="979" spans="1:32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9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</row>
    <row r="980" spans="1:32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9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</row>
    <row r="981" spans="1:32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9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</row>
    <row r="982" spans="1:32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9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</row>
    <row r="983" spans="1:32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9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</row>
    <row r="984" spans="1:32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9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</row>
    <row r="985" spans="1:32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9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</row>
    <row r="986" spans="1:32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9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</row>
    <row r="987" spans="1:32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9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</row>
    <row r="988" spans="1:32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9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</row>
    <row r="989" spans="1:32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9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</row>
    <row r="990" spans="1:32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9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</row>
    <row r="991" spans="1:32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9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</row>
    <row r="992" spans="1:32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9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</row>
    <row r="993" spans="1:32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9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</row>
    <row r="994" spans="1:32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9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</row>
    <row r="995" spans="1:32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9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</row>
    <row r="996" spans="1:32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9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</row>
    <row r="997" spans="1:32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9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</row>
    <row r="998" spans="1:32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9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</row>
    <row r="999" spans="1:32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9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</row>
    <row r="1000" spans="1:32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9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</row>
    <row r="1001" spans="1:32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9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</row>
    <row r="1002" spans="1:32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9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</row>
    <row r="1003" spans="1:32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9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</row>
    <row r="1004" spans="1:32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9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</row>
    <row r="1005" spans="1:32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9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</row>
    <row r="1006" spans="1:32" x14ac:dyDescent="0.2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9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</row>
    <row r="1007" spans="1:32" x14ac:dyDescent="0.2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9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</row>
    <row r="1008" spans="1:32" x14ac:dyDescent="0.2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9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</row>
    <row r="1009" spans="1:32" x14ac:dyDescent="0.2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9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</row>
    <row r="1010" spans="1:32" x14ac:dyDescent="0.2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9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</row>
    <row r="1011" spans="1:32" x14ac:dyDescent="0.2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9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</row>
    <row r="1012" spans="1:32" x14ac:dyDescent="0.2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9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</row>
    <row r="1013" spans="1:32" x14ac:dyDescent="0.2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9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</row>
    <row r="1014" spans="1:32" x14ac:dyDescent="0.2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9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</row>
    <row r="1015" spans="1:32" x14ac:dyDescent="0.2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9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</row>
    <row r="1016" spans="1:32" x14ac:dyDescent="0.2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9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</row>
    <row r="1017" spans="1:32" x14ac:dyDescent="0.2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9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</row>
    <row r="1018" spans="1:32" x14ac:dyDescent="0.2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9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</row>
    <row r="1019" spans="1:32" x14ac:dyDescent="0.2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9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</row>
    <row r="1020" spans="1:32" x14ac:dyDescent="0.2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9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</row>
    <row r="1021" spans="1:32" x14ac:dyDescent="0.2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9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</row>
    <row r="1022" spans="1:32" x14ac:dyDescent="0.25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9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</row>
    <row r="1023" spans="1:32" x14ac:dyDescent="0.25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9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</row>
    <row r="1024" spans="1:32" x14ac:dyDescent="0.25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9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</row>
    <row r="1025" spans="1:32" x14ac:dyDescent="0.25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9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</row>
    <row r="1026" spans="1:32" x14ac:dyDescent="0.25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9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</row>
    <row r="1027" spans="1:32" x14ac:dyDescent="0.25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9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</row>
    <row r="1028" spans="1:32" x14ac:dyDescent="0.25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9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</row>
    <row r="1029" spans="1:32" x14ac:dyDescent="0.25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9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</row>
    <row r="1030" spans="1:32" x14ac:dyDescent="0.25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9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</row>
    <row r="1031" spans="1:32" x14ac:dyDescent="0.25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9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</row>
    <row r="1032" spans="1:32" x14ac:dyDescent="0.25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9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</row>
    <row r="1033" spans="1:32" x14ac:dyDescent="0.25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9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</row>
    <row r="1034" spans="1:32" x14ac:dyDescent="0.25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9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</row>
    <row r="1035" spans="1:32" x14ac:dyDescent="0.2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9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</row>
    <row r="1036" spans="1:32" x14ac:dyDescent="0.25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9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</row>
    <row r="1037" spans="1:32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9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</row>
  </sheetData>
  <autoFilter ref="A1:N62" xr:uid="{00000000-0009-0000-0000-000000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47"/>
  <sheetViews>
    <sheetView workbookViewId="0">
      <pane xSplit="3" ySplit="1" topLeftCell="N2" activePane="bottomRight" state="frozen"/>
      <selection pane="topRight" activeCell="D1" sqref="D1"/>
      <selection pane="bottomLeft" activeCell="A2" sqref="A2"/>
      <selection pane="bottomRight" activeCell="P58" sqref="P58"/>
    </sheetView>
  </sheetViews>
  <sheetFormatPr defaultColWidth="12.7109375" defaultRowHeight="15" customHeight="1" x14ac:dyDescent="0.25"/>
  <cols>
    <col min="1" max="1" width="52.140625" customWidth="1"/>
    <col min="2" max="2" width="22" customWidth="1"/>
    <col min="3" max="3" width="30.140625" customWidth="1"/>
    <col min="4" max="4" width="14.140625" customWidth="1"/>
    <col min="5" max="5" width="12.85546875" customWidth="1"/>
    <col min="6" max="6" width="14.140625" customWidth="1"/>
    <col min="7" max="7" width="13.28515625" customWidth="1"/>
    <col min="8" max="8" width="14.140625" customWidth="1"/>
    <col min="9" max="9" width="13.140625" customWidth="1"/>
    <col min="10" max="10" width="14" customWidth="1"/>
    <col min="11" max="11" width="13.140625" customWidth="1"/>
    <col min="12" max="14" width="14.140625" customWidth="1"/>
    <col min="15" max="15" width="15.140625" customWidth="1"/>
    <col min="16" max="16" width="56" customWidth="1"/>
    <col min="17" max="34" width="28.7109375" customWidth="1"/>
  </cols>
  <sheetData>
    <row r="1" spans="1:34" ht="38.25" x14ac:dyDescent="0.25">
      <c r="A1" s="33" t="s">
        <v>0</v>
      </c>
      <c r="B1" s="33"/>
      <c r="C1" s="33" t="s">
        <v>100</v>
      </c>
      <c r="D1" s="2" t="s">
        <v>101</v>
      </c>
      <c r="E1" s="2" t="s">
        <v>102</v>
      </c>
      <c r="F1" s="33" t="s">
        <v>103</v>
      </c>
      <c r="G1" s="33" t="s">
        <v>104</v>
      </c>
      <c r="H1" s="33" t="s">
        <v>105</v>
      </c>
      <c r="I1" s="33" t="s">
        <v>106</v>
      </c>
      <c r="J1" s="34" t="s">
        <v>107</v>
      </c>
      <c r="K1" s="33" t="s">
        <v>108</v>
      </c>
      <c r="L1" s="33" t="s">
        <v>109</v>
      </c>
      <c r="M1" s="33" t="s">
        <v>110</v>
      </c>
      <c r="N1" s="33" t="s">
        <v>111</v>
      </c>
      <c r="O1" s="88" t="s">
        <v>112</v>
      </c>
      <c r="P1" s="35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5" customHeight="1" x14ac:dyDescent="0.25">
      <c r="A2" s="36" t="s">
        <v>13</v>
      </c>
      <c r="B2" s="37" t="s">
        <v>113</v>
      </c>
      <c r="C2" s="37" t="s">
        <v>114</v>
      </c>
      <c r="D2" s="38">
        <v>0</v>
      </c>
      <c r="E2" s="38">
        <v>0</v>
      </c>
      <c r="F2" s="38">
        <v>0</v>
      </c>
      <c r="G2" s="38">
        <v>1.1000000000000001</v>
      </c>
      <c r="H2" s="38">
        <v>0</v>
      </c>
      <c r="I2" s="38">
        <v>1.7</v>
      </c>
      <c r="J2" s="38">
        <v>0</v>
      </c>
      <c r="K2" s="38">
        <v>2.2999999999999998</v>
      </c>
      <c r="L2" s="38">
        <v>0</v>
      </c>
      <c r="M2" s="38">
        <v>2.4</v>
      </c>
      <c r="N2" s="38">
        <v>0</v>
      </c>
      <c r="O2" s="92">
        <v>0.6</v>
      </c>
      <c r="P2" s="9"/>
      <c r="Q2" s="39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ht="15" customHeight="1" x14ac:dyDescent="0.25">
      <c r="A3" s="36" t="s">
        <v>13</v>
      </c>
      <c r="B3" s="37" t="s">
        <v>113</v>
      </c>
      <c r="C3" s="37" t="s">
        <v>115</v>
      </c>
      <c r="D3" s="40">
        <v>0</v>
      </c>
      <c r="E3" s="40">
        <v>0</v>
      </c>
      <c r="F3" s="40">
        <v>0</v>
      </c>
      <c r="G3" s="40">
        <v>0</v>
      </c>
      <c r="H3" s="40">
        <v>0</v>
      </c>
      <c r="I3" s="40">
        <v>0</v>
      </c>
      <c r="J3" s="40">
        <v>0</v>
      </c>
      <c r="K3" s="40">
        <v>0</v>
      </c>
      <c r="L3" s="40">
        <v>0</v>
      </c>
      <c r="M3" s="40">
        <v>0</v>
      </c>
      <c r="N3" s="40">
        <v>0</v>
      </c>
      <c r="O3" s="89"/>
      <c r="P3" s="9"/>
      <c r="Q3" s="39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5" customHeight="1" x14ac:dyDescent="0.25">
      <c r="A4" s="36" t="s">
        <v>13</v>
      </c>
      <c r="B4" s="37" t="s">
        <v>116</v>
      </c>
      <c r="C4" s="37" t="s">
        <v>114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  <c r="K4" s="40">
        <f>1.107147+0.178845+0.081867+0.131231</f>
        <v>1.4990899999999998</v>
      </c>
      <c r="L4" s="40">
        <v>0</v>
      </c>
      <c r="M4" s="40">
        <f>2.36613+0.406292+0.127142+0.206851</f>
        <v>3.1064150000000001</v>
      </c>
      <c r="N4" s="40">
        <v>0</v>
      </c>
      <c r="O4" s="89"/>
      <c r="P4" s="9"/>
      <c r="Q4" s="39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5" customHeight="1" x14ac:dyDescent="0.25">
      <c r="A5" s="33" t="s">
        <v>13</v>
      </c>
      <c r="B5" s="41" t="s">
        <v>116</v>
      </c>
      <c r="C5" s="41" t="s">
        <v>115</v>
      </c>
      <c r="D5" s="42">
        <v>0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90"/>
      <c r="P5" s="9"/>
      <c r="Q5" s="39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15" customHeight="1" x14ac:dyDescent="0.25">
      <c r="A6" s="36" t="s">
        <v>21</v>
      </c>
      <c r="B6" s="37" t="s">
        <v>113</v>
      </c>
      <c r="C6" s="37" t="s">
        <v>114</v>
      </c>
      <c r="D6" s="43">
        <v>1</v>
      </c>
      <c r="E6" s="43">
        <v>2.2000000000000002</v>
      </c>
      <c r="F6" s="43">
        <v>1.5</v>
      </c>
      <c r="G6" s="43">
        <v>4.8</v>
      </c>
      <c r="H6" s="38">
        <v>1.5</v>
      </c>
      <c r="I6" s="38">
        <v>11</v>
      </c>
      <c r="J6" s="38">
        <v>1.5</v>
      </c>
      <c r="K6" s="38">
        <v>13.8</v>
      </c>
      <c r="L6" s="38">
        <v>1.5</v>
      </c>
      <c r="M6" s="38">
        <v>18.5</v>
      </c>
      <c r="N6" s="38">
        <v>1.5</v>
      </c>
      <c r="O6" s="92">
        <v>20</v>
      </c>
      <c r="P6" s="9"/>
      <c r="Q6" s="39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5" customHeight="1" x14ac:dyDescent="0.25">
      <c r="A7" s="36" t="s">
        <v>21</v>
      </c>
      <c r="B7" s="37" t="s">
        <v>113</v>
      </c>
      <c r="C7" s="37" t="s">
        <v>115</v>
      </c>
      <c r="D7" s="44">
        <v>0</v>
      </c>
      <c r="E7" s="45">
        <v>0</v>
      </c>
      <c r="F7" s="44">
        <v>0</v>
      </c>
      <c r="G7" s="45">
        <v>0</v>
      </c>
      <c r="H7" s="44">
        <v>0</v>
      </c>
      <c r="I7" s="46">
        <v>0.2</v>
      </c>
      <c r="J7" s="44">
        <v>0</v>
      </c>
      <c r="K7" s="40">
        <v>0</v>
      </c>
      <c r="L7" s="44">
        <v>0</v>
      </c>
      <c r="M7" s="40">
        <v>1.1000000000000001</v>
      </c>
      <c r="N7" s="40">
        <v>0</v>
      </c>
      <c r="O7" s="89"/>
      <c r="P7" s="9"/>
      <c r="Q7" s="39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ht="15" customHeight="1" x14ac:dyDescent="0.25">
      <c r="A8" s="36" t="s">
        <v>21</v>
      </c>
      <c r="B8" s="37" t="s">
        <v>116</v>
      </c>
      <c r="C8" s="37" t="s">
        <v>114</v>
      </c>
      <c r="D8" s="38">
        <v>1.9</v>
      </c>
      <c r="E8" s="38">
        <v>0.57977400000000001</v>
      </c>
      <c r="F8" s="38">
        <v>2</v>
      </c>
      <c r="G8" s="38">
        <f>0.549427+0.793777</f>
        <v>1.3432040000000001</v>
      </c>
      <c r="H8" s="40">
        <v>2</v>
      </c>
      <c r="I8" s="40">
        <f>0.420236+3.382461</f>
        <v>3.8026970000000002</v>
      </c>
      <c r="J8" s="40">
        <v>2</v>
      </c>
      <c r="K8" s="40">
        <f>0.38957+7.112153</f>
        <v>7.5017230000000001</v>
      </c>
      <c r="L8" s="40">
        <v>2.1</v>
      </c>
      <c r="M8" s="40">
        <f>2.469613+0.72192+0.157516</f>
        <v>3.3490489999999999</v>
      </c>
      <c r="N8" s="40">
        <v>2.1</v>
      </c>
      <c r="O8" s="89">
        <v>13.5</v>
      </c>
      <c r="P8" s="9"/>
      <c r="Q8" s="39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15" customHeight="1" x14ac:dyDescent="0.25">
      <c r="A9" s="33" t="s">
        <v>21</v>
      </c>
      <c r="B9" s="41" t="s">
        <v>116</v>
      </c>
      <c r="C9" s="41" t="s">
        <v>115</v>
      </c>
      <c r="D9" s="42">
        <v>0.1</v>
      </c>
      <c r="E9" s="42">
        <v>0.45674999999999999</v>
      </c>
      <c r="F9" s="42">
        <v>0.1</v>
      </c>
      <c r="G9" s="42">
        <f>0.727743+0.019155</f>
        <v>0.74689800000000006</v>
      </c>
      <c r="H9" s="42">
        <v>0.1</v>
      </c>
      <c r="I9" s="42">
        <f>0.42152</f>
        <v>0.42152000000000001</v>
      </c>
      <c r="J9" s="42">
        <v>0.1</v>
      </c>
      <c r="K9" s="42">
        <f>0.392752</f>
        <v>0.39275199999999999</v>
      </c>
      <c r="L9" s="42">
        <v>0.1</v>
      </c>
      <c r="M9" s="42">
        <f>0.21808+0.194047+0.512689</f>
        <v>0.92481599999999997</v>
      </c>
      <c r="N9" s="42">
        <v>0.1</v>
      </c>
      <c r="O9" s="90">
        <v>1</v>
      </c>
      <c r="P9" s="9"/>
      <c r="Q9" s="39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ht="15" customHeight="1" x14ac:dyDescent="0.25">
      <c r="A10" s="36" t="s">
        <v>33</v>
      </c>
      <c r="B10" s="37" t="s">
        <v>116</v>
      </c>
      <c r="C10" s="37" t="s">
        <v>114</v>
      </c>
      <c r="D10" s="40">
        <v>1.5</v>
      </c>
      <c r="E10" s="40">
        <v>1.329731</v>
      </c>
      <c r="F10" s="40">
        <v>1.3</v>
      </c>
      <c r="G10" s="40">
        <v>2.7858360000000002</v>
      </c>
      <c r="H10" s="40">
        <v>1.3</v>
      </c>
      <c r="I10" s="40">
        <v>2.653273</v>
      </c>
      <c r="J10" s="40">
        <v>1.3</v>
      </c>
      <c r="K10" s="40">
        <v>2.0154649999999998</v>
      </c>
      <c r="L10" s="40">
        <v>1.3</v>
      </c>
      <c r="M10" s="40">
        <v>3.0640160000000001</v>
      </c>
      <c r="N10" s="40">
        <v>1.3</v>
      </c>
      <c r="O10" s="89">
        <v>3.6</v>
      </c>
      <c r="P10" s="9"/>
      <c r="Q10" s="39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5" customHeight="1" x14ac:dyDescent="0.25">
      <c r="A11" s="33" t="s">
        <v>33</v>
      </c>
      <c r="B11" s="41" t="s">
        <v>116</v>
      </c>
      <c r="C11" s="41" t="s">
        <v>115</v>
      </c>
      <c r="D11" s="42">
        <v>0.3</v>
      </c>
      <c r="E11" s="42">
        <v>0.238814</v>
      </c>
      <c r="F11" s="42">
        <v>0.3</v>
      </c>
      <c r="G11" s="42">
        <f>0.148153</f>
        <v>0.14815300000000001</v>
      </c>
      <c r="H11" s="42">
        <v>0.3</v>
      </c>
      <c r="I11" s="42">
        <v>0.102936</v>
      </c>
      <c r="J11" s="42">
        <v>0.3</v>
      </c>
      <c r="K11" s="42">
        <f>0.155051</f>
        <v>0.15505099999999999</v>
      </c>
      <c r="L11" s="42">
        <v>0.3</v>
      </c>
      <c r="M11" s="42">
        <f>0.273834</f>
        <v>0.27383400000000002</v>
      </c>
      <c r="N11" s="42">
        <v>0.3</v>
      </c>
      <c r="O11" s="90">
        <v>0.3</v>
      </c>
      <c r="P11" s="9"/>
      <c r="Q11" s="39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15" customHeight="1" x14ac:dyDescent="0.25">
      <c r="A12" s="36" t="s">
        <v>41</v>
      </c>
      <c r="B12" s="37" t="s">
        <v>113</v>
      </c>
      <c r="C12" s="37" t="s">
        <v>114</v>
      </c>
      <c r="D12" s="38">
        <v>0.2</v>
      </c>
      <c r="E12" s="38">
        <v>0</v>
      </c>
      <c r="F12" s="38">
        <v>0.2</v>
      </c>
      <c r="G12" s="38">
        <v>0.1</v>
      </c>
      <c r="H12" s="38">
        <v>0.2</v>
      </c>
      <c r="I12" s="38">
        <v>0.6</v>
      </c>
      <c r="J12" s="38">
        <v>0.2</v>
      </c>
      <c r="K12" s="38">
        <v>1.3</v>
      </c>
      <c r="L12" s="38">
        <v>0.2</v>
      </c>
      <c r="M12" s="38">
        <v>0.4</v>
      </c>
      <c r="N12" s="38">
        <v>0.2</v>
      </c>
      <c r="O12" s="92">
        <v>0.5</v>
      </c>
      <c r="P12" s="9"/>
      <c r="Q12" s="39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5" customHeight="1" x14ac:dyDescent="0.25">
      <c r="A13" s="36" t="s">
        <v>41</v>
      </c>
      <c r="B13" s="37" t="s">
        <v>113</v>
      </c>
      <c r="C13" s="37" t="s">
        <v>115</v>
      </c>
      <c r="D13" s="45">
        <v>0</v>
      </c>
      <c r="E13" s="40">
        <v>0</v>
      </c>
      <c r="F13" s="45">
        <v>0</v>
      </c>
      <c r="G13" s="45">
        <v>0</v>
      </c>
      <c r="H13" s="40">
        <v>0</v>
      </c>
      <c r="I13" s="40">
        <v>0</v>
      </c>
      <c r="J13" s="40">
        <v>0</v>
      </c>
      <c r="K13" s="40">
        <v>0.1</v>
      </c>
      <c r="L13" s="40">
        <v>0</v>
      </c>
      <c r="M13" s="40">
        <v>0</v>
      </c>
      <c r="N13" s="40">
        <v>0</v>
      </c>
      <c r="O13" s="89"/>
      <c r="P13" s="9"/>
      <c r="Q13" s="39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15" customHeight="1" x14ac:dyDescent="0.25">
      <c r="A14" s="36" t="s">
        <v>41</v>
      </c>
      <c r="B14" s="37" t="s">
        <v>116</v>
      </c>
      <c r="C14" s="37" t="s">
        <v>114</v>
      </c>
      <c r="D14" s="47">
        <v>0.1</v>
      </c>
      <c r="E14" s="47">
        <v>0</v>
      </c>
      <c r="F14" s="47">
        <v>0.4</v>
      </c>
      <c r="G14" s="47">
        <f>0.25515</f>
        <v>0.25514999999999999</v>
      </c>
      <c r="H14" s="47">
        <v>0.4</v>
      </c>
      <c r="I14" s="47">
        <f>0.2961+0.045</f>
        <v>0.34109999999999996</v>
      </c>
      <c r="J14" s="47">
        <v>0.4</v>
      </c>
      <c r="K14" s="47">
        <f>0.251958-0.045</f>
        <v>0.20695800000000003</v>
      </c>
      <c r="L14" s="47">
        <v>0.4</v>
      </c>
      <c r="M14" s="47">
        <f>0.054066</f>
        <v>5.4066000000000003E-2</v>
      </c>
      <c r="N14" s="47">
        <v>0.4</v>
      </c>
      <c r="O14" s="91">
        <v>0.5</v>
      </c>
      <c r="P14" s="9"/>
      <c r="Q14" s="39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" customHeight="1" x14ac:dyDescent="0.25">
      <c r="A15" s="33" t="s">
        <v>41</v>
      </c>
      <c r="B15" s="41" t="s">
        <v>116</v>
      </c>
      <c r="C15" s="41" t="s">
        <v>115</v>
      </c>
      <c r="D15" s="42">
        <v>0</v>
      </c>
      <c r="E15" s="42">
        <v>0</v>
      </c>
      <c r="F15" s="42">
        <v>0.1</v>
      </c>
      <c r="G15" s="42">
        <v>0</v>
      </c>
      <c r="H15" s="42">
        <v>0.1</v>
      </c>
      <c r="I15" s="42">
        <v>0</v>
      </c>
      <c r="J15" s="42">
        <v>0.1</v>
      </c>
      <c r="K15" s="42">
        <v>0</v>
      </c>
      <c r="L15" s="42">
        <v>0.1</v>
      </c>
      <c r="M15" s="42">
        <v>0</v>
      </c>
      <c r="N15" s="42">
        <v>0.1</v>
      </c>
      <c r="O15" s="90">
        <v>0</v>
      </c>
      <c r="P15" s="9"/>
      <c r="Q15" s="39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5" customHeight="1" x14ac:dyDescent="0.25">
      <c r="A16" s="36" t="s">
        <v>46</v>
      </c>
      <c r="B16" s="37" t="s">
        <v>113</v>
      </c>
      <c r="C16" s="37" t="s">
        <v>117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92"/>
      <c r="P16" s="9"/>
      <c r="Q16" s="39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15" customHeight="1" x14ac:dyDescent="0.25">
      <c r="A17" s="36" t="s">
        <v>46</v>
      </c>
      <c r="B17" s="37" t="s">
        <v>113</v>
      </c>
      <c r="C17" s="37" t="s">
        <v>118</v>
      </c>
      <c r="D17" s="40">
        <v>0</v>
      </c>
      <c r="E17" s="40">
        <v>2.1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89"/>
      <c r="P17" s="9"/>
      <c r="Q17" s="39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15" customHeight="1" x14ac:dyDescent="0.25">
      <c r="A18" s="36" t="s">
        <v>46</v>
      </c>
      <c r="B18" s="37" t="s">
        <v>113</v>
      </c>
      <c r="C18" s="37" t="s">
        <v>119</v>
      </c>
      <c r="D18" s="47">
        <v>9.6</v>
      </c>
      <c r="E18" s="47">
        <v>3.5</v>
      </c>
      <c r="F18" s="47">
        <v>10</v>
      </c>
      <c r="G18" s="47">
        <v>4.5999999999999996</v>
      </c>
      <c r="H18" s="47">
        <v>20</v>
      </c>
      <c r="I18" s="47">
        <v>20.6</v>
      </c>
      <c r="J18" s="47">
        <v>15</v>
      </c>
      <c r="K18" s="47">
        <v>21.1</v>
      </c>
      <c r="L18" s="47">
        <v>5.9</v>
      </c>
      <c r="M18" s="47">
        <v>23.5</v>
      </c>
      <c r="N18" s="47">
        <v>0</v>
      </c>
      <c r="O18" s="91">
        <v>50</v>
      </c>
      <c r="P18" s="9"/>
      <c r="Q18" s="39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15" customHeight="1" x14ac:dyDescent="0.25">
      <c r="A19" s="36" t="s">
        <v>46</v>
      </c>
      <c r="B19" s="37" t="s">
        <v>113</v>
      </c>
      <c r="C19" s="48" t="s">
        <v>120</v>
      </c>
      <c r="D19" s="49">
        <f t="shared" ref="D19:N19" si="0">SUM(D16:D18)</f>
        <v>9.6</v>
      </c>
      <c r="E19" s="49">
        <f t="shared" si="0"/>
        <v>5.6</v>
      </c>
      <c r="F19" s="49">
        <f t="shared" si="0"/>
        <v>10</v>
      </c>
      <c r="G19" s="49">
        <f t="shared" si="0"/>
        <v>4.5999999999999996</v>
      </c>
      <c r="H19" s="49">
        <f t="shared" si="0"/>
        <v>20</v>
      </c>
      <c r="I19" s="49">
        <f t="shared" si="0"/>
        <v>20.6</v>
      </c>
      <c r="J19" s="49">
        <f t="shared" si="0"/>
        <v>15</v>
      </c>
      <c r="K19" s="49">
        <f t="shared" si="0"/>
        <v>21.1</v>
      </c>
      <c r="L19" s="49">
        <f t="shared" si="0"/>
        <v>5.9</v>
      </c>
      <c r="M19" s="49">
        <f t="shared" si="0"/>
        <v>23.5</v>
      </c>
      <c r="N19" s="49">
        <f t="shared" si="0"/>
        <v>0</v>
      </c>
      <c r="O19" s="98">
        <v>50</v>
      </c>
      <c r="P19" s="9"/>
      <c r="Q19" s="39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15" customHeight="1" x14ac:dyDescent="0.25">
      <c r="A20" s="36" t="s">
        <v>46</v>
      </c>
      <c r="B20" s="37" t="s">
        <v>113</v>
      </c>
      <c r="C20" s="37" t="s">
        <v>121</v>
      </c>
      <c r="D20" s="38">
        <v>10</v>
      </c>
      <c r="E20" s="38">
        <v>3</v>
      </c>
      <c r="F20" s="38">
        <v>24.7</v>
      </c>
      <c r="G20" s="38">
        <v>4.9000000000000004</v>
      </c>
      <c r="H20" s="38">
        <v>20</v>
      </c>
      <c r="I20" s="38">
        <v>31.5</v>
      </c>
      <c r="J20" s="38">
        <v>20</v>
      </c>
      <c r="K20" s="38">
        <v>32.200000000000003</v>
      </c>
      <c r="L20" s="38">
        <v>10</v>
      </c>
      <c r="M20" s="38">
        <v>76.599999999999994</v>
      </c>
      <c r="N20" s="38">
        <v>10</v>
      </c>
      <c r="O20" s="92"/>
      <c r="P20" s="9"/>
      <c r="Q20" s="39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ht="15" customHeight="1" x14ac:dyDescent="0.25">
      <c r="A21" s="36" t="s">
        <v>46</v>
      </c>
      <c r="B21" s="37" t="s">
        <v>113</v>
      </c>
      <c r="C21" s="37" t="s">
        <v>122</v>
      </c>
      <c r="D21" s="40">
        <v>10</v>
      </c>
      <c r="E21" s="40">
        <v>5.3</v>
      </c>
      <c r="F21" s="40">
        <v>10</v>
      </c>
      <c r="G21" s="40">
        <v>0.1</v>
      </c>
      <c r="H21" s="40">
        <v>6</v>
      </c>
      <c r="I21" s="40">
        <v>4.7</v>
      </c>
      <c r="J21" s="40">
        <v>2.7</v>
      </c>
      <c r="K21" s="40">
        <v>15.5</v>
      </c>
      <c r="L21" s="40">
        <v>10</v>
      </c>
      <c r="M21" s="40">
        <v>36</v>
      </c>
      <c r="N21" s="40">
        <v>10</v>
      </c>
      <c r="O21" s="89"/>
      <c r="P21" s="9"/>
      <c r="Q21" s="39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5" customHeight="1" x14ac:dyDescent="0.25">
      <c r="A22" s="36" t="s">
        <v>46</v>
      </c>
      <c r="B22" s="37" t="s">
        <v>113</v>
      </c>
      <c r="C22" s="37" t="s">
        <v>123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91"/>
      <c r="P22" s="9"/>
      <c r="Q22" s="39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15" customHeight="1" x14ac:dyDescent="0.25">
      <c r="A23" s="36" t="s">
        <v>46</v>
      </c>
      <c r="B23" s="37" t="s">
        <v>113</v>
      </c>
      <c r="C23" s="48" t="s">
        <v>124</v>
      </c>
      <c r="D23" s="50">
        <f t="shared" ref="D23:N23" si="1">SUM(D20:D22)</f>
        <v>20</v>
      </c>
      <c r="E23" s="49">
        <f t="shared" si="1"/>
        <v>8.3000000000000007</v>
      </c>
      <c r="F23" s="49">
        <f t="shared" si="1"/>
        <v>34.700000000000003</v>
      </c>
      <c r="G23" s="49">
        <f t="shared" si="1"/>
        <v>5</v>
      </c>
      <c r="H23" s="49">
        <f t="shared" si="1"/>
        <v>26</v>
      </c>
      <c r="I23" s="49">
        <f t="shared" si="1"/>
        <v>36.200000000000003</v>
      </c>
      <c r="J23" s="49">
        <f t="shared" si="1"/>
        <v>22.7</v>
      </c>
      <c r="K23" s="49">
        <f t="shared" si="1"/>
        <v>47.7</v>
      </c>
      <c r="L23" s="49">
        <f t="shared" si="1"/>
        <v>20</v>
      </c>
      <c r="M23" s="49">
        <f t="shared" si="1"/>
        <v>112.6</v>
      </c>
      <c r="N23" s="51">
        <f t="shared" si="1"/>
        <v>20</v>
      </c>
      <c r="O23" s="99">
        <v>85</v>
      </c>
      <c r="P23" s="9"/>
      <c r="Q23" s="39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15" customHeight="1" x14ac:dyDescent="0.25">
      <c r="A24" s="36" t="s">
        <v>46</v>
      </c>
      <c r="B24" s="37" t="s">
        <v>113</v>
      </c>
      <c r="C24" s="48" t="s">
        <v>125</v>
      </c>
      <c r="D24" s="52">
        <f t="shared" ref="D24:M24" si="2">D23+D19</f>
        <v>29.6</v>
      </c>
      <c r="E24" s="53">
        <f t="shared" si="2"/>
        <v>13.9</v>
      </c>
      <c r="F24" s="53">
        <f t="shared" si="2"/>
        <v>44.7</v>
      </c>
      <c r="G24" s="53">
        <f t="shared" si="2"/>
        <v>9.6</v>
      </c>
      <c r="H24" s="53">
        <f t="shared" si="2"/>
        <v>46</v>
      </c>
      <c r="I24" s="53">
        <f t="shared" si="2"/>
        <v>56.800000000000004</v>
      </c>
      <c r="J24" s="53">
        <f t="shared" si="2"/>
        <v>37.700000000000003</v>
      </c>
      <c r="K24" s="53">
        <f t="shared" si="2"/>
        <v>68.800000000000011</v>
      </c>
      <c r="L24" s="53">
        <f t="shared" si="2"/>
        <v>25.9</v>
      </c>
      <c r="M24" s="53">
        <f t="shared" si="2"/>
        <v>136.1</v>
      </c>
      <c r="N24" s="54">
        <v>20</v>
      </c>
      <c r="O24" s="100"/>
      <c r="P24" s="9"/>
      <c r="Q24" s="39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5" customHeight="1" x14ac:dyDescent="0.25">
      <c r="A25" s="36" t="s">
        <v>46</v>
      </c>
      <c r="B25" s="37" t="s">
        <v>113</v>
      </c>
      <c r="C25" s="37" t="s">
        <v>114</v>
      </c>
      <c r="D25" s="38">
        <v>3.2</v>
      </c>
      <c r="E25" s="38">
        <v>3.8</v>
      </c>
      <c r="F25" s="38">
        <v>3</v>
      </c>
      <c r="G25" s="38">
        <v>4.7</v>
      </c>
      <c r="H25" s="38">
        <v>2.2999999999999998</v>
      </c>
      <c r="I25" s="38">
        <v>3</v>
      </c>
      <c r="J25" s="38">
        <v>1</v>
      </c>
      <c r="K25" s="38">
        <v>7.1</v>
      </c>
      <c r="L25" s="38">
        <v>0.2</v>
      </c>
      <c r="M25" s="38">
        <f>12.1+4.1</f>
        <v>16.2</v>
      </c>
      <c r="N25" s="38">
        <v>0.3</v>
      </c>
      <c r="O25" s="92"/>
      <c r="P25" s="9"/>
      <c r="Q25" s="39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5" customHeight="1" x14ac:dyDescent="0.25">
      <c r="A26" s="36" t="s">
        <v>46</v>
      </c>
      <c r="B26" s="37" t="s">
        <v>113</v>
      </c>
      <c r="C26" s="37" t="s">
        <v>115</v>
      </c>
      <c r="D26" s="38">
        <v>0</v>
      </c>
      <c r="E26" s="38">
        <v>2.2000000000000002</v>
      </c>
      <c r="F26" s="38">
        <v>0</v>
      </c>
      <c r="G26" s="38">
        <v>1</v>
      </c>
      <c r="H26" s="38">
        <v>0</v>
      </c>
      <c r="I26" s="38">
        <v>1.1000000000000001</v>
      </c>
      <c r="J26" s="38">
        <v>0</v>
      </c>
      <c r="K26" s="38">
        <v>1.2</v>
      </c>
      <c r="L26" s="38">
        <v>0</v>
      </c>
      <c r="M26" s="38">
        <v>1.2</v>
      </c>
      <c r="N26" s="38">
        <v>0</v>
      </c>
      <c r="O26" s="92"/>
      <c r="P26" s="9"/>
      <c r="Q26" s="39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5" customHeight="1" x14ac:dyDescent="0.25">
      <c r="A27" s="36" t="s">
        <v>46</v>
      </c>
      <c r="B27" s="37" t="s">
        <v>116</v>
      </c>
      <c r="C27" s="37" t="s">
        <v>114</v>
      </c>
      <c r="D27" s="38">
        <v>0</v>
      </c>
      <c r="E27" s="38">
        <v>0</v>
      </c>
      <c r="F27" s="38">
        <v>0.2</v>
      </c>
      <c r="G27" s="38">
        <v>0</v>
      </c>
      <c r="H27" s="38">
        <v>0.1</v>
      </c>
      <c r="I27" s="38">
        <v>0.1032608</v>
      </c>
      <c r="J27" s="38">
        <v>0.1</v>
      </c>
      <c r="K27" s="38">
        <f>0.1841</f>
        <v>0.18410000000000001</v>
      </c>
      <c r="L27" s="38">
        <v>0.1</v>
      </c>
      <c r="M27" s="38">
        <f>0.536426+0.00006</f>
        <v>0.53648599999999991</v>
      </c>
      <c r="N27" s="38">
        <v>0.1</v>
      </c>
      <c r="O27" s="92"/>
      <c r="P27" s="9"/>
      <c r="Q27" s="39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5" customHeight="1" x14ac:dyDescent="0.25">
      <c r="A28" s="36" t="s">
        <v>46</v>
      </c>
      <c r="B28" s="37" t="s">
        <v>116</v>
      </c>
      <c r="C28" s="37" t="s">
        <v>115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91"/>
      <c r="P28" s="9"/>
      <c r="Q28" s="39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5" customHeight="1" x14ac:dyDescent="0.25">
      <c r="A29" s="55" t="s">
        <v>64</v>
      </c>
      <c r="B29" s="56" t="s">
        <v>113</v>
      </c>
      <c r="C29" s="56" t="s">
        <v>114</v>
      </c>
      <c r="D29" s="57">
        <v>0.44500000000000001</v>
      </c>
      <c r="E29" s="58">
        <v>1.4</v>
      </c>
      <c r="F29" s="58">
        <v>0.24</v>
      </c>
      <c r="G29" s="58">
        <v>0.9</v>
      </c>
      <c r="H29" s="58">
        <v>0.15</v>
      </c>
      <c r="I29" s="58">
        <v>2.6</v>
      </c>
      <c r="J29" s="58">
        <v>0.112</v>
      </c>
      <c r="K29" s="58">
        <v>1.4</v>
      </c>
      <c r="L29" s="58">
        <v>0</v>
      </c>
      <c r="M29" s="58">
        <v>1.7</v>
      </c>
      <c r="N29" s="59">
        <v>0</v>
      </c>
      <c r="O29" s="101">
        <v>0.3</v>
      </c>
      <c r="P29" s="9"/>
      <c r="Q29" s="39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5" customHeight="1" x14ac:dyDescent="0.25">
      <c r="A30" s="55" t="s">
        <v>64</v>
      </c>
      <c r="B30" s="37" t="s">
        <v>113</v>
      </c>
      <c r="C30" s="37" t="s">
        <v>115</v>
      </c>
      <c r="D30" s="45">
        <v>0</v>
      </c>
      <c r="E30" s="45">
        <v>0</v>
      </c>
      <c r="F30" s="45">
        <v>0</v>
      </c>
      <c r="G30" s="40">
        <v>0</v>
      </c>
      <c r="H30" s="46">
        <v>0</v>
      </c>
      <c r="I30" s="40">
        <v>0</v>
      </c>
      <c r="J30" s="45">
        <v>0</v>
      </c>
      <c r="K30" s="40">
        <v>0</v>
      </c>
      <c r="L30" s="40">
        <v>0</v>
      </c>
      <c r="M30" s="40">
        <v>0</v>
      </c>
      <c r="N30" s="60">
        <v>0</v>
      </c>
      <c r="O30" s="93"/>
      <c r="P30" s="9"/>
      <c r="Q30" s="39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5" customHeight="1" x14ac:dyDescent="0.25">
      <c r="A31" s="61" t="s">
        <v>64</v>
      </c>
      <c r="B31" s="37" t="s">
        <v>116</v>
      </c>
      <c r="C31" s="37" t="s">
        <v>114</v>
      </c>
      <c r="D31" s="38">
        <v>0.3</v>
      </c>
      <c r="E31" s="40">
        <v>0.113916</v>
      </c>
      <c r="F31" s="40">
        <v>0.4</v>
      </c>
      <c r="G31" s="40">
        <f>0.242372+0.125918</f>
        <v>0.36829000000000001</v>
      </c>
      <c r="H31" s="40">
        <v>0.4</v>
      </c>
      <c r="I31" s="40">
        <f>0.074748+2.835833+0.257626+0.12957906</f>
        <v>3.2977860600000004</v>
      </c>
      <c r="J31" s="40">
        <v>0.4</v>
      </c>
      <c r="K31" s="40">
        <f>1.980944+0.129959+0.255+0.208327+0.098573</f>
        <v>2.672803</v>
      </c>
      <c r="L31" s="40">
        <v>0.4</v>
      </c>
      <c r="M31" s="40">
        <f>0.121453+0.070981+2.977129+0.293333+0.185014+0.007244+0.22937+0.005478</f>
        <v>3.8900020000000004</v>
      </c>
      <c r="N31" s="60">
        <v>0.3</v>
      </c>
      <c r="O31" s="93">
        <v>0.7</v>
      </c>
      <c r="P31" s="9"/>
      <c r="Q31" s="39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5" customHeight="1" x14ac:dyDescent="0.25">
      <c r="A32" s="61" t="s">
        <v>64</v>
      </c>
      <c r="B32" s="37" t="s">
        <v>116</v>
      </c>
      <c r="C32" s="37" t="s">
        <v>115</v>
      </c>
      <c r="D32" s="40">
        <v>0</v>
      </c>
      <c r="E32" s="40">
        <v>0</v>
      </c>
      <c r="F32" s="40">
        <v>0</v>
      </c>
      <c r="G32" s="40">
        <f>0.008745</f>
        <v>8.7449999999999993E-3</v>
      </c>
      <c r="H32" s="40">
        <v>0</v>
      </c>
      <c r="I32" s="40">
        <f>0.012978</f>
        <v>1.2978E-2</v>
      </c>
      <c r="J32" s="40">
        <v>0</v>
      </c>
      <c r="K32" s="40">
        <v>0</v>
      </c>
      <c r="L32" s="40">
        <v>0</v>
      </c>
      <c r="M32" s="40">
        <v>0</v>
      </c>
      <c r="N32" s="60">
        <v>0</v>
      </c>
      <c r="O32" s="93"/>
      <c r="P32" s="9"/>
      <c r="Q32" s="39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15" customHeight="1" x14ac:dyDescent="0.25">
      <c r="A33" s="36" t="s">
        <v>72</v>
      </c>
      <c r="B33" s="37" t="s">
        <v>113</v>
      </c>
      <c r="C33" s="37" t="s">
        <v>114</v>
      </c>
      <c r="D33" s="62">
        <v>2.8</v>
      </c>
      <c r="E33" s="63">
        <v>2.4</v>
      </c>
      <c r="F33" s="62">
        <v>1</v>
      </c>
      <c r="G33" s="63">
        <v>1.2</v>
      </c>
      <c r="H33" s="38">
        <v>0</v>
      </c>
      <c r="I33" s="64">
        <v>1.2</v>
      </c>
      <c r="J33" s="65">
        <v>0</v>
      </c>
      <c r="K33" s="66">
        <v>5.8</v>
      </c>
      <c r="L33" s="38">
        <v>0</v>
      </c>
      <c r="M33" s="38">
        <v>0.5</v>
      </c>
      <c r="N33" s="38">
        <v>0</v>
      </c>
      <c r="O33" s="92">
        <v>0.5</v>
      </c>
      <c r="P33" s="9"/>
      <c r="Q33" s="39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ht="15" customHeight="1" x14ac:dyDescent="0.25">
      <c r="A34" s="36" t="s">
        <v>72</v>
      </c>
      <c r="B34" s="37" t="s">
        <v>113</v>
      </c>
      <c r="C34" s="37" t="s">
        <v>115</v>
      </c>
      <c r="D34" s="45">
        <v>0</v>
      </c>
      <c r="E34" s="46">
        <v>0</v>
      </c>
      <c r="F34" s="45">
        <v>0</v>
      </c>
      <c r="G34" s="46">
        <v>0</v>
      </c>
      <c r="H34" s="40">
        <v>0</v>
      </c>
      <c r="I34" s="40">
        <v>0</v>
      </c>
      <c r="J34" s="46">
        <v>0</v>
      </c>
      <c r="K34" s="40">
        <v>0</v>
      </c>
      <c r="L34" s="40">
        <v>0</v>
      </c>
      <c r="M34" s="40">
        <v>0</v>
      </c>
      <c r="N34" s="40">
        <v>0</v>
      </c>
      <c r="O34" s="89"/>
      <c r="P34" s="9"/>
      <c r="Q34" s="39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ht="15" customHeight="1" x14ac:dyDescent="0.25">
      <c r="A35" s="36" t="s">
        <v>72</v>
      </c>
      <c r="B35" s="37" t="s">
        <v>116</v>
      </c>
      <c r="C35" s="37" t="s">
        <v>114</v>
      </c>
      <c r="D35" s="47">
        <v>0.2</v>
      </c>
      <c r="E35" s="47">
        <v>0.35716199999999998</v>
      </c>
      <c r="F35" s="47">
        <v>0.2</v>
      </c>
      <c r="G35" s="47">
        <f>0.062121+0.113809</f>
        <v>0.17593</v>
      </c>
      <c r="H35" s="47">
        <v>0.2</v>
      </c>
      <c r="I35" s="47">
        <f>1.124832+0.00758002+0.135164</f>
        <v>1.2675760200000001</v>
      </c>
      <c r="J35" s="47">
        <v>0.2</v>
      </c>
      <c r="K35" s="47">
        <f>0.015949+2.252234+0.045157</f>
        <v>2.3133400000000002</v>
      </c>
      <c r="L35" s="47">
        <v>0.2</v>
      </c>
      <c r="M35" s="47">
        <f>0.069721+0.05248+0.001694+1.239163+0.220343+0.033726+0.013249+0.063865</f>
        <v>1.6942410000000001</v>
      </c>
      <c r="N35" s="47">
        <v>0.2</v>
      </c>
      <c r="O35" s="91"/>
      <c r="P35" s="9"/>
      <c r="Q35" s="39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15" customHeight="1" x14ac:dyDescent="0.25">
      <c r="A36" s="33" t="s">
        <v>72</v>
      </c>
      <c r="B36" s="41" t="s">
        <v>116</v>
      </c>
      <c r="C36" s="41" t="s">
        <v>115</v>
      </c>
      <c r="D36" s="42">
        <v>0</v>
      </c>
      <c r="E36" s="42">
        <v>0</v>
      </c>
      <c r="F36" s="42">
        <v>0</v>
      </c>
      <c r="G36" s="42">
        <f>0.147368</f>
        <v>0.147368</v>
      </c>
      <c r="H36" s="42">
        <v>0</v>
      </c>
      <c r="I36" s="42">
        <f>0.049933</f>
        <v>4.9932999999999998E-2</v>
      </c>
      <c r="J36" s="42">
        <v>0</v>
      </c>
      <c r="K36" s="42">
        <f>0.122465+0.421772</f>
        <v>0.54423699999999997</v>
      </c>
      <c r="L36" s="42">
        <v>0</v>
      </c>
      <c r="M36" s="42">
        <f>0.001701+0.022635+0.005891+0.526369+0.299008</f>
        <v>0.85560400000000003</v>
      </c>
      <c r="N36" s="42">
        <v>0</v>
      </c>
      <c r="O36" s="90">
        <v>0.6</v>
      </c>
      <c r="P36" s="9"/>
      <c r="Q36" s="39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15" customHeight="1" x14ac:dyDescent="0.25">
      <c r="A37" s="36" t="s">
        <v>79</v>
      </c>
      <c r="B37" s="37" t="s">
        <v>113</v>
      </c>
      <c r="C37" s="37" t="s">
        <v>114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92"/>
      <c r="P37" s="9"/>
      <c r="Q37" s="39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15" customHeight="1" x14ac:dyDescent="0.25">
      <c r="A38" s="36" t="s">
        <v>79</v>
      </c>
      <c r="B38" s="37" t="s">
        <v>113</v>
      </c>
      <c r="C38" s="37" t="s">
        <v>115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92"/>
      <c r="P38" s="9"/>
      <c r="Q38" s="39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ht="15" customHeight="1" x14ac:dyDescent="0.25">
      <c r="A39" s="36" t="s">
        <v>79</v>
      </c>
      <c r="B39" s="37" t="s">
        <v>116</v>
      </c>
      <c r="C39" s="37" t="s">
        <v>114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47">
        <f>0.009222</f>
        <v>9.2219999999999993E-3</v>
      </c>
      <c r="L39" s="47">
        <v>0</v>
      </c>
      <c r="M39" s="47">
        <f>0.056594</f>
        <v>5.6593999999999998E-2</v>
      </c>
      <c r="N39" s="47">
        <v>0</v>
      </c>
      <c r="O39" s="91">
        <v>8.1999999999999993</v>
      </c>
      <c r="P39" s="67"/>
      <c r="Q39" s="39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ht="15" customHeight="1" x14ac:dyDescent="0.25">
      <c r="A40" s="33" t="s">
        <v>79</v>
      </c>
      <c r="B40" s="41" t="s">
        <v>116</v>
      </c>
      <c r="C40" s="41" t="s">
        <v>115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90"/>
      <c r="P40" s="9"/>
      <c r="Q40" s="39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5" customHeight="1" x14ac:dyDescent="0.25">
      <c r="A41" s="36" t="s">
        <v>82</v>
      </c>
      <c r="B41" s="37" t="s">
        <v>116</v>
      </c>
      <c r="C41" s="37" t="s">
        <v>114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92"/>
      <c r="P41" s="9"/>
      <c r="Q41" s="39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5" customHeight="1" x14ac:dyDescent="0.25">
      <c r="A42" s="33" t="s">
        <v>82</v>
      </c>
      <c r="B42" s="41" t="s">
        <v>116</v>
      </c>
      <c r="C42" s="41" t="s">
        <v>115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90"/>
      <c r="P42" s="9"/>
      <c r="Q42" s="39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5" customHeight="1" x14ac:dyDescent="0.25">
      <c r="A43" s="36" t="s">
        <v>89</v>
      </c>
      <c r="B43" s="37" t="s">
        <v>113</v>
      </c>
      <c r="C43" s="37" t="s">
        <v>114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1.9</v>
      </c>
      <c r="L43" s="38">
        <v>0</v>
      </c>
      <c r="M43" s="38">
        <v>0</v>
      </c>
      <c r="N43" s="38">
        <v>0</v>
      </c>
      <c r="O43" s="92"/>
      <c r="P43" s="9"/>
      <c r="Q43" s="39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5" customHeight="1" x14ac:dyDescent="0.25">
      <c r="A44" s="36" t="s">
        <v>89</v>
      </c>
      <c r="B44" s="37" t="s">
        <v>113</v>
      </c>
      <c r="C44" s="37" t="s">
        <v>115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40">
        <v>0</v>
      </c>
      <c r="M44" s="40">
        <v>0</v>
      </c>
      <c r="N44" s="40">
        <v>0</v>
      </c>
      <c r="O44" s="89"/>
      <c r="P44" s="9"/>
      <c r="Q44" s="39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5" customHeight="1" x14ac:dyDescent="0.25">
      <c r="A45" s="36" t="s">
        <v>89</v>
      </c>
      <c r="B45" s="37" t="s">
        <v>116</v>
      </c>
      <c r="C45" s="37" t="s">
        <v>114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47">
        <f>0.008062</f>
        <v>8.0619999999999997E-3</v>
      </c>
      <c r="L45" s="47">
        <v>0</v>
      </c>
      <c r="M45" s="47">
        <f>0.006977</f>
        <v>6.9769999999999997E-3</v>
      </c>
      <c r="N45" s="47">
        <v>0</v>
      </c>
      <c r="O45" s="91">
        <v>0</v>
      </c>
      <c r="P45" s="9"/>
      <c r="Q45" s="39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5" customHeight="1" x14ac:dyDescent="0.25">
      <c r="A46" s="33" t="s">
        <v>89</v>
      </c>
      <c r="B46" s="41" t="s">
        <v>116</v>
      </c>
      <c r="C46" s="41" t="s">
        <v>115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90"/>
      <c r="P46" s="9"/>
      <c r="Q46" s="39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5" customHeight="1" x14ac:dyDescent="0.25">
      <c r="A47" s="36" t="s">
        <v>93</v>
      </c>
      <c r="B47" s="37" t="s">
        <v>113</v>
      </c>
      <c r="C47" s="37" t="s">
        <v>114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92"/>
      <c r="P47" s="9"/>
      <c r="Q47" s="39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5" customHeight="1" x14ac:dyDescent="0.25">
      <c r="A48" s="36" t="s">
        <v>93</v>
      </c>
      <c r="B48" s="37" t="s">
        <v>113</v>
      </c>
      <c r="C48" s="37" t="s">
        <v>115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92"/>
      <c r="P48" s="9"/>
      <c r="Q48" s="39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ht="15" customHeight="1" x14ac:dyDescent="0.25">
      <c r="A49" s="36" t="s">
        <v>93</v>
      </c>
      <c r="B49" s="37" t="s">
        <v>116</v>
      </c>
      <c r="C49" s="37" t="s">
        <v>114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1.761072E-2</v>
      </c>
      <c r="J49" s="38">
        <v>0</v>
      </c>
      <c r="K49" s="38">
        <v>0</v>
      </c>
      <c r="L49" s="47">
        <v>0</v>
      </c>
      <c r="M49" s="47">
        <f>0.139261</f>
        <v>0.139261</v>
      </c>
      <c r="N49" s="47">
        <v>0</v>
      </c>
      <c r="O49" s="91">
        <v>0</v>
      </c>
      <c r="P49" s="9"/>
      <c r="Q49" s="39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ht="15" customHeight="1" x14ac:dyDescent="0.25">
      <c r="A50" s="33" t="s">
        <v>93</v>
      </c>
      <c r="B50" s="41" t="s">
        <v>116</v>
      </c>
      <c r="C50" s="41" t="s">
        <v>115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90"/>
      <c r="P50" s="9"/>
      <c r="Q50" s="39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ht="15" customHeight="1" x14ac:dyDescent="0.25">
      <c r="A51" s="36" t="s">
        <v>97</v>
      </c>
      <c r="B51" s="37" t="s">
        <v>113</v>
      </c>
      <c r="C51" s="37" t="s">
        <v>114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92"/>
      <c r="P51" s="9"/>
      <c r="Q51" s="39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ht="15" customHeight="1" x14ac:dyDescent="0.25">
      <c r="A52" s="36" t="s">
        <v>97</v>
      </c>
      <c r="B52" s="37" t="s">
        <v>113</v>
      </c>
      <c r="C52" s="37" t="s">
        <v>115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92"/>
      <c r="P52" s="9"/>
      <c r="Q52" s="39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ht="15" customHeight="1" x14ac:dyDescent="0.25">
      <c r="A53" s="36" t="s">
        <v>97</v>
      </c>
      <c r="B53" s="37" t="s">
        <v>116</v>
      </c>
      <c r="C53" s="37" t="s">
        <v>114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5.6000000000000001E-2</v>
      </c>
      <c r="J53" s="38">
        <v>0</v>
      </c>
      <c r="K53" s="38">
        <f>-0.024994+0.069055</f>
        <v>4.4061000000000003E-2</v>
      </c>
      <c r="L53" s="47">
        <v>0</v>
      </c>
      <c r="M53" s="47">
        <f>0.005474+0.069055</f>
        <v>7.4529000000000012E-2</v>
      </c>
      <c r="N53" s="47">
        <v>0</v>
      </c>
      <c r="O53" s="91">
        <v>0</v>
      </c>
      <c r="P53" s="9"/>
      <c r="Q53" s="39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ht="15" customHeight="1" x14ac:dyDescent="0.25">
      <c r="A54" s="33" t="s">
        <v>97</v>
      </c>
      <c r="B54" s="41" t="s">
        <v>116</v>
      </c>
      <c r="C54" s="41" t="s">
        <v>115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90"/>
      <c r="P54" s="9"/>
      <c r="Q54" s="39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15" customHeight="1" x14ac:dyDescent="0.25">
      <c r="A55" s="36" t="s">
        <v>99</v>
      </c>
      <c r="B55" s="37" t="s">
        <v>113</v>
      </c>
      <c r="C55" s="37" t="s">
        <v>114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92"/>
      <c r="P55" s="9"/>
      <c r="Q55" s="39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ht="15" customHeight="1" x14ac:dyDescent="0.25">
      <c r="A56" s="36" t="s">
        <v>99</v>
      </c>
      <c r="B56" s="37" t="s">
        <v>113</v>
      </c>
      <c r="C56" s="37" t="s">
        <v>115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40">
        <v>0</v>
      </c>
      <c r="M56" s="40">
        <v>0</v>
      </c>
      <c r="N56" s="40">
        <v>0</v>
      </c>
      <c r="O56" s="89"/>
      <c r="P56" s="9"/>
      <c r="Q56" s="39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15" customHeight="1" x14ac:dyDescent="0.25">
      <c r="A57" s="36" t="s">
        <v>99</v>
      </c>
      <c r="B57" s="37" t="s">
        <v>116</v>
      </c>
      <c r="C57" s="37" t="s">
        <v>114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f>0.13535708+0.007982</f>
        <v>0.14333907999999998</v>
      </c>
      <c r="J57" s="38">
        <v>0</v>
      </c>
      <c r="K57" s="38">
        <f>0.309598+0.008934+0.070031+0.000204</f>
        <v>0.38876699999999997</v>
      </c>
      <c r="L57" s="47">
        <v>0</v>
      </c>
      <c r="M57" s="47">
        <f>0.035222+0.274793</f>
        <v>0.31001500000000004</v>
      </c>
      <c r="N57" s="47">
        <v>0</v>
      </c>
      <c r="O57" s="91">
        <v>0</v>
      </c>
      <c r="P57" s="9"/>
      <c r="Q57" s="39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15" customHeight="1" x14ac:dyDescent="0.25">
      <c r="A58" s="36" t="s">
        <v>99</v>
      </c>
      <c r="B58" s="41" t="s">
        <v>116</v>
      </c>
      <c r="C58" s="37" t="s">
        <v>115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91"/>
      <c r="P58" s="94" t="s">
        <v>126</v>
      </c>
      <c r="Q58" s="39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x14ac:dyDescent="0.25">
      <c r="A59" s="4"/>
      <c r="B59" s="4"/>
      <c r="C59" s="68" t="s">
        <v>127</v>
      </c>
      <c r="D59" s="69">
        <f t="shared" ref="D59:O59" si="3">SUMIF($B$2:$B$58,"O&amp;M Spend",D2:D58)</f>
        <v>4.4000000000000004</v>
      </c>
      <c r="E59" s="70">
        <f t="shared" si="3"/>
        <v>3.0761469999999997</v>
      </c>
      <c r="F59" s="70">
        <f t="shared" si="3"/>
        <v>5.0000000000000009</v>
      </c>
      <c r="G59" s="70">
        <f t="shared" si="3"/>
        <v>5.9795739999999995</v>
      </c>
      <c r="H59" s="70">
        <f t="shared" si="3"/>
        <v>4.9000000000000004</v>
      </c>
      <c r="I59" s="70">
        <f t="shared" si="3"/>
        <v>12.270009679999999</v>
      </c>
      <c r="J59" s="70">
        <f t="shared" si="3"/>
        <v>4.9000000000000004</v>
      </c>
      <c r="K59" s="70">
        <f t="shared" si="3"/>
        <v>17.935631000000001</v>
      </c>
      <c r="L59" s="70">
        <f t="shared" si="3"/>
        <v>5</v>
      </c>
      <c r="M59" s="70">
        <f t="shared" si="3"/>
        <v>18.335905</v>
      </c>
      <c r="N59" s="71">
        <f t="shared" si="3"/>
        <v>4.8999999999999995</v>
      </c>
      <c r="O59" s="96">
        <f t="shared" si="3"/>
        <v>28.400000000000002</v>
      </c>
      <c r="P59" s="95">
        <v>28.4</v>
      </c>
      <c r="Q59" s="39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x14ac:dyDescent="0.25">
      <c r="A60" s="4"/>
      <c r="B60" s="4"/>
      <c r="C60" s="72" t="s">
        <v>128</v>
      </c>
      <c r="D60" s="73">
        <f t="shared" ref="D60:N60" si="4">SUMIF($B$2:$B$58,"Capital Spend",D2:D58)-SUM(D16:D23)</f>
        <v>37.24499999999999</v>
      </c>
      <c r="E60" s="74">
        <f t="shared" si="4"/>
        <v>25.899999999999995</v>
      </c>
      <c r="F60" s="74">
        <f t="shared" si="4"/>
        <v>50.640000000000015</v>
      </c>
      <c r="G60" s="74">
        <f t="shared" si="4"/>
        <v>23.400000000000009</v>
      </c>
      <c r="H60" s="74">
        <f t="shared" si="4"/>
        <v>50.150000000000006</v>
      </c>
      <c r="I60" s="74">
        <f t="shared" si="4"/>
        <v>78.199999999999974</v>
      </c>
      <c r="J60" s="74">
        <f t="shared" si="4"/>
        <v>40.512</v>
      </c>
      <c r="K60" s="74">
        <f t="shared" si="4"/>
        <v>103.70000000000002</v>
      </c>
      <c r="L60" s="74">
        <f t="shared" si="4"/>
        <v>27.800000000000011</v>
      </c>
      <c r="M60" s="74">
        <f t="shared" si="4"/>
        <v>178.10000000000002</v>
      </c>
      <c r="N60" s="75">
        <f t="shared" si="4"/>
        <v>22</v>
      </c>
      <c r="O60" s="97">
        <f>SUMIF($B$2:$B$58,"Capital Spend",O2:O58)-SUM(O16:O18,O20:O22)</f>
        <v>156.9</v>
      </c>
      <c r="P60" s="95">
        <v>51.2</v>
      </c>
      <c r="Q60" s="39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x14ac:dyDescent="0.25">
      <c r="A61" s="4"/>
      <c r="B61" s="4"/>
      <c r="C61" s="76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9"/>
      <c r="P61" s="9"/>
      <c r="Q61" s="39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x14ac:dyDescent="0.25">
      <c r="A62" s="4"/>
      <c r="B62" s="4"/>
      <c r="C62" s="4"/>
      <c r="D62" s="4"/>
      <c r="E62" s="4"/>
      <c r="F62" s="4">
        <v>2.5</v>
      </c>
      <c r="G62" s="4"/>
      <c r="H62" s="4">
        <v>5</v>
      </c>
      <c r="I62" s="4"/>
      <c r="J62" s="4">
        <v>7.5</v>
      </c>
      <c r="K62" s="4"/>
      <c r="L62" s="4"/>
      <c r="M62" s="4"/>
      <c r="N62" s="4"/>
      <c r="O62" s="9"/>
      <c r="P62" s="9"/>
      <c r="Q62" s="39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x14ac:dyDescent="0.25">
      <c r="A63" s="4"/>
      <c r="B63" s="4"/>
      <c r="C63" s="4"/>
      <c r="D63" s="4"/>
      <c r="E63" s="4"/>
      <c r="F63" s="4">
        <v>50.6</v>
      </c>
      <c r="G63" s="4"/>
      <c r="H63" s="4">
        <v>70.5</v>
      </c>
      <c r="I63" s="4"/>
      <c r="J63" s="4">
        <v>65</v>
      </c>
      <c r="K63" s="4"/>
      <c r="L63" s="4"/>
      <c r="M63" s="4"/>
      <c r="N63" s="4"/>
      <c r="O63" s="9"/>
      <c r="P63" s="9"/>
      <c r="Q63" s="39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9"/>
      <c r="P64" s="9"/>
      <c r="Q64" s="39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9"/>
      <c r="P65" s="9"/>
      <c r="Q65" s="39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9"/>
      <c r="P66" s="9"/>
      <c r="Q66" s="39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9"/>
      <c r="P67" s="9"/>
      <c r="Q67" s="39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9"/>
      <c r="P68" s="9"/>
      <c r="Q68" s="39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9"/>
      <c r="P69" s="9"/>
      <c r="Q69" s="39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9"/>
      <c r="P70" s="9"/>
      <c r="Q70" s="39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9"/>
      <c r="P71" s="9"/>
      <c r="Q71" s="39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9"/>
      <c r="P72" s="9"/>
      <c r="Q72" s="39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9"/>
      <c r="P73" s="9"/>
      <c r="Q73" s="39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9"/>
      <c r="P74" s="9"/>
      <c r="Q74" s="39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9"/>
      <c r="P75" s="9"/>
      <c r="Q75" s="39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9"/>
      <c r="P76" s="9"/>
      <c r="Q76" s="39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9"/>
      <c r="P77" s="9"/>
      <c r="Q77" s="39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9"/>
      <c r="P78" s="9"/>
      <c r="Q78" s="39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9"/>
      <c r="P79" s="9"/>
      <c r="Q79" s="39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9"/>
      <c r="P80" s="9"/>
      <c r="Q80" s="39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9"/>
      <c r="P81" s="9"/>
      <c r="Q81" s="39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9"/>
      <c r="P82" s="9"/>
      <c r="Q82" s="39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9"/>
      <c r="P83" s="9"/>
      <c r="Q83" s="39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9"/>
      <c r="P84" s="9"/>
      <c r="Q84" s="39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9"/>
      <c r="P85" s="9"/>
      <c r="Q85" s="39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9"/>
      <c r="P86" s="9"/>
      <c r="Q86" s="39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9"/>
      <c r="P87" s="9"/>
      <c r="Q87" s="39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9"/>
      <c r="P88" s="9"/>
      <c r="Q88" s="39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9"/>
      <c r="P89" s="9"/>
      <c r="Q89" s="39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9"/>
      <c r="P90" s="9"/>
      <c r="Q90" s="39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9"/>
      <c r="P91" s="9"/>
      <c r="Q91" s="39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9"/>
      <c r="P92" s="9"/>
      <c r="Q92" s="39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9"/>
      <c r="P93" s="9"/>
      <c r="Q93" s="39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9"/>
      <c r="P94" s="9"/>
      <c r="Q94" s="39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9"/>
      <c r="P95" s="9"/>
      <c r="Q95" s="39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9"/>
      <c r="P96" s="9"/>
      <c r="Q96" s="39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9"/>
      <c r="P97" s="9"/>
      <c r="Q97" s="39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9"/>
      <c r="P98" s="9"/>
      <c r="Q98" s="39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9"/>
      <c r="P99" s="9"/>
      <c r="Q99" s="39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9"/>
      <c r="P100" s="9"/>
      <c r="Q100" s="39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9"/>
      <c r="P101" s="9"/>
      <c r="Q101" s="39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9"/>
      <c r="P102" s="9"/>
      <c r="Q102" s="39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9"/>
      <c r="P103" s="9"/>
      <c r="Q103" s="39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9"/>
      <c r="P104" s="9"/>
      <c r="Q104" s="39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9"/>
      <c r="P105" s="9"/>
      <c r="Q105" s="39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9"/>
      <c r="P106" s="9"/>
      <c r="Q106" s="39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9"/>
      <c r="P107" s="9"/>
      <c r="Q107" s="39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9"/>
      <c r="P108" s="9"/>
      <c r="Q108" s="39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9"/>
      <c r="P109" s="9"/>
      <c r="Q109" s="39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9"/>
      <c r="P110" s="9"/>
      <c r="Q110" s="39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9"/>
      <c r="P111" s="9"/>
      <c r="Q111" s="39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9"/>
      <c r="P112" s="9"/>
      <c r="Q112" s="39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9"/>
      <c r="P113" s="9"/>
      <c r="Q113" s="39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9"/>
      <c r="P114" s="9"/>
      <c r="Q114" s="39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9"/>
      <c r="P115" s="9"/>
      <c r="Q115" s="39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9"/>
      <c r="P116" s="9"/>
      <c r="Q116" s="39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9"/>
      <c r="P117" s="9"/>
      <c r="Q117" s="39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9"/>
      <c r="P118" s="9"/>
      <c r="Q118" s="39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9"/>
      <c r="P119" s="9"/>
      <c r="Q119" s="39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9"/>
      <c r="P120" s="9"/>
      <c r="Q120" s="39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9"/>
      <c r="P121" s="9"/>
      <c r="Q121" s="39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9"/>
      <c r="P122" s="9"/>
      <c r="Q122" s="39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9"/>
      <c r="P123" s="9"/>
      <c r="Q123" s="39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9"/>
      <c r="P124" s="9"/>
      <c r="Q124" s="39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9"/>
      <c r="P125" s="9"/>
      <c r="Q125" s="39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9"/>
      <c r="P126" s="9"/>
      <c r="Q126" s="39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9"/>
      <c r="P127" s="9"/>
      <c r="Q127" s="39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9"/>
      <c r="P128" s="9"/>
      <c r="Q128" s="39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9"/>
      <c r="P129" s="9"/>
      <c r="Q129" s="39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9"/>
      <c r="P130" s="9"/>
      <c r="Q130" s="39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9"/>
      <c r="P131" s="9"/>
      <c r="Q131" s="39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9"/>
      <c r="P132" s="9"/>
      <c r="Q132" s="39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9"/>
      <c r="P133" s="9"/>
      <c r="Q133" s="39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9"/>
      <c r="P134" s="9"/>
      <c r="Q134" s="39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9"/>
      <c r="P135" s="9"/>
      <c r="Q135" s="39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9"/>
      <c r="P136" s="9"/>
      <c r="Q136" s="39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9"/>
      <c r="P137" s="9"/>
      <c r="Q137" s="39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9"/>
      <c r="P138" s="9"/>
      <c r="Q138" s="39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9"/>
      <c r="P139" s="9"/>
      <c r="Q139" s="39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9"/>
      <c r="P140" s="9"/>
      <c r="Q140" s="39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9"/>
      <c r="P141" s="9"/>
      <c r="Q141" s="39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9"/>
      <c r="P142" s="9"/>
      <c r="Q142" s="39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9"/>
      <c r="P143" s="9"/>
      <c r="Q143" s="39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9"/>
      <c r="P144" s="9"/>
      <c r="Q144" s="39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9"/>
      <c r="P145" s="9"/>
      <c r="Q145" s="39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9"/>
      <c r="P146" s="9"/>
      <c r="Q146" s="39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9"/>
      <c r="P147" s="9"/>
      <c r="Q147" s="39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9"/>
      <c r="P148" s="9"/>
      <c r="Q148" s="39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9"/>
      <c r="P149" s="9"/>
      <c r="Q149" s="39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9"/>
      <c r="P150" s="9"/>
      <c r="Q150" s="39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9"/>
      <c r="P151" s="9"/>
      <c r="Q151" s="39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9"/>
      <c r="P152" s="9"/>
      <c r="Q152" s="39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9"/>
      <c r="P153" s="9"/>
      <c r="Q153" s="39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9"/>
      <c r="P154" s="9"/>
      <c r="Q154" s="39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9"/>
      <c r="P155" s="9"/>
      <c r="Q155" s="39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9"/>
      <c r="P156" s="9"/>
      <c r="Q156" s="39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9"/>
      <c r="P157" s="9"/>
      <c r="Q157" s="39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9"/>
      <c r="P158" s="9"/>
      <c r="Q158" s="39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9"/>
      <c r="P159" s="9"/>
      <c r="Q159" s="39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9"/>
      <c r="P160" s="9"/>
      <c r="Q160" s="39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9"/>
      <c r="P161" s="9"/>
      <c r="Q161" s="39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9"/>
      <c r="P162" s="9"/>
      <c r="Q162" s="39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9"/>
      <c r="P163" s="9"/>
      <c r="Q163" s="39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9"/>
      <c r="P164" s="9"/>
      <c r="Q164" s="39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9"/>
      <c r="P165" s="9"/>
      <c r="Q165" s="39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9"/>
      <c r="P166" s="9"/>
      <c r="Q166" s="39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9"/>
      <c r="P167" s="9"/>
      <c r="Q167" s="39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9"/>
      <c r="P168" s="9"/>
      <c r="Q168" s="39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9"/>
      <c r="P169" s="9"/>
      <c r="Q169" s="39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9"/>
      <c r="P170" s="9"/>
      <c r="Q170" s="39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9"/>
      <c r="P171" s="9"/>
      <c r="Q171" s="39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9"/>
      <c r="P172" s="9"/>
      <c r="Q172" s="39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9"/>
      <c r="P173" s="9"/>
      <c r="Q173" s="39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9"/>
      <c r="P174" s="9"/>
      <c r="Q174" s="39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9"/>
      <c r="P175" s="9"/>
      <c r="Q175" s="39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9"/>
      <c r="P176" s="9"/>
      <c r="Q176" s="39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9"/>
      <c r="P177" s="9"/>
      <c r="Q177" s="39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9"/>
      <c r="P178" s="9"/>
      <c r="Q178" s="39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9"/>
      <c r="P179" s="9"/>
      <c r="Q179" s="39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9"/>
      <c r="P180" s="9"/>
      <c r="Q180" s="39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9"/>
      <c r="P181" s="9"/>
      <c r="Q181" s="39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9"/>
      <c r="P182" s="9"/>
      <c r="Q182" s="39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9"/>
      <c r="P183" s="9"/>
      <c r="Q183" s="39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9"/>
      <c r="P184" s="9"/>
      <c r="Q184" s="39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9"/>
      <c r="P185" s="9"/>
      <c r="Q185" s="39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9"/>
      <c r="P186" s="9"/>
      <c r="Q186" s="39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9"/>
      <c r="P187" s="9"/>
      <c r="Q187" s="39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9"/>
      <c r="P188" s="9"/>
      <c r="Q188" s="39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9"/>
      <c r="P189" s="9"/>
      <c r="Q189" s="39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9"/>
      <c r="P190" s="9"/>
      <c r="Q190" s="39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9"/>
      <c r="P191" s="9"/>
      <c r="Q191" s="39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9"/>
      <c r="P192" s="9"/>
      <c r="Q192" s="39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9"/>
      <c r="P193" s="9"/>
      <c r="Q193" s="39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9"/>
      <c r="P194" s="9"/>
      <c r="Q194" s="39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9"/>
      <c r="P195" s="9"/>
      <c r="Q195" s="39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9"/>
      <c r="P196" s="9"/>
      <c r="Q196" s="39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9"/>
      <c r="P197" s="9"/>
      <c r="Q197" s="39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9"/>
      <c r="P198" s="9"/>
      <c r="Q198" s="39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9"/>
      <c r="P199" s="9"/>
      <c r="Q199" s="39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9"/>
      <c r="P200" s="9"/>
      <c r="Q200" s="39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9"/>
      <c r="P201" s="9"/>
      <c r="Q201" s="39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9"/>
      <c r="P202" s="9"/>
      <c r="Q202" s="39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9"/>
      <c r="P203" s="9"/>
      <c r="Q203" s="39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9"/>
      <c r="P204" s="9"/>
      <c r="Q204" s="39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9"/>
      <c r="P205" s="9"/>
      <c r="Q205" s="39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9"/>
      <c r="P206" s="9"/>
      <c r="Q206" s="39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9"/>
      <c r="P207" s="9"/>
      <c r="Q207" s="39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9"/>
      <c r="P208" s="9"/>
      <c r="Q208" s="39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9"/>
      <c r="P209" s="9"/>
      <c r="Q209" s="39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9"/>
      <c r="P210" s="9"/>
      <c r="Q210" s="39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9"/>
      <c r="P211" s="9"/>
      <c r="Q211" s="39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9"/>
      <c r="P212" s="9"/>
      <c r="Q212" s="39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9"/>
      <c r="P213" s="9"/>
      <c r="Q213" s="39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9"/>
      <c r="P214" s="9"/>
      <c r="Q214" s="39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9"/>
      <c r="P215" s="9"/>
      <c r="Q215" s="39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9"/>
      <c r="P216" s="9"/>
      <c r="Q216" s="39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9"/>
      <c r="P217" s="9"/>
      <c r="Q217" s="39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9"/>
      <c r="P218" s="9"/>
      <c r="Q218" s="39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9"/>
      <c r="P219" s="9"/>
      <c r="Q219" s="39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9"/>
      <c r="P220" s="9"/>
      <c r="Q220" s="39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9"/>
      <c r="P221" s="9"/>
      <c r="Q221" s="39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9"/>
      <c r="P222" s="9"/>
      <c r="Q222" s="39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9"/>
      <c r="P223" s="9"/>
      <c r="Q223" s="39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9"/>
      <c r="P224" s="9"/>
      <c r="Q224" s="39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9"/>
      <c r="P225" s="9"/>
      <c r="Q225" s="39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9"/>
      <c r="P226" s="9"/>
      <c r="Q226" s="39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9"/>
      <c r="P227" s="9"/>
      <c r="Q227" s="39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9"/>
      <c r="P228" s="9"/>
      <c r="Q228" s="39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9"/>
      <c r="P229" s="9"/>
      <c r="Q229" s="39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9"/>
      <c r="P230" s="9"/>
      <c r="Q230" s="39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9"/>
      <c r="P231" s="9"/>
      <c r="Q231" s="39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9"/>
      <c r="P232" s="9"/>
      <c r="Q232" s="39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9"/>
      <c r="P233" s="9"/>
      <c r="Q233" s="39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9"/>
      <c r="P234" s="9"/>
      <c r="Q234" s="39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9"/>
      <c r="P235" s="9"/>
      <c r="Q235" s="39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9"/>
      <c r="P236" s="9"/>
      <c r="Q236" s="39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9"/>
      <c r="P237" s="9"/>
      <c r="Q237" s="39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9"/>
      <c r="P238" s="9"/>
      <c r="Q238" s="39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9"/>
      <c r="P239" s="9"/>
      <c r="Q239" s="39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9"/>
      <c r="P240" s="9"/>
      <c r="Q240" s="39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9"/>
      <c r="P241" s="9"/>
      <c r="Q241" s="39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9"/>
      <c r="P242" s="9"/>
      <c r="Q242" s="39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9"/>
      <c r="P243" s="9"/>
      <c r="Q243" s="39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9"/>
      <c r="P244" s="9"/>
      <c r="Q244" s="39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9"/>
      <c r="P245" s="9"/>
      <c r="Q245" s="39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9"/>
      <c r="P246" s="9"/>
      <c r="Q246" s="39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9"/>
      <c r="P247" s="9"/>
      <c r="Q247" s="39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9"/>
      <c r="P248" s="9"/>
      <c r="Q248" s="39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9"/>
      <c r="P249" s="9"/>
      <c r="Q249" s="39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9"/>
      <c r="P250" s="9"/>
      <c r="Q250" s="39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9"/>
      <c r="P251" s="9"/>
      <c r="Q251" s="39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9"/>
      <c r="P252" s="9"/>
      <c r="Q252" s="39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9"/>
      <c r="P253" s="9"/>
      <c r="Q253" s="39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9"/>
      <c r="P254" s="9"/>
      <c r="Q254" s="39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9"/>
      <c r="P255" s="9"/>
      <c r="Q255" s="39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9"/>
      <c r="P256" s="9"/>
      <c r="Q256" s="39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9"/>
      <c r="P257" s="9"/>
      <c r="Q257" s="39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9"/>
      <c r="P258" s="9"/>
      <c r="Q258" s="39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9"/>
      <c r="P259" s="9"/>
      <c r="Q259" s="39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9"/>
      <c r="P260" s="9"/>
      <c r="Q260" s="39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9"/>
      <c r="P261" s="9"/>
      <c r="Q261" s="39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9"/>
      <c r="P262" s="9"/>
      <c r="Q262" s="39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9"/>
      <c r="P263" s="9"/>
      <c r="Q263" s="39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9"/>
      <c r="P264" s="9"/>
      <c r="Q264" s="39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9"/>
      <c r="P265" s="9"/>
      <c r="Q265" s="39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9"/>
      <c r="P266" s="9"/>
      <c r="Q266" s="39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9"/>
      <c r="P267" s="9"/>
      <c r="Q267" s="39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9"/>
      <c r="P268" s="9"/>
      <c r="Q268" s="39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9"/>
      <c r="P269" s="9"/>
      <c r="Q269" s="39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9"/>
      <c r="P270" s="9"/>
      <c r="Q270" s="39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9"/>
      <c r="P271" s="9"/>
      <c r="Q271" s="39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9"/>
      <c r="P272" s="9"/>
      <c r="Q272" s="39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9"/>
      <c r="P273" s="9"/>
      <c r="Q273" s="39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9"/>
      <c r="P274" s="9"/>
      <c r="Q274" s="39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9"/>
      <c r="P275" s="9"/>
      <c r="Q275" s="39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9"/>
      <c r="P276" s="9"/>
      <c r="Q276" s="39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9"/>
      <c r="P277" s="9"/>
      <c r="Q277" s="39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9"/>
      <c r="P278" s="9"/>
      <c r="Q278" s="39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9"/>
      <c r="P279" s="9"/>
      <c r="Q279" s="39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9"/>
      <c r="P280" s="9"/>
      <c r="Q280" s="39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9"/>
      <c r="P281" s="9"/>
      <c r="Q281" s="39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9"/>
      <c r="P282" s="9"/>
      <c r="Q282" s="39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9"/>
      <c r="P283" s="9"/>
      <c r="Q283" s="39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9"/>
      <c r="P284" s="9"/>
      <c r="Q284" s="39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spans="1:34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9"/>
      <c r="P285" s="9"/>
      <c r="Q285" s="39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spans="1:34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9"/>
      <c r="P286" s="9"/>
      <c r="Q286" s="39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spans="1:34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9"/>
      <c r="P287" s="9"/>
      <c r="Q287" s="39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spans="1:34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9"/>
      <c r="P288" s="9"/>
      <c r="Q288" s="39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spans="1:34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9"/>
      <c r="P289" s="9"/>
      <c r="Q289" s="39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spans="1:34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9"/>
      <c r="P290" s="9"/>
      <c r="Q290" s="39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spans="1:34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9"/>
      <c r="P291" s="9"/>
      <c r="Q291" s="39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spans="1:34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9"/>
      <c r="P292" s="9"/>
      <c r="Q292" s="39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spans="1:34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9"/>
      <c r="P293" s="9"/>
      <c r="Q293" s="39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spans="1:34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9"/>
      <c r="P294" s="9"/>
      <c r="Q294" s="39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spans="1:34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9"/>
      <c r="P295" s="9"/>
      <c r="Q295" s="39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spans="1:34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9"/>
      <c r="P296" s="9"/>
      <c r="Q296" s="39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spans="1:34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9"/>
      <c r="P297" s="9"/>
      <c r="Q297" s="39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spans="1:34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9"/>
      <c r="P298" s="9"/>
      <c r="Q298" s="39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spans="1:34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9"/>
      <c r="P299" s="9"/>
      <c r="Q299" s="39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9"/>
      <c r="P300" s="9"/>
      <c r="Q300" s="39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9"/>
      <c r="P301" s="9"/>
      <c r="Q301" s="39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spans="1:34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9"/>
      <c r="P302" s="9"/>
      <c r="Q302" s="39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spans="1:34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9"/>
      <c r="P303" s="9"/>
      <c r="Q303" s="39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spans="1:34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9"/>
      <c r="P304" s="9"/>
      <c r="Q304" s="39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9"/>
      <c r="P305" s="9"/>
      <c r="Q305" s="39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9"/>
      <c r="P306" s="9"/>
      <c r="Q306" s="39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9"/>
      <c r="P307" s="9"/>
      <c r="Q307" s="39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9"/>
      <c r="P308" s="9"/>
      <c r="Q308" s="39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9"/>
      <c r="P309" s="9"/>
      <c r="Q309" s="39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spans="1:34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9"/>
      <c r="P310" s="9"/>
      <c r="Q310" s="39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spans="1:34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9"/>
      <c r="P311" s="9"/>
      <c r="Q311" s="39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spans="1:34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9"/>
      <c r="P312" s="9"/>
      <c r="Q312" s="39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spans="1:34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9"/>
      <c r="P313" s="9"/>
      <c r="Q313" s="39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9"/>
      <c r="P314" s="9"/>
      <c r="Q314" s="39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spans="1:34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9"/>
      <c r="P315" s="9"/>
      <c r="Q315" s="39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spans="1:34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9"/>
      <c r="P316" s="9"/>
      <c r="Q316" s="39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9"/>
      <c r="P317" s="9"/>
      <c r="Q317" s="39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9"/>
      <c r="P318" s="9"/>
      <c r="Q318" s="39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spans="1:34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9"/>
      <c r="P319" s="9"/>
      <c r="Q319" s="39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9"/>
      <c r="P320" s="9"/>
      <c r="Q320" s="39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spans="1:34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9"/>
      <c r="P321" s="9"/>
      <c r="Q321" s="39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spans="1:34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9"/>
      <c r="P322" s="9"/>
      <c r="Q322" s="39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spans="1:34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9"/>
      <c r="P323" s="9"/>
      <c r="Q323" s="39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spans="1:34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9"/>
      <c r="P324" s="9"/>
      <c r="Q324" s="39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spans="1:34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9"/>
      <c r="P325" s="9"/>
      <c r="Q325" s="39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spans="1:34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9"/>
      <c r="P326" s="9"/>
      <c r="Q326" s="39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spans="1:34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9"/>
      <c r="P327" s="9"/>
      <c r="Q327" s="39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spans="1:34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9"/>
      <c r="P328" s="9"/>
      <c r="Q328" s="39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spans="1:34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9"/>
      <c r="P329" s="9"/>
      <c r="Q329" s="39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spans="1:34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9"/>
      <c r="P330" s="9"/>
      <c r="Q330" s="39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spans="1:34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9"/>
      <c r="P331" s="9"/>
      <c r="Q331" s="39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spans="1:34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9"/>
      <c r="P332" s="9"/>
      <c r="Q332" s="39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spans="1:34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9"/>
      <c r="P333" s="9"/>
      <c r="Q333" s="39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spans="1:34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9"/>
      <c r="P334" s="9"/>
      <c r="Q334" s="39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1:34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9"/>
      <c r="P335" s="9"/>
      <c r="Q335" s="39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1:34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9"/>
      <c r="P336" s="9"/>
      <c r="Q336" s="39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spans="1:34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9"/>
      <c r="P337" s="9"/>
      <c r="Q337" s="39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spans="1:34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9"/>
      <c r="P338" s="9"/>
      <c r="Q338" s="39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spans="1:34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9"/>
      <c r="P339" s="9"/>
      <c r="Q339" s="39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spans="1:34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9"/>
      <c r="P340" s="9"/>
      <c r="Q340" s="39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spans="1:34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9"/>
      <c r="P341" s="9"/>
      <c r="Q341" s="39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spans="1:34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9"/>
      <c r="P342" s="9"/>
      <c r="Q342" s="39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spans="1:34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9"/>
      <c r="P343" s="9"/>
      <c r="Q343" s="39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spans="1:34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9"/>
      <c r="P344" s="9"/>
      <c r="Q344" s="39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spans="1:34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9"/>
      <c r="P345" s="9"/>
      <c r="Q345" s="39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spans="1:34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9"/>
      <c r="P346" s="9"/>
      <c r="Q346" s="39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spans="1:34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9"/>
      <c r="P347" s="9"/>
      <c r="Q347" s="39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spans="1:34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9"/>
      <c r="P348" s="9"/>
      <c r="Q348" s="39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spans="1:34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9"/>
      <c r="P349" s="9"/>
      <c r="Q349" s="39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spans="1:34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9"/>
      <c r="P350" s="9"/>
      <c r="Q350" s="39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spans="1:34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9"/>
      <c r="P351" s="9"/>
      <c r="Q351" s="39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spans="1:34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9"/>
      <c r="P352" s="9"/>
      <c r="Q352" s="39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spans="1:34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9"/>
      <c r="P353" s="9"/>
      <c r="Q353" s="39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spans="1:34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9"/>
      <c r="P354" s="9"/>
      <c r="Q354" s="39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spans="1:34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9"/>
      <c r="P355" s="9"/>
      <c r="Q355" s="39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spans="1:34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9"/>
      <c r="P356" s="9"/>
      <c r="Q356" s="39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spans="1:34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9"/>
      <c r="P357" s="9"/>
      <c r="Q357" s="39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spans="1:34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9"/>
      <c r="P358" s="9"/>
      <c r="Q358" s="39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spans="1:34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9"/>
      <c r="P359" s="9"/>
      <c r="Q359" s="39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spans="1:34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9"/>
      <c r="P360" s="9"/>
      <c r="Q360" s="39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spans="1:34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9"/>
      <c r="P361" s="9"/>
      <c r="Q361" s="39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spans="1:34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9"/>
      <c r="P362" s="9"/>
      <c r="Q362" s="39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spans="1:34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9"/>
      <c r="P363" s="9"/>
      <c r="Q363" s="39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spans="1:34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9"/>
      <c r="P364" s="9"/>
      <c r="Q364" s="39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spans="1:34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9"/>
      <c r="P365" s="9"/>
      <c r="Q365" s="39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spans="1:34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9"/>
      <c r="P366" s="9"/>
      <c r="Q366" s="39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spans="1:34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9"/>
      <c r="P367" s="9"/>
      <c r="Q367" s="39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spans="1:34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9"/>
      <c r="P368" s="9"/>
      <c r="Q368" s="39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spans="1:34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9"/>
      <c r="P369" s="9"/>
      <c r="Q369" s="39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spans="1:34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9"/>
      <c r="P370" s="9"/>
      <c r="Q370" s="39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spans="1:34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9"/>
      <c r="P371" s="9"/>
      <c r="Q371" s="39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spans="1:34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9"/>
      <c r="P372" s="9"/>
      <c r="Q372" s="39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spans="1:34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9"/>
      <c r="P373" s="9"/>
      <c r="Q373" s="39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spans="1:34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9"/>
      <c r="P374" s="9"/>
      <c r="Q374" s="39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spans="1:34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9"/>
      <c r="P375" s="9"/>
      <c r="Q375" s="39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spans="1:34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9"/>
      <c r="P376" s="9"/>
      <c r="Q376" s="39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spans="1:34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9"/>
      <c r="P377" s="9"/>
      <c r="Q377" s="39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spans="1:34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9"/>
      <c r="P378" s="9"/>
      <c r="Q378" s="39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spans="1:34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9"/>
      <c r="P379" s="9"/>
      <c r="Q379" s="39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spans="1:34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9"/>
      <c r="P380" s="9"/>
      <c r="Q380" s="39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spans="1:34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9"/>
      <c r="P381" s="9"/>
      <c r="Q381" s="39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spans="1:34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9"/>
      <c r="P382" s="9"/>
      <c r="Q382" s="39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spans="1:34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9"/>
      <c r="P383" s="9"/>
      <c r="Q383" s="39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spans="1:34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9"/>
      <c r="P384" s="9"/>
      <c r="Q384" s="39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spans="1:34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9"/>
      <c r="P385" s="9"/>
      <c r="Q385" s="39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spans="1:34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9"/>
      <c r="P386" s="9"/>
      <c r="Q386" s="39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spans="1:34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9"/>
      <c r="P387" s="9"/>
      <c r="Q387" s="39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spans="1:34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9"/>
      <c r="P388" s="9"/>
      <c r="Q388" s="39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spans="1:34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9"/>
      <c r="P389" s="9"/>
      <c r="Q389" s="39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spans="1:34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9"/>
      <c r="P390" s="9"/>
      <c r="Q390" s="39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spans="1:34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9"/>
      <c r="P391" s="9"/>
      <c r="Q391" s="39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spans="1:34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9"/>
      <c r="P392" s="9"/>
      <c r="Q392" s="39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spans="1:34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9"/>
      <c r="P393" s="9"/>
      <c r="Q393" s="39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spans="1:34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9"/>
      <c r="P394" s="9"/>
      <c r="Q394" s="39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spans="1:34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9"/>
      <c r="P395" s="9"/>
      <c r="Q395" s="39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spans="1:34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9"/>
      <c r="P396" s="9"/>
      <c r="Q396" s="39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spans="1:34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9"/>
      <c r="P397" s="9"/>
      <c r="Q397" s="39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spans="1:34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9"/>
      <c r="P398" s="9"/>
      <c r="Q398" s="39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spans="1:34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9"/>
      <c r="P399" s="9"/>
      <c r="Q399" s="39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spans="1:34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9"/>
      <c r="P400" s="9"/>
      <c r="Q400" s="39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spans="1:34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9"/>
      <c r="P401" s="9"/>
      <c r="Q401" s="39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spans="1:34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9"/>
      <c r="P402" s="9"/>
      <c r="Q402" s="39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spans="1:34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9"/>
      <c r="P403" s="9"/>
      <c r="Q403" s="39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spans="1:34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9"/>
      <c r="P404" s="9"/>
      <c r="Q404" s="39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spans="1:34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9"/>
      <c r="P405" s="9"/>
      <c r="Q405" s="39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spans="1:34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9"/>
      <c r="P406" s="9"/>
      <c r="Q406" s="39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spans="1:34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9"/>
      <c r="P407" s="9"/>
      <c r="Q407" s="39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spans="1:34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9"/>
      <c r="P408" s="9"/>
      <c r="Q408" s="39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spans="1:34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9"/>
      <c r="P409" s="9"/>
      <c r="Q409" s="39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spans="1:34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9"/>
      <c r="P410" s="9"/>
      <c r="Q410" s="39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spans="1:34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9"/>
      <c r="P411" s="9"/>
      <c r="Q411" s="39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spans="1:34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9"/>
      <c r="P412" s="9"/>
      <c r="Q412" s="39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spans="1:34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9"/>
      <c r="P413" s="9"/>
      <c r="Q413" s="39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spans="1:34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9"/>
      <c r="P414" s="9"/>
      <c r="Q414" s="39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spans="1:34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9"/>
      <c r="P415" s="9"/>
      <c r="Q415" s="39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spans="1:34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9"/>
      <c r="P416" s="9"/>
      <c r="Q416" s="39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spans="1:34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9"/>
      <c r="P417" s="9"/>
      <c r="Q417" s="39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spans="1:34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9"/>
      <c r="P418" s="9"/>
      <c r="Q418" s="39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spans="1:34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9"/>
      <c r="P419" s="9"/>
      <c r="Q419" s="39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spans="1:34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9"/>
      <c r="P420" s="9"/>
      <c r="Q420" s="39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spans="1:34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9"/>
      <c r="P421" s="9"/>
      <c r="Q421" s="39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spans="1:34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9"/>
      <c r="P422" s="9"/>
      <c r="Q422" s="39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spans="1:34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9"/>
      <c r="P423" s="9"/>
      <c r="Q423" s="39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spans="1:34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9"/>
      <c r="P424" s="9"/>
      <c r="Q424" s="39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spans="1:34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9"/>
      <c r="P425" s="9"/>
      <c r="Q425" s="39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spans="1:34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9"/>
      <c r="P426" s="9"/>
      <c r="Q426" s="39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spans="1:34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9"/>
      <c r="P427" s="9"/>
      <c r="Q427" s="39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spans="1:34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9"/>
      <c r="P428" s="9"/>
      <c r="Q428" s="39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spans="1:34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9"/>
      <c r="P429" s="9"/>
      <c r="Q429" s="39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spans="1:34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9"/>
      <c r="P430" s="9"/>
      <c r="Q430" s="39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spans="1:34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9"/>
      <c r="P431" s="9"/>
      <c r="Q431" s="39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spans="1:34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9"/>
      <c r="P432" s="9"/>
      <c r="Q432" s="39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spans="1:34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9"/>
      <c r="P433" s="9"/>
      <c r="Q433" s="39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spans="1:34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9"/>
      <c r="P434" s="9"/>
      <c r="Q434" s="39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spans="1:34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9"/>
      <c r="P435" s="9"/>
      <c r="Q435" s="39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spans="1:34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9"/>
      <c r="P436" s="9"/>
      <c r="Q436" s="39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spans="1:34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9"/>
      <c r="P437" s="9"/>
      <c r="Q437" s="39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spans="1:34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9"/>
      <c r="P438" s="9"/>
      <c r="Q438" s="39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spans="1:34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9"/>
      <c r="P439" s="9"/>
      <c r="Q439" s="39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spans="1:34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9"/>
      <c r="P440" s="9"/>
      <c r="Q440" s="39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spans="1:34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9"/>
      <c r="P441" s="9"/>
      <c r="Q441" s="39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spans="1:34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9"/>
      <c r="P442" s="9"/>
      <c r="Q442" s="39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spans="1:34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9"/>
      <c r="P443" s="9"/>
      <c r="Q443" s="39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spans="1:34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9"/>
      <c r="P444" s="9"/>
      <c r="Q444" s="39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spans="1:34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9"/>
      <c r="P445" s="9"/>
      <c r="Q445" s="39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spans="1:34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9"/>
      <c r="P446" s="9"/>
      <c r="Q446" s="39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spans="1:34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9"/>
      <c r="P447" s="9"/>
      <c r="Q447" s="39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spans="1:34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9"/>
      <c r="P448" s="9"/>
      <c r="Q448" s="39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spans="1:34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9"/>
      <c r="P449" s="9"/>
      <c r="Q449" s="39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spans="1:34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9"/>
      <c r="P450" s="9"/>
      <c r="Q450" s="39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spans="1:34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9"/>
      <c r="P451" s="9"/>
      <c r="Q451" s="39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spans="1:34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9"/>
      <c r="P452" s="9"/>
      <c r="Q452" s="39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spans="1:34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9"/>
      <c r="P453" s="9"/>
      <c r="Q453" s="39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spans="1:34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9"/>
      <c r="P454" s="9"/>
      <c r="Q454" s="39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spans="1:34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9"/>
      <c r="P455" s="9"/>
      <c r="Q455" s="39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spans="1:34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9"/>
      <c r="P456" s="9"/>
      <c r="Q456" s="39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spans="1:34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9"/>
      <c r="P457" s="9"/>
      <c r="Q457" s="39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spans="1:34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9"/>
      <c r="P458" s="9"/>
      <c r="Q458" s="39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spans="1:34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9"/>
      <c r="P459" s="9"/>
      <c r="Q459" s="39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spans="1:34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9"/>
      <c r="P460" s="9"/>
      <c r="Q460" s="39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spans="1:34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9"/>
      <c r="P461" s="9"/>
      <c r="Q461" s="39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spans="1:34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9"/>
      <c r="P462" s="9"/>
      <c r="Q462" s="39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spans="1:34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9"/>
      <c r="P463" s="9"/>
      <c r="Q463" s="39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spans="1:34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9"/>
      <c r="P464" s="9"/>
      <c r="Q464" s="39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spans="1:34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9"/>
      <c r="P465" s="9"/>
      <c r="Q465" s="39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spans="1:34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9"/>
      <c r="P466" s="9"/>
      <c r="Q466" s="39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spans="1:34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9"/>
      <c r="P467" s="9"/>
      <c r="Q467" s="39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spans="1:34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9"/>
      <c r="P468" s="9"/>
      <c r="Q468" s="39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spans="1:34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9"/>
      <c r="P469" s="9"/>
      <c r="Q469" s="39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spans="1:34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9"/>
      <c r="P470" s="9"/>
      <c r="Q470" s="39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spans="1:34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9"/>
      <c r="P471" s="9"/>
      <c r="Q471" s="39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spans="1:34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9"/>
      <c r="P472" s="9"/>
      <c r="Q472" s="39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spans="1:34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9"/>
      <c r="P473" s="9"/>
      <c r="Q473" s="39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spans="1:34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9"/>
      <c r="P474" s="9"/>
      <c r="Q474" s="39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spans="1:34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9"/>
      <c r="P475" s="9"/>
      <c r="Q475" s="39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spans="1:34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9"/>
      <c r="P476" s="9"/>
      <c r="Q476" s="39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spans="1:34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9"/>
      <c r="P477" s="9"/>
      <c r="Q477" s="39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spans="1:34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9"/>
      <c r="P478" s="9"/>
      <c r="Q478" s="39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spans="1:34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9"/>
      <c r="P479" s="9"/>
      <c r="Q479" s="39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spans="1:34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9"/>
      <c r="P480" s="9"/>
      <c r="Q480" s="39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spans="1:34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9"/>
      <c r="P481" s="9"/>
      <c r="Q481" s="39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spans="1:34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9"/>
      <c r="P482" s="9"/>
      <c r="Q482" s="39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spans="1:34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9"/>
      <c r="P483" s="9"/>
      <c r="Q483" s="39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spans="1:34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9"/>
      <c r="P484" s="9"/>
      <c r="Q484" s="39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spans="1:34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9"/>
      <c r="P485" s="9"/>
      <c r="Q485" s="39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spans="1:34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9"/>
      <c r="P486" s="9"/>
      <c r="Q486" s="39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spans="1:34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9"/>
      <c r="P487" s="9"/>
      <c r="Q487" s="39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spans="1:34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9"/>
      <c r="P488" s="9"/>
      <c r="Q488" s="39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spans="1:34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9"/>
      <c r="P489" s="9"/>
      <c r="Q489" s="39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spans="1:34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9"/>
      <c r="P490" s="9"/>
      <c r="Q490" s="39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spans="1:34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9"/>
      <c r="P491" s="9"/>
      <c r="Q491" s="39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spans="1:34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9"/>
      <c r="P492" s="9"/>
      <c r="Q492" s="39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spans="1:34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9"/>
      <c r="P493" s="9"/>
      <c r="Q493" s="39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spans="1:34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9"/>
      <c r="P494" s="9"/>
      <c r="Q494" s="39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spans="1:34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9"/>
      <c r="P495" s="9"/>
      <c r="Q495" s="39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spans="1:34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9"/>
      <c r="P496" s="9"/>
      <c r="Q496" s="39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spans="1:34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9"/>
      <c r="P497" s="9"/>
      <c r="Q497" s="39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spans="1:34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9"/>
      <c r="P498" s="9"/>
      <c r="Q498" s="39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spans="1:34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9"/>
      <c r="P499" s="9"/>
      <c r="Q499" s="39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spans="1:34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9"/>
      <c r="P500" s="9"/>
      <c r="Q500" s="39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spans="1:34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9"/>
      <c r="P501" s="9"/>
      <c r="Q501" s="39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spans="1:34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9"/>
      <c r="P502" s="9"/>
      <c r="Q502" s="39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spans="1:34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9"/>
      <c r="P503" s="9"/>
      <c r="Q503" s="39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spans="1:34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9"/>
      <c r="P504" s="9"/>
      <c r="Q504" s="39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spans="1:34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9"/>
      <c r="P505" s="9"/>
      <c r="Q505" s="39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spans="1:34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9"/>
      <c r="P506" s="9"/>
      <c r="Q506" s="39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spans="1:34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9"/>
      <c r="P507" s="9"/>
      <c r="Q507" s="39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spans="1:34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9"/>
      <c r="P508" s="9"/>
      <c r="Q508" s="39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spans="1:34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9"/>
      <c r="P509" s="9"/>
      <c r="Q509" s="39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spans="1:34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9"/>
      <c r="P510" s="9"/>
      <c r="Q510" s="39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spans="1:34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9"/>
      <c r="P511" s="9"/>
      <c r="Q511" s="39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spans="1:34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9"/>
      <c r="P512" s="9"/>
      <c r="Q512" s="39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spans="1:34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9"/>
      <c r="P513" s="9"/>
      <c r="Q513" s="39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spans="1:34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9"/>
      <c r="P514" s="9"/>
      <c r="Q514" s="39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spans="1:34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9"/>
      <c r="P515" s="9"/>
      <c r="Q515" s="39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spans="1:34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9"/>
      <c r="P516" s="9"/>
      <c r="Q516" s="39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spans="1:34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9"/>
      <c r="P517" s="9"/>
      <c r="Q517" s="39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spans="1:34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9"/>
      <c r="P518" s="9"/>
      <c r="Q518" s="39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spans="1:34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9"/>
      <c r="P519" s="9"/>
      <c r="Q519" s="39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spans="1:34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9"/>
      <c r="P520" s="9"/>
      <c r="Q520" s="39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spans="1:34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9"/>
      <c r="P521" s="9"/>
      <c r="Q521" s="39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spans="1:34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9"/>
      <c r="P522" s="9"/>
      <c r="Q522" s="39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spans="1:34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9"/>
      <c r="P523" s="9"/>
      <c r="Q523" s="39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spans="1:34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9"/>
      <c r="P524" s="9"/>
      <c r="Q524" s="39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spans="1:34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9"/>
      <c r="P525" s="9"/>
      <c r="Q525" s="39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spans="1:34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9"/>
      <c r="P526" s="9"/>
      <c r="Q526" s="39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spans="1:34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9"/>
      <c r="P527" s="9"/>
      <c r="Q527" s="39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spans="1:34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9"/>
      <c r="P528" s="9"/>
      <c r="Q528" s="39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spans="1:34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9"/>
      <c r="P529" s="9"/>
      <c r="Q529" s="39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spans="1:34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9"/>
      <c r="P530" s="9"/>
      <c r="Q530" s="39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spans="1:34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9"/>
      <c r="P531" s="9"/>
      <c r="Q531" s="39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spans="1:34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9"/>
      <c r="P532" s="9"/>
      <c r="Q532" s="39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spans="1:34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9"/>
      <c r="P533" s="9"/>
      <c r="Q533" s="39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spans="1:34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9"/>
      <c r="P534" s="9"/>
      <c r="Q534" s="39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spans="1:34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9"/>
      <c r="P535" s="9"/>
      <c r="Q535" s="39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spans="1:34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9"/>
      <c r="P536" s="9"/>
      <c r="Q536" s="39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spans="1:34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9"/>
      <c r="P537" s="9"/>
      <c r="Q537" s="39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spans="1:34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9"/>
      <c r="P538" s="9"/>
      <c r="Q538" s="39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spans="1:34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9"/>
      <c r="P539" s="9"/>
      <c r="Q539" s="39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spans="1:34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9"/>
      <c r="P540" s="9"/>
      <c r="Q540" s="39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spans="1:34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9"/>
      <c r="P541" s="9"/>
      <c r="Q541" s="39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spans="1:34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9"/>
      <c r="P542" s="9"/>
      <c r="Q542" s="39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spans="1:34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9"/>
      <c r="P543" s="9"/>
      <c r="Q543" s="39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spans="1:34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9"/>
      <c r="P544" s="9"/>
      <c r="Q544" s="39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spans="1:34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9"/>
      <c r="P545" s="9"/>
      <c r="Q545" s="39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spans="1:34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9"/>
      <c r="P546" s="9"/>
      <c r="Q546" s="39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spans="1:34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9"/>
      <c r="P547" s="9"/>
      <c r="Q547" s="39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spans="1:34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9"/>
      <c r="P548" s="9"/>
      <c r="Q548" s="39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spans="1:34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9"/>
      <c r="P549" s="9"/>
      <c r="Q549" s="39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spans="1:34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9"/>
      <c r="P550" s="9"/>
      <c r="Q550" s="39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spans="1:34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9"/>
      <c r="P551" s="9"/>
      <c r="Q551" s="39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spans="1:34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9"/>
      <c r="P552" s="9"/>
      <c r="Q552" s="39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spans="1:34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9"/>
      <c r="P553" s="9"/>
      <c r="Q553" s="39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spans="1:34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9"/>
      <c r="P554" s="9"/>
      <c r="Q554" s="39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spans="1:34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9"/>
      <c r="P555" s="9"/>
      <c r="Q555" s="39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spans="1:34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9"/>
      <c r="P556" s="9"/>
      <c r="Q556" s="39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spans="1:34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9"/>
      <c r="P557" s="9"/>
      <c r="Q557" s="39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spans="1:34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9"/>
      <c r="P558" s="9"/>
      <c r="Q558" s="39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spans="1:34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9"/>
      <c r="P559" s="9"/>
      <c r="Q559" s="39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spans="1:34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9"/>
      <c r="P560" s="9"/>
      <c r="Q560" s="39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spans="1:34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9"/>
      <c r="P561" s="9"/>
      <c r="Q561" s="39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spans="1:34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9"/>
      <c r="P562" s="9"/>
      <c r="Q562" s="39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spans="1:34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9"/>
      <c r="P563" s="9"/>
      <c r="Q563" s="39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spans="1:34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9"/>
      <c r="P564" s="9"/>
      <c r="Q564" s="39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spans="1:34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9"/>
      <c r="P565" s="9"/>
      <c r="Q565" s="39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spans="1:34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9"/>
      <c r="P566" s="9"/>
      <c r="Q566" s="39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spans="1:34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9"/>
      <c r="P567" s="9"/>
      <c r="Q567" s="39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spans="1:34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9"/>
      <c r="P568" s="9"/>
      <c r="Q568" s="39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spans="1:34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9"/>
      <c r="P569" s="9"/>
      <c r="Q569" s="39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spans="1:34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9"/>
      <c r="P570" s="9"/>
      <c r="Q570" s="39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spans="1:34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9"/>
      <c r="P571" s="9"/>
      <c r="Q571" s="39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spans="1:34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9"/>
      <c r="P572" s="9"/>
      <c r="Q572" s="39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spans="1:34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9"/>
      <c r="P573" s="9"/>
      <c r="Q573" s="39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spans="1:34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9"/>
      <c r="P574" s="9"/>
      <c r="Q574" s="39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spans="1:34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9"/>
      <c r="P575" s="9"/>
      <c r="Q575" s="39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spans="1:34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9"/>
      <c r="P576" s="9"/>
      <c r="Q576" s="39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spans="1:34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9"/>
      <c r="P577" s="9"/>
      <c r="Q577" s="39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</row>
    <row r="578" spans="1:34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9"/>
      <c r="P578" s="9"/>
      <c r="Q578" s="39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</row>
    <row r="579" spans="1:34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9"/>
      <c r="P579" s="9"/>
      <c r="Q579" s="39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</row>
    <row r="580" spans="1:34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9"/>
      <c r="P580" s="9"/>
      <c r="Q580" s="39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</row>
    <row r="581" spans="1:34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9"/>
      <c r="P581" s="9"/>
      <c r="Q581" s="39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</row>
    <row r="582" spans="1:34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9"/>
      <c r="P582" s="9"/>
      <c r="Q582" s="39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</row>
    <row r="583" spans="1:34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9"/>
      <c r="P583" s="9"/>
      <c r="Q583" s="39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</row>
    <row r="584" spans="1:34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9"/>
      <c r="P584" s="9"/>
      <c r="Q584" s="39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</row>
    <row r="585" spans="1:34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9"/>
      <c r="P585" s="9"/>
      <c r="Q585" s="39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</row>
    <row r="586" spans="1:34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9"/>
      <c r="P586" s="9"/>
      <c r="Q586" s="39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</row>
    <row r="587" spans="1:34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9"/>
      <c r="P587" s="9"/>
      <c r="Q587" s="39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</row>
    <row r="588" spans="1:34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9"/>
      <c r="P588" s="9"/>
      <c r="Q588" s="39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</row>
    <row r="589" spans="1:34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9"/>
      <c r="P589" s="9"/>
      <c r="Q589" s="39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</row>
    <row r="590" spans="1:34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9"/>
      <c r="P590" s="9"/>
      <c r="Q590" s="39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</row>
    <row r="591" spans="1:34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9"/>
      <c r="P591" s="9"/>
      <c r="Q591" s="39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</row>
    <row r="592" spans="1:34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9"/>
      <c r="P592" s="9"/>
      <c r="Q592" s="39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</row>
    <row r="593" spans="1:34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9"/>
      <c r="P593" s="9"/>
      <c r="Q593" s="39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</row>
    <row r="594" spans="1:34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9"/>
      <c r="P594" s="9"/>
      <c r="Q594" s="39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</row>
    <row r="595" spans="1:34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9"/>
      <c r="P595" s="9"/>
      <c r="Q595" s="39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</row>
    <row r="596" spans="1:34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9"/>
      <c r="P596" s="9"/>
      <c r="Q596" s="39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</row>
    <row r="597" spans="1:34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9"/>
      <c r="P597" s="9"/>
      <c r="Q597" s="39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</row>
    <row r="598" spans="1:34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9"/>
      <c r="P598" s="9"/>
      <c r="Q598" s="39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</row>
    <row r="599" spans="1:34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9"/>
      <c r="P599" s="9"/>
      <c r="Q599" s="39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</row>
    <row r="600" spans="1:34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9"/>
      <c r="P600" s="9"/>
      <c r="Q600" s="39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</row>
    <row r="601" spans="1:34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9"/>
      <c r="P601" s="9"/>
      <c r="Q601" s="39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</row>
    <row r="602" spans="1:34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9"/>
      <c r="P602" s="9"/>
      <c r="Q602" s="39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</row>
    <row r="603" spans="1:34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9"/>
      <c r="P603" s="9"/>
      <c r="Q603" s="39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</row>
    <row r="604" spans="1:34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9"/>
      <c r="P604" s="9"/>
      <c r="Q604" s="39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</row>
    <row r="605" spans="1:34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9"/>
      <c r="P605" s="9"/>
      <c r="Q605" s="39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</row>
    <row r="606" spans="1:34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9"/>
      <c r="P606" s="9"/>
      <c r="Q606" s="39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</row>
    <row r="607" spans="1:34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9"/>
      <c r="P607" s="9"/>
      <c r="Q607" s="39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</row>
    <row r="608" spans="1:34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9"/>
      <c r="P608" s="9"/>
      <c r="Q608" s="39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</row>
    <row r="609" spans="1:34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9"/>
      <c r="P609" s="9"/>
      <c r="Q609" s="39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</row>
    <row r="610" spans="1:34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9"/>
      <c r="P610" s="9"/>
      <c r="Q610" s="39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</row>
    <row r="611" spans="1:34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9"/>
      <c r="P611" s="9"/>
      <c r="Q611" s="39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</row>
    <row r="612" spans="1:34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9"/>
      <c r="P612" s="9"/>
      <c r="Q612" s="39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</row>
    <row r="613" spans="1:34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9"/>
      <c r="P613" s="9"/>
      <c r="Q613" s="39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</row>
    <row r="614" spans="1:34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9"/>
      <c r="P614" s="9"/>
      <c r="Q614" s="39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</row>
    <row r="615" spans="1:34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9"/>
      <c r="P615" s="9"/>
      <c r="Q615" s="39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</row>
    <row r="616" spans="1:34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9"/>
      <c r="P616" s="9"/>
      <c r="Q616" s="39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</row>
    <row r="617" spans="1:34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9"/>
      <c r="P617" s="9"/>
      <c r="Q617" s="39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</row>
    <row r="618" spans="1:34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9"/>
      <c r="P618" s="9"/>
      <c r="Q618" s="39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</row>
    <row r="619" spans="1:34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9"/>
      <c r="P619" s="9"/>
      <c r="Q619" s="39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</row>
    <row r="620" spans="1:34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9"/>
      <c r="P620" s="9"/>
      <c r="Q620" s="39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</row>
    <row r="621" spans="1:34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9"/>
      <c r="P621" s="9"/>
      <c r="Q621" s="39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</row>
    <row r="622" spans="1:34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9"/>
      <c r="P622" s="9"/>
      <c r="Q622" s="39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</row>
    <row r="623" spans="1:34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9"/>
      <c r="P623" s="9"/>
      <c r="Q623" s="39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</row>
    <row r="624" spans="1:34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9"/>
      <c r="P624" s="9"/>
      <c r="Q624" s="39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</row>
    <row r="625" spans="1:34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9"/>
      <c r="P625" s="9"/>
      <c r="Q625" s="39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</row>
    <row r="626" spans="1:34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9"/>
      <c r="P626" s="9"/>
      <c r="Q626" s="39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</row>
    <row r="627" spans="1:34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9"/>
      <c r="P627" s="9"/>
      <c r="Q627" s="39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</row>
    <row r="628" spans="1:34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9"/>
      <c r="P628" s="9"/>
      <c r="Q628" s="39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</row>
    <row r="629" spans="1:34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9"/>
      <c r="P629" s="9"/>
      <c r="Q629" s="39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</row>
    <row r="630" spans="1:34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9"/>
      <c r="P630" s="9"/>
      <c r="Q630" s="39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</row>
    <row r="631" spans="1:34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9"/>
      <c r="P631" s="9"/>
      <c r="Q631" s="39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</row>
    <row r="632" spans="1:34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9"/>
      <c r="P632" s="9"/>
      <c r="Q632" s="39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</row>
    <row r="633" spans="1:34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9"/>
      <c r="P633" s="9"/>
      <c r="Q633" s="39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</row>
    <row r="634" spans="1:34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9"/>
      <c r="P634" s="9"/>
      <c r="Q634" s="39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</row>
    <row r="635" spans="1:34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9"/>
      <c r="P635" s="9"/>
      <c r="Q635" s="39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</row>
    <row r="636" spans="1:34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9"/>
      <c r="P636" s="9"/>
      <c r="Q636" s="39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</row>
    <row r="637" spans="1:34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9"/>
      <c r="P637" s="9"/>
      <c r="Q637" s="39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</row>
    <row r="638" spans="1:34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9"/>
      <c r="P638" s="9"/>
      <c r="Q638" s="39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</row>
    <row r="639" spans="1:34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9"/>
      <c r="P639" s="9"/>
      <c r="Q639" s="39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</row>
    <row r="640" spans="1:34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9"/>
      <c r="P640" s="9"/>
      <c r="Q640" s="39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</row>
    <row r="641" spans="1:34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9"/>
      <c r="P641" s="9"/>
      <c r="Q641" s="39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</row>
    <row r="642" spans="1:34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9"/>
      <c r="P642" s="9"/>
      <c r="Q642" s="39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</row>
    <row r="643" spans="1:34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9"/>
      <c r="P643" s="9"/>
      <c r="Q643" s="39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</row>
    <row r="644" spans="1:34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9"/>
      <c r="P644" s="9"/>
      <c r="Q644" s="39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</row>
    <row r="645" spans="1:34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9"/>
      <c r="P645" s="9"/>
      <c r="Q645" s="39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</row>
    <row r="646" spans="1:34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9"/>
      <c r="P646" s="9"/>
      <c r="Q646" s="39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</row>
    <row r="647" spans="1:34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9"/>
      <c r="P647" s="9"/>
      <c r="Q647" s="39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</row>
    <row r="648" spans="1:34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9"/>
      <c r="P648" s="9"/>
      <c r="Q648" s="39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</row>
    <row r="649" spans="1:34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9"/>
      <c r="P649" s="9"/>
      <c r="Q649" s="39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</row>
    <row r="650" spans="1:34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9"/>
      <c r="P650" s="9"/>
      <c r="Q650" s="39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</row>
    <row r="651" spans="1:34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9"/>
      <c r="P651" s="9"/>
      <c r="Q651" s="39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</row>
    <row r="652" spans="1:34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9"/>
      <c r="P652" s="9"/>
      <c r="Q652" s="39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</row>
    <row r="653" spans="1:34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9"/>
      <c r="P653" s="9"/>
      <c r="Q653" s="39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</row>
    <row r="654" spans="1:34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9"/>
      <c r="P654" s="9"/>
      <c r="Q654" s="39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</row>
    <row r="655" spans="1:34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9"/>
      <c r="P655" s="9"/>
      <c r="Q655" s="39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</row>
    <row r="656" spans="1:34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9"/>
      <c r="P656" s="9"/>
      <c r="Q656" s="39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</row>
    <row r="657" spans="1:34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9"/>
      <c r="P657" s="9"/>
      <c r="Q657" s="39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</row>
    <row r="658" spans="1:34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9"/>
      <c r="P658" s="9"/>
      <c r="Q658" s="39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</row>
    <row r="659" spans="1:34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9"/>
      <c r="P659" s="9"/>
      <c r="Q659" s="39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</row>
    <row r="660" spans="1:34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9"/>
      <c r="P660" s="9"/>
      <c r="Q660" s="39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</row>
    <row r="661" spans="1:34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9"/>
      <c r="P661" s="9"/>
      <c r="Q661" s="39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</row>
    <row r="662" spans="1:34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9"/>
      <c r="P662" s="9"/>
      <c r="Q662" s="39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</row>
    <row r="663" spans="1:34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9"/>
      <c r="P663" s="9"/>
      <c r="Q663" s="39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</row>
    <row r="664" spans="1:34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9"/>
      <c r="P664" s="9"/>
      <c r="Q664" s="39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</row>
    <row r="665" spans="1:34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9"/>
      <c r="P665" s="9"/>
      <c r="Q665" s="39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</row>
    <row r="666" spans="1:34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9"/>
      <c r="P666" s="9"/>
      <c r="Q666" s="39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</row>
    <row r="667" spans="1:34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9"/>
      <c r="P667" s="9"/>
      <c r="Q667" s="39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</row>
    <row r="668" spans="1:34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9"/>
      <c r="P668" s="9"/>
      <c r="Q668" s="39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</row>
    <row r="669" spans="1:34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9"/>
      <c r="P669" s="9"/>
      <c r="Q669" s="39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</row>
    <row r="670" spans="1:34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9"/>
      <c r="P670" s="9"/>
      <c r="Q670" s="39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</row>
    <row r="671" spans="1:34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9"/>
      <c r="P671" s="9"/>
      <c r="Q671" s="39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</row>
    <row r="672" spans="1:34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9"/>
      <c r="P672" s="9"/>
      <c r="Q672" s="39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</row>
    <row r="673" spans="1:34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9"/>
      <c r="P673" s="9"/>
      <c r="Q673" s="39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</row>
    <row r="674" spans="1:34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9"/>
      <c r="P674" s="9"/>
      <c r="Q674" s="39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</row>
    <row r="675" spans="1:34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9"/>
      <c r="P675" s="9"/>
      <c r="Q675" s="39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</row>
    <row r="676" spans="1:34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9"/>
      <c r="P676" s="9"/>
      <c r="Q676" s="39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</row>
    <row r="677" spans="1:34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9"/>
      <c r="P677" s="9"/>
      <c r="Q677" s="39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</row>
    <row r="678" spans="1:34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9"/>
      <c r="P678" s="9"/>
      <c r="Q678" s="39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</row>
    <row r="679" spans="1:34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9"/>
      <c r="P679" s="9"/>
      <c r="Q679" s="39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</row>
    <row r="680" spans="1:34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9"/>
      <c r="P680" s="9"/>
      <c r="Q680" s="39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</row>
    <row r="681" spans="1:34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9"/>
      <c r="P681" s="9"/>
      <c r="Q681" s="39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</row>
    <row r="682" spans="1:34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9"/>
      <c r="P682" s="9"/>
      <c r="Q682" s="39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</row>
    <row r="683" spans="1:34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9"/>
      <c r="P683" s="9"/>
      <c r="Q683" s="39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</row>
    <row r="684" spans="1:34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9"/>
      <c r="P684" s="9"/>
      <c r="Q684" s="39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</row>
    <row r="685" spans="1:34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9"/>
      <c r="P685" s="9"/>
      <c r="Q685" s="39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</row>
    <row r="686" spans="1:34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9"/>
      <c r="P686" s="9"/>
      <c r="Q686" s="39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</row>
    <row r="687" spans="1:34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9"/>
      <c r="P687" s="9"/>
      <c r="Q687" s="39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</row>
    <row r="688" spans="1:34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9"/>
      <c r="P688" s="9"/>
      <c r="Q688" s="39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</row>
    <row r="689" spans="1:34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9"/>
      <c r="P689" s="9"/>
      <c r="Q689" s="39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</row>
    <row r="690" spans="1:34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9"/>
      <c r="P690" s="9"/>
      <c r="Q690" s="39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</row>
    <row r="691" spans="1:34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9"/>
      <c r="P691" s="9"/>
      <c r="Q691" s="39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</row>
    <row r="692" spans="1:34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9"/>
      <c r="P692" s="9"/>
      <c r="Q692" s="39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</row>
    <row r="693" spans="1:34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9"/>
      <c r="P693" s="9"/>
      <c r="Q693" s="39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</row>
    <row r="694" spans="1:34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9"/>
      <c r="P694" s="9"/>
      <c r="Q694" s="39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</row>
    <row r="695" spans="1:34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9"/>
      <c r="P695" s="9"/>
      <c r="Q695" s="39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</row>
    <row r="696" spans="1:34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9"/>
      <c r="P696" s="9"/>
      <c r="Q696" s="39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</row>
    <row r="697" spans="1:34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9"/>
      <c r="P697" s="9"/>
      <c r="Q697" s="39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</row>
    <row r="698" spans="1:34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9"/>
      <c r="P698" s="9"/>
      <c r="Q698" s="39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</row>
    <row r="699" spans="1:34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9"/>
      <c r="P699" s="9"/>
      <c r="Q699" s="39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</row>
    <row r="700" spans="1:34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9"/>
      <c r="P700" s="9"/>
      <c r="Q700" s="39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</row>
    <row r="701" spans="1:34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9"/>
      <c r="P701" s="9"/>
      <c r="Q701" s="39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</row>
    <row r="702" spans="1:34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9"/>
      <c r="P702" s="9"/>
      <c r="Q702" s="39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</row>
    <row r="703" spans="1:34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9"/>
      <c r="P703" s="9"/>
      <c r="Q703" s="39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</row>
    <row r="704" spans="1:34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9"/>
      <c r="P704" s="9"/>
      <c r="Q704" s="39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</row>
    <row r="705" spans="1:34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9"/>
      <c r="P705" s="9"/>
      <c r="Q705" s="39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</row>
    <row r="706" spans="1:34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9"/>
      <c r="P706" s="9"/>
      <c r="Q706" s="39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</row>
    <row r="707" spans="1:34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9"/>
      <c r="P707" s="9"/>
      <c r="Q707" s="39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</row>
    <row r="708" spans="1:34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9"/>
      <c r="P708" s="9"/>
      <c r="Q708" s="39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</row>
    <row r="709" spans="1:34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9"/>
      <c r="P709" s="9"/>
      <c r="Q709" s="39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</row>
    <row r="710" spans="1:34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9"/>
      <c r="P710" s="9"/>
      <c r="Q710" s="39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</row>
    <row r="711" spans="1:34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9"/>
      <c r="P711" s="9"/>
      <c r="Q711" s="39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</row>
    <row r="712" spans="1:34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9"/>
      <c r="P712" s="9"/>
      <c r="Q712" s="39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</row>
    <row r="713" spans="1:34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9"/>
      <c r="P713" s="9"/>
      <c r="Q713" s="39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</row>
    <row r="714" spans="1:34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9"/>
      <c r="P714" s="9"/>
      <c r="Q714" s="39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</row>
    <row r="715" spans="1:34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9"/>
      <c r="P715" s="9"/>
      <c r="Q715" s="39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</row>
    <row r="716" spans="1:34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9"/>
      <c r="P716" s="9"/>
      <c r="Q716" s="39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</row>
    <row r="717" spans="1:34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9"/>
      <c r="P717" s="9"/>
      <c r="Q717" s="39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</row>
    <row r="718" spans="1:34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9"/>
      <c r="P718" s="9"/>
      <c r="Q718" s="39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</row>
    <row r="719" spans="1:34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9"/>
      <c r="P719" s="9"/>
      <c r="Q719" s="39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</row>
    <row r="720" spans="1:34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9"/>
      <c r="P720" s="9"/>
      <c r="Q720" s="39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</row>
    <row r="721" spans="1:34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9"/>
      <c r="P721" s="9"/>
      <c r="Q721" s="39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</row>
    <row r="722" spans="1:34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9"/>
      <c r="P722" s="9"/>
      <c r="Q722" s="39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</row>
    <row r="723" spans="1:34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9"/>
      <c r="P723" s="9"/>
      <c r="Q723" s="39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</row>
    <row r="724" spans="1:34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9"/>
      <c r="P724" s="9"/>
      <c r="Q724" s="39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</row>
    <row r="725" spans="1:34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9"/>
      <c r="P725" s="9"/>
      <c r="Q725" s="39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</row>
    <row r="726" spans="1:34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9"/>
      <c r="P726" s="9"/>
      <c r="Q726" s="39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</row>
    <row r="727" spans="1:34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9"/>
      <c r="P727" s="9"/>
      <c r="Q727" s="39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</row>
    <row r="728" spans="1:34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9"/>
      <c r="P728" s="9"/>
      <c r="Q728" s="39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</row>
    <row r="729" spans="1:34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9"/>
      <c r="P729" s="9"/>
      <c r="Q729" s="39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</row>
    <row r="730" spans="1:34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9"/>
      <c r="P730" s="9"/>
      <c r="Q730" s="39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</row>
    <row r="731" spans="1:34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9"/>
      <c r="P731" s="9"/>
      <c r="Q731" s="39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</row>
    <row r="732" spans="1:34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9"/>
      <c r="P732" s="9"/>
      <c r="Q732" s="39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</row>
    <row r="733" spans="1:34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9"/>
      <c r="P733" s="9"/>
      <c r="Q733" s="39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</row>
    <row r="734" spans="1:34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9"/>
      <c r="P734" s="9"/>
      <c r="Q734" s="39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</row>
    <row r="735" spans="1:34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9"/>
      <c r="P735" s="9"/>
      <c r="Q735" s="39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</row>
    <row r="736" spans="1:34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9"/>
      <c r="P736" s="9"/>
      <c r="Q736" s="39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</row>
    <row r="737" spans="1:34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9"/>
      <c r="P737" s="9"/>
      <c r="Q737" s="39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</row>
    <row r="738" spans="1:34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9"/>
      <c r="P738" s="9"/>
      <c r="Q738" s="39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</row>
    <row r="739" spans="1:34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9"/>
      <c r="P739" s="9"/>
      <c r="Q739" s="39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</row>
    <row r="740" spans="1:34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9"/>
      <c r="P740" s="9"/>
      <c r="Q740" s="39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</row>
    <row r="741" spans="1:34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9"/>
      <c r="P741" s="9"/>
      <c r="Q741" s="39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</row>
    <row r="742" spans="1:34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9"/>
      <c r="P742" s="9"/>
      <c r="Q742" s="39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</row>
    <row r="743" spans="1:34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9"/>
      <c r="P743" s="9"/>
      <c r="Q743" s="39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</row>
    <row r="744" spans="1:34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9"/>
      <c r="P744" s="9"/>
      <c r="Q744" s="39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</row>
    <row r="745" spans="1:34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9"/>
      <c r="P745" s="9"/>
      <c r="Q745" s="39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</row>
    <row r="746" spans="1:34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9"/>
      <c r="P746" s="9"/>
      <c r="Q746" s="39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</row>
    <row r="747" spans="1:34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9"/>
      <c r="P747" s="9"/>
      <c r="Q747" s="39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</row>
    <row r="748" spans="1:34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9"/>
      <c r="P748" s="9"/>
      <c r="Q748" s="39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</row>
    <row r="749" spans="1:34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9"/>
      <c r="P749" s="9"/>
      <c r="Q749" s="39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</row>
    <row r="750" spans="1:34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9"/>
      <c r="P750" s="9"/>
      <c r="Q750" s="39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</row>
    <row r="751" spans="1:34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9"/>
      <c r="P751" s="9"/>
      <c r="Q751" s="39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</row>
    <row r="752" spans="1:34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9"/>
      <c r="P752" s="9"/>
      <c r="Q752" s="39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</row>
    <row r="753" spans="1:34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9"/>
      <c r="P753" s="9"/>
      <c r="Q753" s="39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</row>
    <row r="754" spans="1:34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9"/>
      <c r="P754" s="9"/>
      <c r="Q754" s="39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</row>
    <row r="755" spans="1:34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9"/>
      <c r="P755" s="9"/>
      <c r="Q755" s="39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</row>
    <row r="756" spans="1:34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9"/>
      <c r="P756" s="9"/>
      <c r="Q756" s="39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</row>
    <row r="757" spans="1:34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9"/>
      <c r="P757" s="9"/>
      <c r="Q757" s="39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</row>
    <row r="758" spans="1:34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9"/>
      <c r="P758" s="9"/>
      <c r="Q758" s="39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</row>
    <row r="759" spans="1:34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9"/>
      <c r="P759" s="9"/>
      <c r="Q759" s="39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</row>
    <row r="760" spans="1:34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9"/>
      <c r="P760" s="9"/>
      <c r="Q760" s="39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</row>
    <row r="761" spans="1:34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9"/>
      <c r="P761" s="9"/>
      <c r="Q761" s="39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</row>
    <row r="762" spans="1:34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9"/>
      <c r="P762" s="9"/>
      <c r="Q762" s="39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</row>
    <row r="763" spans="1:34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9"/>
      <c r="P763" s="9"/>
      <c r="Q763" s="39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</row>
    <row r="764" spans="1:34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9"/>
      <c r="P764" s="9"/>
      <c r="Q764" s="39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</row>
    <row r="765" spans="1:34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9"/>
      <c r="P765" s="9"/>
      <c r="Q765" s="39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</row>
    <row r="766" spans="1:34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9"/>
      <c r="P766" s="9"/>
      <c r="Q766" s="39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</row>
    <row r="767" spans="1:34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9"/>
      <c r="P767" s="9"/>
      <c r="Q767" s="39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</row>
    <row r="768" spans="1:34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9"/>
      <c r="P768" s="9"/>
      <c r="Q768" s="39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</row>
    <row r="769" spans="1:34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9"/>
      <c r="P769" s="9"/>
      <c r="Q769" s="39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</row>
    <row r="770" spans="1:34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9"/>
      <c r="P770" s="9"/>
      <c r="Q770" s="39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</row>
    <row r="771" spans="1:34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9"/>
      <c r="P771" s="9"/>
      <c r="Q771" s="39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</row>
    <row r="772" spans="1:34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9"/>
      <c r="P772" s="9"/>
      <c r="Q772" s="39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</row>
    <row r="773" spans="1:34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9"/>
      <c r="P773" s="9"/>
      <c r="Q773" s="39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</row>
    <row r="774" spans="1:34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9"/>
      <c r="P774" s="9"/>
      <c r="Q774" s="39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</row>
    <row r="775" spans="1:34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9"/>
      <c r="P775" s="9"/>
      <c r="Q775" s="39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</row>
    <row r="776" spans="1:34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9"/>
      <c r="P776" s="9"/>
      <c r="Q776" s="39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</row>
    <row r="777" spans="1:34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9"/>
      <c r="P777" s="9"/>
      <c r="Q777" s="39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</row>
    <row r="778" spans="1:34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9"/>
      <c r="P778" s="9"/>
      <c r="Q778" s="39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</row>
    <row r="779" spans="1:34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9"/>
      <c r="P779" s="9"/>
      <c r="Q779" s="39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</row>
    <row r="780" spans="1:34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9"/>
      <c r="P780" s="9"/>
      <c r="Q780" s="39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</row>
    <row r="781" spans="1:34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9"/>
      <c r="P781" s="9"/>
      <c r="Q781" s="39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</row>
    <row r="782" spans="1:34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9"/>
      <c r="P782" s="9"/>
      <c r="Q782" s="39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</row>
    <row r="783" spans="1:34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9"/>
      <c r="P783" s="9"/>
      <c r="Q783" s="39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</row>
    <row r="784" spans="1:34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9"/>
      <c r="P784" s="9"/>
      <c r="Q784" s="39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</row>
    <row r="785" spans="1:34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9"/>
      <c r="P785" s="9"/>
      <c r="Q785" s="39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</row>
    <row r="786" spans="1:34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9"/>
      <c r="P786" s="9"/>
      <c r="Q786" s="39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</row>
    <row r="787" spans="1:34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9"/>
      <c r="P787" s="9"/>
      <c r="Q787" s="39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</row>
    <row r="788" spans="1:34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9"/>
      <c r="P788" s="9"/>
      <c r="Q788" s="39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</row>
    <row r="789" spans="1:34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9"/>
      <c r="P789" s="9"/>
      <c r="Q789" s="39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</row>
    <row r="790" spans="1:34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9"/>
      <c r="P790" s="9"/>
      <c r="Q790" s="39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</row>
    <row r="791" spans="1:34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9"/>
      <c r="P791" s="9"/>
      <c r="Q791" s="39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</row>
    <row r="792" spans="1:34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9"/>
      <c r="P792" s="9"/>
      <c r="Q792" s="39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</row>
    <row r="793" spans="1:34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9"/>
      <c r="P793" s="9"/>
      <c r="Q793" s="39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</row>
    <row r="794" spans="1:34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9"/>
      <c r="P794" s="9"/>
      <c r="Q794" s="39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</row>
    <row r="795" spans="1:34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9"/>
      <c r="P795" s="9"/>
      <c r="Q795" s="39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</row>
    <row r="796" spans="1:34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9"/>
      <c r="P796" s="9"/>
      <c r="Q796" s="39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</row>
    <row r="797" spans="1:34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9"/>
      <c r="P797" s="9"/>
      <c r="Q797" s="39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</row>
    <row r="798" spans="1:34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9"/>
      <c r="P798" s="9"/>
      <c r="Q798" s="39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</row>
    <row r="799" spans="1:34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9"/>
      <c r="P799" s="9"/>
      <c r="Q799" s="39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</row>
    <row r="800" spans="1:34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9"/>
      <c r="P800" s="9"/>
      <c r="Q800" s="39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</row>
    <row r="801" spans="1:34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9"/>
      <c r="P801" s="9"/>
      <c r="Q801" s="39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</row>
    <row r="802" spans="1:34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9"/>
      <c r="P802" s="9"/>
      <c r="Q802" s="39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</row>
    <row r="803" spans="1:34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9"/>
      <c r="P803" s="9"/>
      <c r="Q803" s="39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</row>
    <row r="804" spans="1:34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9"/>
      <c r="P804" s="9"/>
      <c r="Q804" s="39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</row>
    <row r="805" spans="1:34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9"/>
      <c r="P805" s="9"/>
      <c r="Q805" s="39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</row>
    <row r="806" spans="1:34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9"/>
      <c r="P806" s="9"/>
      <c r="Q806" s="39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</row>
    <row r="807" spans="1:34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9"/>
      <c r="P807" s="9"/>
      <c r="Q807" s="39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</row>
    <row r="808" spans="1:34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9"/>
      <c r="P808" s="9"/>
      <c r="Q808" s="39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</row>
    <row r="809" spans="1:34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9"/>
      <c r="P809" s="9"/>
      <c r="Q809" s="39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</row>
    <row r="810" spans="1:34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9"/>
      <c r="P810" s="9"/>
      <c r="Q810" s="39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</row>
    <row r="811" spans="1:34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9"/>
      <c r="P811" s="9"/>
      <c r="Q811" s="39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</row>
    <row r="812" spans="1:34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9"/>
      <c r="P812" s="9"/>
      <c r="Q812" s="39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</row>
    <row r="813" spans="1:34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9"/>
      <c r="P813" s="9"/>
      <c r="Q813" s="39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</row>
    <row r="814" spans="1:34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9"/>
      <c r="P814" s="9"/>
      <c r="Q814" s="39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</row>
    <row r="815" spans="1:34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9"/>
      <c r="P815" s="9"/>
      <c r="Q815" s="39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</row>
    <row r="816" spans="1:34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9"/>
      <c r="P816" s="9"/>
      <c r="Q816" s="39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</row>
    <row r="817" spans="1:34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9"/>
      <c r="P817" s="9"/>
      <c r="Q817" s="39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</row>
    <row r="818" spans="1:34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9"/>
      <c r="P818" s="9"/>
      <c r="Q818" s="39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</row>
    <row r="819" spans="1:34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9"/>
      <c r="P819" s="9"/>
      <c r="Q819" s="39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</row>
    <row r="820" spans="1:34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9"/>
      <c r="P820" s="9"/>
      <c r="Q820" s="39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</row>
    <row r="821" spans="1:34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9"/>
      <c r="P821" s="9"/>
      <c r="Q821" s="39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</row>
    <row r="822" spans="1:34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9"/>
      <c r="P822" s="9"/>
      <c r="Q822" s="39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</row>
    <row r="823" spans="1:34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9"/>
      <c r="P823" s="9"/>
      <c r="Q823" s="39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</row>
    <row r="824" spans="1:34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9"/>
      <c r="P824" s="9"/>
      <c r="Q824" s="39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</row>
    <row r="825" spans="1:34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9"/>
      <c r="P825" s="9"/>
      <c r="Q825" s="39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</row>
    <row r="826" spans="1:34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9"/>
      <c r="P826" s="9"/>
      <c r="Q826" s="39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</row>
    <row r="827" spans="1:34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9"/>
      <c r="P827" s="9"/>
      <c r="Q827" s="39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</row>
    <row r="828" spans="1:34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9"/>
      <c r="P828" s="9"/>
      <c r="Q828" s="39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</row>
    <row r="829" spans="1:34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9"/>
      <c r="P829" s="9"/>
      <c r="Q829" s="39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</row>
    <row r="830" spans="1:34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9"/>
      <c r="P830" s="9"/>
      <c r="Q830" s="39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</row>
    <row r="831" spans="1:34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9"/>
      <c r="P831" s="9"/>
      <c r="Q831" s="39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</row>
    <row r="832" spans="1:34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9"/>
      <c r="P832" s="9"/>
      <c r="Q832" s="39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</row>
    <row r="833" spans="1:34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9"/>
      <c r="P833" s="9"/>
      <c r="Q833" s="39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</row>
    <row r="834" spans="1:34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9"/>
      <c r="P834" s="9"/>
      <c r="Q834" s="39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</row>
    <row r="835" spans="1:34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9"/>
      <c r="P835" s="9"/>
      <c r="Q835" s="39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</row>
    <row r="836" spans="1:34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9"/>
      <c r="P836" s="9"/>
      <c r="Q836" s="39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</row>
    <row r="837" spans="1:34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9"/>
      <c r="P837" s="9"/>
      <c r="Q837" s="39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</row>
    <row r="838" spans="1:34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9"/>
      <c r="P838" s="9"/>
      <c r="Q838" s="39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</row>
    <row r="839" spans="1:34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9"/>
      <c r="P839" s="9"/>
      <c r="Q839" s="39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</row>
    <row r="840" spans="1:34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9"/>
      <c r="P840" s="9"/>
      <c r="Q840" s="39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</row>
    <row r="841" spans="1:34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9"/>
      <c r="P841" s="9"/>
      <c r="Q841" s="39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</row>
    <row r="842" spans="1:34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9"/>
      <c r="P842" s="9"/>
      <c r="Q842" s="39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</row>
    <row r="843" spans="1:34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9"/>
      <c r="P843" s="9"/>
      <c r="Q843" s="39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</row>
    <row r="844" spans="1:34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9"/>
      <c r="P844" s="9"/>
      <c r="Q844" s="39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</row>
    <row r="845" spans="1:34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9"/>
      <c r="P845" s="9"/>
      <c r="Q845" s="39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</row>
    <row r="846" spans="1:34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9"/>
      <c r="P846" s="9"/>
      <c r="Q846" s="39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</row>
    <row r="847" spans="1:34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9"/>
      <c r="P847" s="9"/>
      <c r="Q847" s="39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</row>
    <row r="848" spans="1:34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9"/>
      <c r="P848" s="9"/>
      <c r="Q848" s="39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</row>
    <row r="849" spans="1:34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9"/>
      <c r="P849" s="9"/>
      <c r="Q849" s="39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</row>
    <row r="850" spans="1:34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9"/>
      <c r="P850" s="9"/>
      <c r="Q850" s="39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</row>
    <row r="851" spans="1:34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9"/>
      <c r="P851" s="9"/>
      <c r="Q851" s="39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</row>
    <row r="852" spans="1:34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9"/>
      <c r="P852" s="9"/>
      <c r="Q852" s="39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</row>
    <row r="853" spans="1:34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9"/>
      <c r="P853" s="9"/>
      <c r="Q853" s="39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</row>
    <row r="854" spans="1:34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9"/>
      <c r="P854" s="9"/>
      <c r="Q854" s="39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</row>
    <row r="855" spans="1:34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9"/>
      <c r="P855" s="9"/>
      <c r="Q855" s="39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</row>
    <row r="856" spans="1:34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9"/>
      <c r="P856" s="9"/>
      <c r="Q856" s="39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</row>
    <row r="857" spans="1:34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9"/>
      <c r="P857" s="9"/>
      <c r="Q857" s="39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</row>
    <row r="858" spans="1:34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9"/>
      <c r="P858" s="9"/>
      <c r="Q858" s="39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</row>
    <row r="859" spans="1:34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9"/>
      <c r="P859" s="9"/>
      <c r="Q859" s="39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</row>
    <row r="860" spans="1:34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9"/>
      <c r="P860" s="9"/>
      <c r="Q860" s="39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</row>
    <row r="861" spans="1:34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9"/>
      <c r="P861" s="9"/>
      <c r="Q861" s="39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</row>
    <row r="862" spans="1:34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9"/>
      <c r="P862" s="9"/>
      <c r="Q862" s="39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</row>
    <row r="863" spans="1:34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9"/>
      <c r="P863" s="9"/>
      <c r="Q863" s="39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</row>
    <row r="864" spans="1:34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9"/>
      <c r="P864" s="9"/>
      <c r="Q864" s="39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</row>
    <row r="865" spans="1:34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9"/>
      <c r="P865" s="9"/>
      <c r="Q865" s="39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</row>
    <row r="866" spans="1:34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9"/>
      <c r="P866" s="9"/>
      <c r="Q866" s="39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</row>
    <row r="867" spans="1:34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9"/>
      <c r="P867" s="9"/>
      <c r="Q867" s="39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</row>
    <row r="868" spans="1:34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9"/>
      <c r="P868" s="9"/>
      <c r="Q868" s="39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</row>
    <row r="869" spans="1:34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9"/>
      <c r="P869" s="9"/>
      <c r="Q869" s="39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</row>
    <row r="870" spans="1:34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9"/>
      <c r="P870" s="9"/>
      <c r="Q870" s="39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</row>
    <row r="871" spans="1:34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9"/>
      <c r="P871" s="9"/>
      <c r="Q871" s="39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</row>
    <row r="872" spans="1:34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9"/>
      <c r="P872" s="9"/>
      <c r="Q872" s="39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</row>
    <row r="873" spans="1:34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9"/>
      <c r="P873" s="9"/>
      <c r="Q873" s="39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</row>
    <row r="874" spans="1:34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9"/>
      <c r="P874" s="9"/>
      <c r="Q874" s="39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</row>
    <row r="875" spans="1:34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9"/>
      <c r="P875" s="9"/>
      <c r="Q875" s="39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</row>
    <row r="876" spans="1:34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9"/>
      <c r="P876" s="9"/>
      <c r="Q876" s="39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</row>
    <row r="877" spans="1:34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9"/>
      <c r="P877" s="9"/>
      <c r="Q877" s="39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</row>
    <row r="878" spans="1:34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9"/>
      <c r="P878" s="9"/>
      <c r="Q878" s="39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</row>
    <row r="879" spans="1:34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9"/>
      <c r="P879" s="9"/>
      <c r="Q879" s="39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</row>
    <row r="880" spans="1:34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9"/>
      <c r="P880" s="9"/>
      <c r="Q880" s="39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</row>
    <row r="881" spans="1:34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9"/>
      <c r="P881" s="9"/>
      <c r="Q881" s="39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</row>
    <row r="882" spans="1:34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9"/>
      <c r="P882" s="9"/>
      <c r="Q882" s="39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</row>
    <row r="883" spans="1:34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9"/>
      <c r="P883" s="9"/>
      <c r="Q883" s="39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</row>
    <row r="884" spans="1:34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9"/>
      <c r="P884" s="9"/>
      <c r="Q884" s="39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</row>
    <row r="885" spans="1:34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9"/>
      <c r="P885" s="9"/>
      <c r="Q885" s="39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</row>
    <row r="886" spans="1:34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9"/>
      <c r="P886" s="9"/>
      <c r="Q886" s="39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</row>
    <row r="887" spans="1:34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9"/>
      <c r="P887" s="9"/>
      <c r="Q887" s="39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</row>
    <row r="888" spans="1:34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9"/>
      <c r="P888" s="9"/>
      <c r="Q888" s="39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</row>
    <row r="889" spans="1:34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9"/>
      <c r="P889" s="9"/>
      <c r="Q889" s="39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</row>
    <row r="890" spans="1:34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9"/>
      <c r="P890" s="9"/>
      <c r="Q890" s="39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</row>
    <row r="891" spans="1:34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9"/>
      <c r="P891" s="9"/>
      <c r="Q891" s="39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</row>
    <row r="892" spans="1:34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9"/>
      <c r="P892" s="9"/>
      <c r="Q892" s="39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</row>
    <row r="893" spans="1:34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9"/>
      <c r="P893" s="9"/>
      <c r="Q893" s="39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</row>
    <row r="894" spans="1:34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9"/>
      <c r="P894" s="9"/>
      <c r="Q894" s="39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</row>
    <row r="895" spans="1:34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9"/>
      <c r="P895" s="9"/>
      <c r="Q895" s="39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</row>
    <row r="896" spans="1:34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9"/>
      <c r="P896" s="9"/>
      <c r="Q896" s="39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</row>
    <row r="897" spans="1:34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9"/>
      <c r="P897" s="9"/>
      <c r="Q897" s="39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</row>
    <row r="898" spans="1:34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9"/>
      <c r="P898" s="9"/>
      <c r="Q898" s="39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</row>
    <row r="899" spans="1:34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9"/>
      <c r="P899" s="9"/>
      <c r="Q899" s="39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</row>
    <row r="900" spans="1:34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9"/>
      <c r="P900" s="9"/>
      <c r="Q900" s="39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</row>
    <row r="901" spans="1:34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9"/>
      <c r="P901" s="9"/>
      <c r="Q901" s="39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</row>
    <row r="902" spans="1:34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9"/>
      <c r="P902" s="9"/>
      <c r="Q902" s="39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</row>
    <row r="903" spans="1:34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9"/>
      <c r="P903" s="9"/>
      <c r="Q903" s="39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</row>
    <row r="904" spans="1:34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9"/>
      <c r="P904" s="9"/>
      <c r="Q904" s="39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</row>
    <row r="905" spans="1:34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9"/>
      <c r="P905" s="9"/>
      <c r="Q905" s="39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</row>
    <row r="906" spans="1:34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9"/>
      <c r="P906" s="9"/>
      <c r="Q906" s="39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</row>
    <row r="907" spans="1:34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9"/>
      <c r="P907" s="9"/>
      <c r="Q907" s="39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</row>
    <row r="908" spans="1:34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9"/>
      <c r="P908" s="9"/>
      <c r="Q908" s="39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</row>
    <row r="909" spans="1:34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9"/>
      <c r="P909" s="9"/>
      <c r="Q909" s="39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</row>
    <row r="910" spans="1:34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9"/>
      <c r="P910" s="9"/>
      <c r="Q910" s="39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</row>
    <row r="911" spans="1:34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9"/>
      <c r="P911" s="9"/>
      <c r="Q911" s="39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</row>
    <row r="912" spans="1:34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9"/>
      <c r="P912" s="9"/>
      <c r="Q912" s="39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</row>
    <row r="913" spans="1:34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9"/>
      <c r="P913" s="9"/>
      <c r="Q913" s="39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</row>
    <row r="914" spans="1:34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9"/>
      <c r="P914" s="9"/>
      <c r="Q914" s="39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</row>
    <row r="915" spans="1:34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9"/>
      <c r="P915" s="9"/>
      <c r="Q915" s="39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</row>
    <row r="916" spans="1:34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9"/>
      <c r="P916" s="9"/>
      <c r="Q916" s="39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</row>
    <row r="917" spans="1:34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9"/>
      <c r="P917" s="9"/>
      <c r="Q917" s="39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</row>
    <row r="918" spans="1:34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9"/>
      <c r="P918" s="9"/>
      <c r="Q918" s="39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</row>
    <row r="919" spans="1:34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9"/>
      <c r="P919" s="9"/>
      <c r="Q919" s="39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</row>
    <row r="920" spans="1:34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9"/>
      <c r="P920" s="9"/>
      <c r="Q920" s="39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</row>
    <row r="921" spans="1:34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9"/>
      <c r="P921" s="9"/>
      <c r="Q921" s="39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</row>
    <row r="922" spans="1:34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9"/>
      <c r="P922" s="9"/>
      <c r="Q922" s="39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</row>
    <row r="923" spans="1:34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9"/>
      <c r="P923" s="9"/>
      <c r="Q923" s="39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</row>
    <row r="924" spans="1:34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9"/>
      <c r="P924" s="9"/>
      <c r="Q924" s="39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</row>
    <row r="925" spans="1:34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9"/>
      <c r="P925" s="9"/>
      <c r="Q925" s="39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</row>
    <row r="926" spans="1:34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9"/>
      <c r="P926" s="9"/>
      <c r="Q926" s="39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</row>
    <row r="927" spans="1:34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9"/>
      <c r="P927" s="9"/>
      <c r="Q927" s="39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</row>
    <row r="928" spans="1:34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9"/>
      <c r="P928" s="9"/>
      <c r="Q928" s="39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</row>
    <row r="929" spans="1:34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9"/>
      <c r="P929" s="9"/>
      <c r="Q929" s="39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</row>
    <row r="930" spans="1:34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9"/>
      <c r="P930" s="9"/>
      <c r="Q930" s="39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</row>
    <row r="931" spans="1:34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9"/>
      <c r="P931" s="9"/>
      <c r="Q931" s="39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</row>
    <row r="932" spans="1:34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9"/>
      <c r="P932" s="9"/>
      <c r="Q932" s="39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</row>
    <row r="933" spans="1:34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9"/>
      <c r="P933" s="9"/>
      <c r="Q933" s="39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</row>
    <row r="934" spans="1:34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9"/>
      <c r="P934" s="9"/>
      <c r="Q934" s="39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</row>
    <row r="935" spans="1:34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9"/>
      <c r="P935" s="9"/>
      <c r="Q935" s="39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</row>
    <row r="936" spans="1:34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9"/>
      <c r="P936" s="9"/>
      <c r="Q936" s="39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</row>
    <row r="937" spans="1:34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9"/>
      <c r="P937" s="9"/>
      <c r="Q937" s="39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</row>
    <row r="938" spans="1:34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9"/>
      <c r="P938" s="9"/>
      <c r="Q938" s="39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</row>
    <row r="939" spans="1:34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9"/>
      <c r="P939" s="9"/>
      <c r="Q939" s="39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</row>
    <row r="940" spans="1:34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9"/>
      <c r="P940" s="9"/>
      <c r="Q940" s="39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</row>
    <row r="941" spans="1:34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9"/>
      <c r="P941" s="9"/>
      <c r="Q941" s="39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</row>
    <row r="942" spans="1:34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9"/>
      <c r="P942" s="9"/>
      <c r="Q942" s="39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</row>
    <row r="943" spans="1:34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9"/>
      <c r="P943" s="9"/>
      <c r="Q943" s="39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</row>
    <row r="944" spans="1:34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9"/>
      <c r="P944" s="9"/>
      <c r="Q944" s="39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</row>
    <row r="945" spans="1:34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9"/>
      <c r="P945" s="9"/>
      <c r="Q945" s="39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</row>
    <row r="946" spans="1:34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9"/>
      <c r="P946" s="9"/>
      <c r="Q946" s="39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</row>
    <row r="947" spans="1:34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9"/>
      <c r="P947" s="9"/>
      <c r="Q947" s="39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</row>
    <row r="948" spans="1:34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9"/>
      <c r="P948" s="9"/>
      <c r="Q948" s="39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</row>
    <row r="949" spans="1:34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9"/>
      <c r="P949" s="9"/>
      <c r="Q949" s="39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</row>
    <row r="950" spans="1:34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9"/>
      <c r="P950" s="9"/>
      <c r="Q950" s="39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</row>
    <row r="951" spans="1:34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9"/>
      <c r="P951" s="9"/>
      <c r="Q951" s="39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</row>
    <row r="952" spans="1:34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9"/>
      <c r="P952" s="9"/>
      <c r="Q952" s="39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</row>
    <row r="953" spans="1:34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9"/>
      <c r="P953" s="9"/>
      <c r="Q953" s="39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</row>
    <row r="954" spans="1:34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9"/>
      <c r="P954" s="9"/>
      <c r="Q954" s="39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</row>
    <row r="955" spans="1:34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9"/>
      <c r="P955" s="9"/>
      <c r="Q955" s="39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</row>
    <row r="956" spans="1:34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9"/>
      <c r="P956" s="9"/>
      <c r="Q956" s="39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</row>
    <row r="957" spans="1:34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9"/>
      <c r="P957" s="9"/>
      <c r="Q957" s="39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</row>
    <row r="958" spans="1:34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9"/>
      <c r="P958" s="9"/>
      <c r="Q958" s="39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</row>
    <row r="959" spans="1:34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9"/>
      <c r="P959" s="9"/>
      <c r="Q959" s="39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</row>
    <row r="960" spans="1:34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9"/>
      <c r="P960" s="9"/>
      <c r="Q960" s="39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</row>
    <row r="961" spans="1:34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9"/>
      <c r="P961" s="9"/>
      <c r="Q961" s="39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</row>
    <row r="962" spans="1:34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9"/>
      <c r="P962" s="9"/>
      <c r="Q962" s="39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</row>
    <row r="963" spans="1:34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9"/>
      <c r="P963" s="9"/>
      <c r="Q963" s="39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</row>
    <row r="964" spans="1:34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9"/>
      <c r="P964" s="9"/>
      <c r="Q964" s="39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</row>
    <row r="965" spans="1:34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9"/>
      <c r="P965" s="9"/>
      <c r="Q965" s="39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</row>
    <row r="966" spans="1:34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9"/>
      <c r="P966" s="9"/>
      <c r="Q966" s="39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</row>
    <row r="967" spans="1:34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9"/>
      <c r="P967" s="9"/>
      <c r="Q967" s="39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</row>
    <row r="968" spans="1:34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9"/>
      <c r="P968" s="9"/>
      <c r="Q968" s="39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</row>
    <row r="969" spans="1:34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9"/>
      <c r="P969" s="9"/>
      <c r="Q969" s="39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</row>
    <row r="970" spans="1:34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9"/>
      <c r="P970" s="9"/>
      <c r="Q970" s="39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</row>
    <row r="971" spans="1:34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9"/>
      <c r="P971" s="9"/>
      <c r="Q971" s="39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</row>
    <row r="972" spans="1:34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9"/>
      <c r="P972" s="9"/>
      <c r="Q972" s="39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</row>
    <row r="973" spans="1:34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9"/>
      <c r="P973" s="9"/>
      <c r="Q973" s="39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</row>
    <row r="974" spans="1:34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9"/>
      <c r="P974" s="9"/>
      <c r="Q974" s="39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</row>
    <row r="975" spans="1:34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9"/>
      <c r="P975" s="9"/>
      <c r="Q975" s="39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</row>
    <row r="976" spans="1:34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9"/>
      <c r="P976" s="9"/>
      <c r="Q976" s="39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</row>
    <row r="977" spans="1:34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9"/>
      <c r="P977" s="9"/>
      <c r="Q977" s="39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</row>
    <row r="978" spans="1:34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9"/>
      <c r="P978" s="9"/>
      <c r="Q978" s="39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</row>
    <row r="979" spans="1:34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9"/>
      <c r="P979" s="9"/>
      <c r="Q979" s="39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</row>
    <row r="980" spans="1:34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9"/>
      <c r="P980" s="9"/>
      <c r="Q980" s="39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</row>
    <row r="981" spans="1:34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9"/>
      <c r="P981" s="9"/>
      <c r="Q981" s="39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</row>
    <row r="982" spans="1:34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9"/>
      <c r="P982" s="9"/>
      <c r="Q982" s="39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</row>
    <row r="983" spans="1:34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9"/>
      <c r="P983" s="9"/>
      <c r="Q983" s="39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</row>
    <row r="984" spans="1:34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9"/>
      <c r="P984" s="9"/>
      <c r="Q984" s="39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</row>
    <row r="985" spans="1:34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9"/>
      <c r="P985" s="9"/>
      <c r="Q985" s="39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</row>
    <row r="986" spans="1:34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9"/>
      <c r="P986" s="9"/>
      <c r="Q986" s="39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</row>
    <row r="987" spans="1:34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9"/>
      <c r="P987" s="9"/>
      <c r="Q987" s="39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</row>
    <row r="988" spans="1:34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9"/>
      <c r="P988" s="9"/>
      <c r="Q988" s="39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</row>
    <row r="989" spans="1:34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9"/>
      <c r="P989" s="9"/>
      <c r="Q989" s="39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</row>
    <row r="990" spans="1:34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9"/>
      <c r="P990" s="9"/>
      <c r="Q990" s="39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</row>
    <row r="991" spans="1:34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9"/>
      <c r="P991" s="9"/>
      <c r="Q991" s="39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</row>
    <row r="992" spans="1:34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9"/>
      <c r="P992" s="9"/>
      <c r="Q992" s="39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</row>
    <row r="993" spans="1:34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9"/>
      <c r="P993" s="9"/>
      <c r="Q993" s="39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</row>
    <row r="994" spans="1:34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9"/>
      <c r="P994" s="9"/>
      <c r="Q994" s="39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</row>
    <row r="995" spans="1:34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9"/>
      <c r="P995" s="9"/>
      <c r="Q995" s="39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</row>
    <row r="996" spans="1:34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9"/>
      <c r="P996" s="9"/>
      <c r="Q996" s="39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</row>
    <row r="997" spans="1:34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9"/>
      <c r="P997" s="9"/>
      <c r="Q997" s="39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</row>
    <row r="998" spans="1:34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9"/>
      <c r="P998" s="9"/>
      <c r="Q998" s="39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</row>
    <row r="999" spans="1:34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9"/>
      <c r="P999" s="9"/>
      <c r="Q999" s="39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</row>
    <row r="1000" spans="1:34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9"/>
      <c r="P1000" s="9"/>
      <c r="Q1000" s="39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</row>
    <row r="1001" spans="1:34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9"/>
      <c r="P1001" s="9"/>
      <c r="Q1001" s="39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</row>
    <row r="1002" spans="1:34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9"/>
      <c r="P1002" s="9"/>
      <c r="Q1002" s="39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</row>
    <row r="1003" spans="1:34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9"/>
      <c r="P1003" s="9"/>
      <c r="Q1003" s="39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</row>
    <row r="1004" spans="1:34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9"/>
      <c r="P1004" s="9"/>
      <c r="Q1004" s="39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</row>
    <row r="1005" spans="1:34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9"/>
      <c r="P1005" s="9"/>
      <c r="Q1005" s="39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</row>
    <row r="1006" spans="1:34" x14ac:dyDescent="0.2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9"/>
      <c r="P1006" s="9"/>
      <c r="Q1006" s="39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</row>
    <row r="1007" spans="1:34" x14ac:dyDescent="0.2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9"/>
      <c r="P1007" s="9"/>
      <c r="Q1007" s="39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</row>
    <row r="1008" spans="1:34" x14ac:dyDescent="0.2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9"/>
      <c r="P1008" s="9"/>
      <c r="Q1008" s="39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</row>
    <row r="1009" spans="1:34" x14ac:dyDescent="0.2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9"/>
      <c r="P1009" s="9"/>
      <c r="Q1009" s="39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</row>
    <row r="1010" spans="1:34" x14ac:dyDescent="0.2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9"/>
      <c r="P1010" s="9"/>
      <c r="Q1010" s="39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</row>
    <row r="1011" spans="1:34" x14ac:dyDescent="0.2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9"/>
      <c r="P1011" s="9"/>
      <c r="Q1011" s="39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</row>
    <row r="1012" spans="1:34" x14ac:dyDescent="0.2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9"/>
      <c r="P1012" s="9"/>
      <c r="Q1012" s="39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</row>
    <row r="1013" spans="1:34" x14ac:dyDescent="0.2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9"/>
      <c r="P1013" s="9"/>
      <c r="Q1013" s="39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</row>
    <row r="1014" spans="1:34" x14ac:dyDescent="0.2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9"/>
      <c r="P1014" s="9"/>
      <c r="Q1014" s="39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</row>
    <row r="1015" spans="1:34" x14ac:dyDescent="0.2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9"/>
      <c r="P1015" s="9"/>
      <c r="Q1015" s="39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</row>
    <row r="1016" spans="1:34" x14ac:dyDescent="0.2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9"/>
      <c r="P1016" s="9"/>
      <c r="Q1016" s="39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</row>
    <row r="1017" spans="1:34" x14ac:dyDescent="0.2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9"/>
      <c r="P1017" s="9"/>
      <c r="Q1017" s="39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</row>
    <row r="1018" spans="1:34" x14ac:dyDescent="0.2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9"/>
      <c r="P1018" s="9"/>
      <c r="Q1018" s="39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</row>
    <row r="1019" spans="1:34" x14ac:dyDescent="0.2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9"/>
      <c r="P1019" s="9"/>
      <c r="Q1019" s="39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</row>
    <row r="1020" spans="1:34" x14ac:dyDescent="0.2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9"/>
      <c r="P1020" s="9"/>
      <c r="Q1020" s="39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</row>
    <row r="1021" spans="1:34" x14ac:dyDescent="0.2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9"/>
      <c r="P1021" s="9"/>
      <c r="Q1021" s="39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</row>
    <row r="1022" spans="1:34" x14ac:dyDescent="0.25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9"/>
      <c r="P1022" s="9"/>
      <c r="Q1022" s="39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</row>
    <row r="1023" spans="1:34" x14ac:dyDescent="0.25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9"/>
      <c r="P1023" s="9"/>
      <c r="Q1023" s="39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</row>
    <row r="1024" spans="1:34" x14ac:dyDescent="0.25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9"/>
      <c r="P1024" s="9"/>
      <c r="Q1024" s="39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</row>
    <row r="1025" spans="1:34" x14ac:dyDescent="0.25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9"/>
      <c r="P1025" s="9"/>
      <c r="Q1025" s="39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</row>
    <row r="1026" spans="1:34" x14ac:dyDescent="0.25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9"/>
      <c r="P1026" s="9"/>
      <c r="Q1026" s="39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</row>
    <row r="1027" spans="1:34" x14ac:dyDescent="0.25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9"/>
      <c r="P1027" s="9"/>
      <c r="Q1027" s="39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</row>
    <row r="1028" spans="1:34" x14ac:dyDescent="0.25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9"/>
      <c r="P1028" s="9"/>
      <c r="Q1028" s="39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</row>
    <row r="1029" spans="1:34" x14ac:dyDescent="0.25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9"/>
      <c r="P1029" s="9"/>
      <c r="Q1029" s="39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</row>
    <row r="1030" spans="1:34" x14ac:dyDescent="0.25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9"/>
      <c r="P1030" s="9"/>
      <c r="Q1030" s="39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</row>
    <row r="1031" spans="1:34" x14ac:dyDescent="0.25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9"/>
      <c r="P1031" s="9"/>
      <c r="Q1031" s="39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</row>
    <row r="1032" spans="1:34" x14ac:dyDescent="0.25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9"/>
      <c r="P1032" s="9"/>
      <c r="Q1032" s="39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</row>
    <row r="1033" spans="1:34" x14ac:dyDescent="0.25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9"/>
      <c r="P1033" s="9"/>
      <c r="Q1033" s="39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</row>
    <row r="1034" spans="1:34" x14ac:dyDescent="0.25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9"/>
      <c r="P1034" s="9"/>
      <c r="Q1034" s="39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</row>
    <row r="1035" spans="1:34" x14ac:dyDescent="0.2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9"/>
      <c r="P1035" s="9"/>
      <c r="Q1035" s="39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</row>
    <row r="1036" spans="1:34" x14ac:dyDescent="0.25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9"/>
      <c r="P1036" s="9"/>
      <c r="Q1036" s="39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</row>
    <row r="1037" spans="1:34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9"/>
      <c r="P1037" s="9"/>
      <c r="Q1037" s="39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</row>
    <row r="1038" spans="1:34" x14ac:dyDescent="0.25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9"/>
      <c r="P1038" s="9"/>
      <c r="Q1038" s="39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</row>
    <row r="1039" spans="1:34" x14ac:dyDescent="0.25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9"/>
      <c r="P1039" s="9"/>
      <c r="Q1039" s="39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</row>
    <row r="1040" spans="1:34" x14ac:dyDescent="0.25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9"/>
      <c r="P1040" s="9"/>
      <c r="Q1040" s="39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</row>
    <row r="1041" spans="1:34" x14ac:dyDescent="0.25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9"/>
      <c r="P1041" s="9"/>
      <c r="Q1041" s="39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</row>
    <row r="1042" spans="1:34" x14ac:dyDescent="0.25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9"/>
      <c r="P1042" s="9"/>
      <c r="Q1042" s="39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</row>
    <row r="1043" spans="1:34" ht="15.75" customHeight="1" x14ac:dyDescent="0.25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9"/>
      <c r="P1043" s="9"/>
      <c r="Q1043" s="39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</row>
    <row r="1044" spans="1:34" ht="15.75" customHeight="1" x14ac:dyDescent="0.25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9"/>
      <c r="P1044" s="9"/>
      <c r="Q1044" s="39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</row>
    <row r="1045" spans="1:34" ht="15.75" customHeight="1" x14ac:dyDescent="0.25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9"/>
      <c r="P1045" s="9"/>
      <c r="Q1045" s="39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</row>
    <row r="1046" spans="1:34" ht="15.75" customHeight="1" x14ac:dyDescent="0.25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9"/>
      <c r="P1046" s="9"/>
      <c r="Q1046" s="39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</row>
    <row r="1047" spans="1:34" ht="15.75" customHeight="1" x14ac:dyDescent="0.25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9"/>
      <c r="P1047" s="9"/>
      <c r="Q1047" s="39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</row>
  </sheetData>
  <autoFilter ref="A1:N60" xr:uid="{00000000-0009-0000-0000-000001000000}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Tables</vt:lpstr>
      <vt:lpstr>Costs Data 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Nass</dc:creator>
  <cp:lastModifiedBy>Fred Nass</cp:lastModifiedBy>
  <dcterms:created xsi:type="dcterms:W3CDTF">2025-09-17T15:02:25Z</dcterms:created>
  <dcterms:modified xsi:type="dcterms:W3CDTF">2025-10-01T22:34:41Z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{41D44FEC-176C-45D2-8C0D-33193CCDD59A}</vt:lpwstr>
  </property>
</Properties>
</file>