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FILINGS\UT\2025\25-035-T03 Sch 37\4-23-25 Avoided Cost Update\Working docs\"/>
    </mc:Choice>
  </mc:AlternateContent>
  <xr:revisionPtr revIDLastSave="0" documentId="13_ncr:1_{317D1EFF-6945-4C47-AF63-451ADA460D30}" xr6:coauthVersionLast="47" xr6:coauthVersionMax="47" xr10:uidLastSave="{00000000-0000-0000-0000-000000000000}"/>
  <bookViews>
    <workbookView xWindow="28680" yWindow="-120" windowWidth="29040" windowHeight="15840" tabRatio="928" xr2:uid="{00000000-000D-0000-FFFF-FFFF00000000}"/>
  </bookViews>
  <sheets>
    <sheet name="Table 1 Portfolio UIWC Summary" sheetId="69" r:id="rId1"/>
    <sheet name="Table 2 Detailed Portfolio" sheetId="68" r:id="rId2"/>
    <sheet name="Table 3 QF Signed Queue" sheetId="66" r:id="rId3"/>
    <sheet name="Table 4 Comparison" sheetId="13" r:id="rId4"/>
    <sheet name="Table 5 Gas Price" sheetId="29" r:id="rId5"/>
    <sheet name=" Table 6 Electric Price" sheetId="32" r:id="rId6"/>
    <sheet name="Table7 Integration" sheetId="59" r:id="rId7"/>
    <sheet name="--- Do Not Print ---&gt;" sheetId="37" r:id="rId8"/>
    <sheet name="Tariff Page" sheetId="36" r:id="rId9"/>
    <sheet name="Tariff Page Solar Fixed" sheetId="44" r:id="rId10"/>
    <sheet name="Tariff Page Solar Tracking" sheetId="45" r:id="rId11"/>
    <sheet name="Tariff Page Wind" sheetId="39" r:id="rId12"/>
    <sheet name="OFPC Source" sheetId="62" r:id="rId13"/>
  </sheets>
  <externalReferences>
    <externalReference r:id="rId14"/>
    <externalReference r:id="rId15"/>
    <externalReference r:id="rId16"/>
    <externalReference r:id="rId17"/>
    <externalReference r:id="rId18"/>
  </externalReferences>
  <definedNames>
    <definedName name="_j1" localSheetId="12" hidden="1">{"PRINT",#N/A,TRUE,"APPA";"PRINT",#N/A,TRUE,"APS";"PRINT",#N/A,TRUE,"BHPL";"PRINT",#N/A,TRUE,"BHPL2";"PRINT",#N/A,TRUE,"CDWR";"PRINT",#N/A,TRUE,"EWEB";"PRINT",#N/A,TRUE,"LADWP";"PRINT",#N/A,TRUE,"NEVBASE"}</definedName>
    <definedName name="_j1" localSheetId="2" hidden="1">{"PRINT",#N/A,TRUE,"APPA";"PRINT",#N/A,TRUE,"APS";"PRINT",#N/A,TRUE,"BHPL";"PRINT",#N/A,TRUE,"BHPL2";"PRINT",#N/A,TRUE,"CDWR";"PRINT",#N/A,TRUE,"EWEB";"PRINT",#N/A,TRUE,"LADWP";"PRINT",#N/A,TRUE,"NEVBASE"}</definedName>
    <definedName name="_j1" hidden="1">{"PRINT",#N/A,TRUE,"APPA";"PRINT",#N/A,TRUE,"APS";"PRINT",#N/A,TRUE,"BHPL";"PRINT",#N/A,TRUE,"BHPL2";"PRINT",#N/A,TRUE,"CDWR";"PRINT",#N/A,TRUE,"EWEB";"PRINT",#N/A,TRUE,"LADWP";"PRINT",#N/A,TRUE,"NEVBASE"}</definedName>
    <definedName name="_j2" localSheetId="12" hidden="1">{"PRINT",#N/A,TRUE,"APPA";"PRINT",#N/A,TRUE,"APS";"PRINT",#N/A,TRUE,"BHPL";"PRINT",#N/A,TRUE,"BHPL2";"PRINT",#N/A,TRUE,"CDWR";"PRINT",#N/A,TRUE,"EWEB";"PRINT",#N/A,TRUE,"LADWP";"PRINT",#N/A,TRUE,"NEVBASE"}</definedName>
    <definedName name="_j2" localSheetId="2" hidden="1">{"PRINT",#N/A,TRUE,"APPA";"PRINT",#N/A,TRUE,"APS";"PRINT",#N/A,TRUE,"BHPL";"PRINT",#N/A,TRUE,"BHPL2";"PRINT",#N/A,TRUE,"CDWR";"PRINT",#N/A,TRUE,"EWEB";"PRINT",#N/A,TRUE,"LADWP";"PRINT",#N/A,TRUE,"NEVBASE"}</definedName>
    <definedName name="_j2" hidden="1">{"PRINT",#N/A,TRUE,"APPA";"PRINT",#N/A,TRUE,"APS";"PRINT",#N/A,TRUE,"BHPL";"PRINT",#N/A,TRUE,"BHPL2";"PRINT",#N/A,TRUE,"CDWR";"PRINT",#N/A,TRUE,"EWEB";"PRINT",#N/A,TRUE,"LADWP";"PRINT",#N/A,TRUE,"NEVBASE"}</definedName>
    <definedName name="_j3" localSheetId="12" hidden="1">{"PRINT",#N/A,TRUE,"APPA";"PRINT",#N/A,TRUE,"APS";"PRINT",#N/A,TRUE,"BHPL";"PRINT",#N/A,TRUE,"BHPL2";"PRINT",#N/A,TRUE,"CDWR";"PRINT",#N/A,TRUE,"EWEB";"PRINT",#N/A,TRUE,"LADWP";"PRINT",#N/A,TRUE,"NEVBASE"}</definedName>
    <definedName name="_j3" localSheetId="2" hidden="1">{"PRINT",#N/A,TRUE,"APPA";"PRINT",#N/A,TRUE,"APS";"PRINT",#N/A,TRUE,"BHPL";"PRINT",#N/A,TRUE,"BHPL2";"PRINT",#N/A,TRUE,"CDWR";"PRINT",#N/A,TRUE,"EWEB";"PRINT",#N/A,TRUE,"LADWP";"PRINT",#N/A,TRUE,"NEVBASE"}</definedName>
    <definedName name="_j3" hidden="1">{"PRINT",#N/A,TRUE,"APPA";"PRINT",#N/A,TRUE,"APS";"PRINT",#N/A,TRUE,"BHPL";"PRINT",#N/A,TRUE,"BHPL2";"PRINT",#N/A,TRUE,"CDWR";"PRINT",#N/A,TRUE,"EWEB";"PRINT",#N/A,TRUE,"LADWP";"PRINT",#N/A,TRUE,"NEVBASE"}</definedName>
    <definedName name="_j4" localSheetId="12" hidden="1">{"PRINT",#N/A,TRUE,"APPA";"PRINT",#N/A,TRUE,"APS";"PRINT",#N/A,TRUE,"BHPL";"PRINT",#N/A,TRUE,"BHPL2";"PRINT",#N/A,TRUE,"CDWR";"PRINT",#N/A,TRUE,"EWEB";"PRINT",#N/A,TRUE,"LADWP";"PRINT",#N/A,TRUE,"NEVBASE"}</definedName>
    <definedName name="_j4" localSheetId="2" hidden="1">{"PRINT",#N/A,TRUE,"APPA";"PRINT",#N/A,TRUE,"APS";"PRINT",#N/A,TRUE,"BHPL";"PRINT",#N/A,TRUE,"BHPL2";"PRINT",#N/A,TRUE,"CDWR";"PRINT",#N/A,TRUE,"EWEB";"PRINT",#N/A,TRUE,"LADWP";"PRINT",#N/A,TRUE,"NEVBASE"}</definedName>
    <definedName name="_j4" hidden="1">{"PRINT",#N/A,TRUE,"APPA";"PRINT",#N/A,TRUE,"APS";"PRINT",#N/A,TRUE,"BHPL";"PRINT",#N/A,TRUE,"BHPL2";"PRINT",#N/A,TRUE,"CDWR";"PRINT",#N/A,TRUE,"EWEB";"PRINT",#N/A,TRUE,"LADWP";"PRINT",#N/A,TRUE,"NEVBASE"}</definedName>
    <definedName name="_j5" localSheetId="12" hidden="1">{"PRINT",#N/A,TRUE,"APPA";"PRINT",#N/A,TRUE,"APS";"PRINT",#N/A,TRUE,"BHPL";"PRINT",#N/A,TRUE,"BHPL2";"PRINT",#N/A,TRUE,"CDWR";"PRINT",#N/A,TRUE,"EWEB";"PRINT",#N/A,TRUE,"LADWP";"PRINT",#N/A,TRUE,"NEVBASE"}</definedName>
    <definedName name="_j5" localSheetId="2" hidden="1">{"PRINT",#N/A,TRUE,"APPA";"PRINT",#N/A,TRUE,"APS";"PRINT",#N/A,TRUE,"BHPL";"PRINT",#N/A,TRUE,"BHPL2";"PRINT",#N/A,TRUE,"CDWR";"PRINT",#N/A,TRUE,"EWEB";"PRINT",#N/A,TRUE,"LADWP";"PRINT",#N/A,TRUE,"NEVBASE"}</definedName>
    <definedName name="_j5" hidden="1">{"PRINT",#N/A,TRUE,"APPA";"PRINT",#N/A,TRUE,"APS";"PRINT",#N/A,TRUE,"BHPL";"PRINT",#N/A,TRUE,"BHPL2";"PRINT",#N/A,TRUE,"CDWR";"PRINT",#N/A,TRUE,"EWEB";"PRINT",#N/A,TRUE,"LADWP";"PRINT",#N/A,TRUE,"NEVBASE"}</definedName>
    <definedName name="_Order1" hidden="1">255</definedName>
    <definedName name="_Order2" hidden="1">0</definedName>
    <definedName name="a" localSheetId="6" hidden="1">#REF!</definedName>
    <definedName name="a" hidden="1">#REF!</definedName>
    <definedName name="Active_MW">#REF!</definedName>
    <definedName name="Active_QF_Name">#REF!</definedName>
    <definedName name="anscount" hidden="1">1</definedName>
    <definedName name="limcount" hidden="1">1</definedName>
    <definedName name="_xlnm.Print_Area" localSheetId="12">'OFPC Source'!$A$1:$AB$262</definedName>
    <definedName name="_xlnm.Print_Area" localSheetId="2">'Table 3 QF Signed Queue'!$A$1:$H$14</definedName>
    <definedName name="_xlnm.Print_Area" localSheetId="9">'Tariff Page Solar Fixed'!$A$1:$F$43</definedName>
    <definedName name="_xlnm.Print_Area" localSheetId="10">'Tariff Page Solar Tracking'!$A$1:$F$43</definedName>
    <definedName name="SAPBEXrevision" hidden="1">1</definedName>
    <definedName name="SAPBEXsysID" hidden="1">"BWP"</definedName>
    <definedName name="SAPBEXwbID" hidden="1">"45EQYSCWE9WJMGB34OOD1BOQZ"</definedName>
    <definedName name="y" localSheetId="6" hidden="1">#REF!</definedName>
    <definedName name="y" hidden="1">#REF!</definedName>
    <definedName name="z" localSheetId="6" hidden="1">#REF!</definedName>
    <definedName name="z" hidden="1">#REF!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3" i="66" l="1"/>
  <c r="E13" i="66"/>
  <c r="F6" i="66"/>
  <c r="F7" i="66"/>
  <c r="F8" i="66"/>
  <c r="F9" i="66"/>
  <c r="F10" i="66"/>
  <c r="F5" i="66"/>
  <c r="D52" i="13" l="1"/>
  <c r="J52" i="13" l="1"/>
  <c r="M52" i="13"/>
  <c r="G52" i="13"/>
  <c r="G28" i="62"/>
  <c r="B30" i="29"/>
  <c r="B29" i="29"/>
  <c r="B30" i="32"/>
  <c r="B29" i="32"/>
  <c r="W28" i="62"/>
  <c r="K259" i="62"/>
  <c r="K258" i="62"/>
  <c r="K257" i="62"/>
  <c r="K256" i="62"/>
  <c r="K255" i="62"/>
  <c r="K254" i="62"/>
  <c r="K253" i="62"/>
  <c r="K252" i="62"/>
  <c r="K251" i="62"/>
  <c r="K250" i="62"/>
  <c r="K249" i="62"/>
  <c r="K248" i="62"/>
  <c r="M259" i="62"/>
  <c r="L259" i="62"/>
  <c r="U258" i="62"/>
  <c r="M258" i="62"/>
  <c r="L258" i="62"/>
  <c r="M257" i="62"/>
  <c r="L257" i="62"/>
  <c r="M256" i="62"/>
  <c r="L256" i="62"/>
  <c r="M255" i="62"/>
  <c r="L255" i="62"/>
  <c r="M254" i="62"/>
  <c r="L254" i="62"/>
  <c r="M253" i="62"/>
  <c r="L253" i="62"/>
  <c r="M252" i="62"/>
  <c r="L252" i="62"/>
  <c r="M251" i="62"/>
  <c r="L251" i="62" s="1"/>
  <c r="M250" i="62"/>
  <c r="L250" i="62"/>
  <c r="M249" i="62"/>
  <c r="L249" i="62"/>
  <c r="M248" i="62"/>
  <c r="L248" i="62"/>
  <c r="B248" i="62"/>
  <c r="B249" i="62" s="1"/>
  <c r="U254" i="62" l="1"/>
  <c r="U256" i="62"/>
  <c r="T256" i="62"/>
  <c r="T258" i="62"/>
  <c r="U249" i="62"/>
  <c r="T249" i="62"/>
  <c r="T253" i="62"/>
  <c r="U253" i="62"/>
  <c r="T255" i="62"/>
  <c r="U255" i="62"/>
  <c r="T257" i="62"/>
  <c r="T250" i="62"/>
  <c r="U257" i="62"/>
  <c r="T259" i="62"/>
  <c r="U250" i="62"/>
  <c r="T252" i="62"/>
  <c r="U259" i="62"/>
  <c r="U252" i="62"/>
  <c r="T254" i="62"/>
  <c r="B250" i="62"/>
  <c r="E249" i="62"/>
  <c r="E248" i="62"/>
  <c r="U248" i="62" l="1"/>
  <c r="AA28" i="62"/>
  <c r="F30" i="32" s="1"/>
  <c r="Z28" i="62"/>
  <c r="E30" i="32" s="1"/>
  <c r="T248" i="62"/>
  <c r="Y28" i="62"/>
  <c r="D30" i="32" s="1"/>
  <c r="X28" i="62"/>
  <c r="C30" i="32" s="1"/>
  <c r="T251" i="62"/>
  <c r="U251" i="62"/>
  <c r="B251" i="62"/>
  <c r="E250" i="62"/>
  <c r="B252" i="62" l="1"/>
  <c r="E251" i="62"/>
  <c r="B253" i="62" l="1"/>
  <c r="E252" i="62"/>
  <c r="B254" i="62" l="1"/>
  <c r="E253" i="62"/>
  <c r="B255" i="62" l="1"/>
  <c r="E254" i="62"/>
  <c r="B256" i="62" l="1"/>
  <c r="E255" i="62"/>
  <c r="B257" i="62" l="1"/>
  <c r="E256" i="62"/>
  <c r="B258" i="62" l="1"/>
  <c r="E257" i="62"/>
  <c r="B259" i="62" l="1"/>
  <c r="E258" i="62"/>
  <c r="I28" i="62" l="1"/>
  <c r="C30" i="29" s="1"/>
  <c r="H28" i="62"/>
  <c r="D30" i="29" s="1"/>
  <c r="E259" i="62"/>
  <c r="B10" i="44" l="1"/>
  <c r="B10" i="39"/>
  <c r="B10" i="45"/>
  <c r="B10" i="36" l="1"/>
  <c r="M12" i="13"/>
  <c r="J12" i="13"/>
  <c r="G12" i="13"/>
  <c r="D12" i="13"/>
  <c r="I34" i="45" l="1"/>
  <c r="I34" i="44"/>
  <c r="I29" i="45" l="1"/>
  <c r="I28" i="45"/>
  <c r="M3" i="62" l="1"/>
  <c r="AI313" i="62"/>
  <c r="AJ313" i="62" s="1"/>
  <c r="AE313" i="62"/>
  <c r="AD313" i="62"/>
  <c r="AI312" i="62"/>
  <c r="AJ312" i="62" s="1"/>
  <c r="AE312" i="62"/>
  <c r="AD312" i="62"/>
  <c r="AI311" i="62"/>
  <c r="AJ311" i="62" s="1"/>
  <c r="AE311" i="62"/>
  <c r="AD311" i="62"/>
  <c r="AI310" i="62"/>
  <c r="AJ310" i="62" s="1"/>
  <c r="AE310" i="62"/>
  <c r="AD310" i="62"/>
  <c r="AI309" i="62"/>
  <c r="AJ309" i="62" s="1"/>
  <c r="AE309" i="62"/>
  <c r="AD309" i="62"/>
  <c r="AI308" i="62"/>
  <c r="AJ308" i="62" s="1"/>
  <c r="AE308" i="62"/>
  <c r="AD308" i="62"/>
  <c r="AI307" i="62"/>
  <c r="AJ307" i="62" s="1"/>
  <c r="AE307" i="62"/>
  <c r="AD307" i="62"/>
  <c r="AI306" i="62"/>
  <c r="AJ306" i="62" s="1"/>
  <c r="AE306" i="62"/>
  <c r="AD306" i="62"/>
  <c r="AI305" i="62"/>
  <c r="AJ305" i="62" s="1"/>
  <c r="AE305" i="62"/>
  <c r="AD305" i="62"/>
  <c r="AI304" i="62"/>
  <c r="AJ304" i="62" s="1"/>
  <c r="AE304" i="62"/>
  <c r="AD304" i="62"/>
  <c r="AI303" i="62"/>
  <c r="AJ303" i="62" s="1"/>
  <c r="AE303" i="62"/>
  <c r="AD303" i="62"/>
  <c r="AI302" i="62"/>
  <c r="AJ302" i="62" s="1"/>
  <c r="AE302" i="62"/>
  <c r="AD302" i="62"/>
  <c r="AI301" i="62"/>
  <c r="AJ301" i="62" s="1"/>
  <c r="AE301" i="62"/>
  <c r="AD301" i="62"/>
  <c r="AI300" i="62"/>
  <c r="AJ300" i="62" s="1"/>
  <c r="AE300" i="62"/>
  <c r="AD300" i="62"/>
  <c r="AI299" i="62"/>
  <c r="AJ299" i="62" s="1"/>
  <c r="AE299" i="62"/>
  <c r="AD299" i="62"/>
  <c r="AI298" i="62"/>
  <c r="AJ298" i="62" s="1"/>
  <c r="AE298" i="62"/>
  <c r="AD298" i="62"/>
  <c r="AI297" i="62"/>
  <c r="AJ297" i="62" s="1"/>
  <c r="AE297" i="62"/>
  <c r="AD297" i="62"/>
  <c r="AI296" i="62"/>
  <c r="AJ296" i="62" s="1"/>
  <c r="AE296" i="62"/>
  <c r="AD296" i="62"/>
  <c r="AI295" i="62"/>
  <c r="AJ295" i="62" s="1"/>
  <c r="AE295" i="62"/>
  <c r="AD295" i="62"/>
  <c r="AI294" i="62"/>
  <c r="AJ294" i="62" s="1"/>
  <c r="AE294" i="62"/>
  <c r="AD294" i="62"/>
  <c r="AI293" i="62"/>
  <c r="AJ293" i="62" s="1"/>
  <c r="AE293" i="62"/>
  <c r="AD293" i="62"/>
  <c r="AI292" i="62"/>
  <c r="AJ292" i="62" s="1"/>
  <c r="AE292" i="62"/>
  <c r="AD292" i="62"/>
  <c r="AI291" i="62"/>
  <c r="AJ291" i="62" s="1"/>
  <c r="AE291" i="62"/>
  <c r="AD291" i="62"/>
  <c r="AI290" i="62"/>
  <c r="AJ290" i="62" s="1"/>
  <c r="AE290" i="62"/>
  <c r="AD290" i="62"/>
  <c r="AI289" i="62"/>
  <c r="AJ289" i="62" s="1"/>
  <c r="AE289" i="62"/>
  <c r="AD289" i="62"/>
  <c r="AI288" i="62"/>
  <c r="AJ288" i="62" s="1"/>
  <c r="AE288" i="62"/>
  <c r="AD288" i="62"/>
  <c r="AI287" i="62"/>
  <c r="AJ287" i="62" s="1"/>
  <c r="AE287" i="62"/>
  <c r="AD287" i="62"/>
  <c r="AI286" i="62"/>
  <c r="AJ286" i="62" s="1"/>
  <c r="AE286" i="62"/>
  <c r="AD286" i="62"/>
  <c r="AI285" i="62"/>
  <c r="AJ285" i="62" s="1"/>
  <c r="AE285" i="62"/>
  <c r="AD285" i="62"/>
  <c r="AI284" i="62"/>
  <c r="AJ284" i="62" s="1"/>
  <c r="AE284" i="62"/>
  <c r="AD284" i="62"/>
  <c r="AI283" i="62"/>
  <c r="AJ283" i="62" s="1"/>
  <c r="AE283" i="62"/>
  <c r="AD283" i="62"/>
  <c r="AI282" i="62"/>
  <c r="AJ282" i="62" s="1"/>
  <c r="AE282" i="62"/>
  <c r="AD282" i="62"/>
  <c r="AI281" i="62"/>
  <c r="AJ281" i="62" s="1"/>
  <c r="AE281" i="62"/>
  <c r="AD281" i="62"/>
  <c r="AI280" i="62"/>
  <c r="AJ280" i="62" s="1"/>
  <c r="AE280" i="62"/>
  <c r="AD280" i="62"/>
  <c r="AI279" i="62"/>
  <c r="AJ279" i="62" s="1"/>
  <c r="AE279" i="62"/>
  <c r="AD279" i="62"/>
  <c r="AI278" i="62"/>
  <c r="AJ278" i="62" s="1"/>
  <c r="AE278" i="62"/>
  <c r="AD278" i="62"/>
  <c r="AI277" i="62"/>
  <c r="AJ277" i="62" s="1"/>
  <c r="AE277" i="62"/>
  <c r="AD277" i="62"/>
  <c r="AI276" i="62"/>
  <c r="AJ276" i="62" s="1"/>
  <c r="AE276" i="62"/>
  <c r="AD276" i="62"/>
  <c r="AI275" i="62"/>
  <c r="AJ275" i="62" s="1"/>
  <c r="AE275" i="62"/>
  <c r="AD275" i="62"/>
  <c r="AI274" i="62"/>
  <c r="AJ274" i="62" s="1"/>
  <c r="AE274" i="62"/>
  <c r="AD274" i="62"/>
  <c r="AI273" i="62"/>
  <c r="AJ273" i="62" s="1"/>
  <c r="AE273" i="62"/>
  <c r="AD273" i="62"/>
  <c r="AI272" i="62"/>
  <c r="AJ272" i="62" s="1"/>
  <c r="AE272" i="62"/>
  <c r="AD272" i="62"/>
  <c r="AI271" i="62"/>
  <c r="AJ271" i="62" s="1"/>
  <c r="AE271" i="62"/>
  <c r="AD271" i="62"/>
  <c r="AI270" i="62"/>
  <c r="AJ270" i="62" s="1"/>
  <c r="AE270" i="62"/>
  <c r="AD270" i="62"/>
  <c r="AI269" i="62"/>
  <c r="AJ269" i="62" s="1"/>
  <c r="AE269" i="62"/>
  <c r="AD269" i="62"/>
  <c r="AI268" i="62"/>
  <c r="AJ268" i="62" s="1"/>
  <c r="AE268" i="62"/>
  <c r="AD268" i="62"/>
  <c r="AI267" i="62"/>
  <c r="AJ267" i="62" s="1"/>
  <c r="AE267" i="62"/>
  <c r="AD267" i="62"/>
  <c r="AI266" i="62"/>
  <c r="AJ266" i="62" s="1"/>
  <c r="AE266" i="62"/>
  <c r="AD266" i="62"/>
  <c r="AI265" i="62"/>
  <c r="AJ265" i="62" s="1"/>
  <c r="AE265" i="62"/>
  <c r="AD265" i="62"/>
  <c r="AI264" i="62"/>
  <c r="AJ264" i="62" s="1"/>
  <c r="AE264" i="62"/>
  <c r="AD264" i="62"/>
  <c r="P264" i="62"/>
  <c r="Q264" i="62"/>
  <c r="AI263" i="62"/>
  <c r="AJ263" i="62" s="1"/>
  <c r="AE263" i="62"/>
  <c r="AD263" i="62"/>
  <c r="AI262" i="62"/>
  <c r="AJ262" i="62" s="1"/>
  <c r="AE262" i="62"/>
  <c r="AD262" i="62"/>
  <c r="AI261" i="62"/>
  <c r="AJ261" i="62" s="1"/>
  <c r="AE261" i="62"/>
  <c r="AD261" i="62"/>
  <c r="AI260" i="62"/>
  <c r="AJ260" i="62" s="1"/>
  <c r="AE260" i="62"/>
  <c r="AD260" i="62"/>
  <c r="AI259" i="62"/>
  <c r="AJ259" i="62" s="1"/>
  <c r="AE259" i="62"/>
  <c r="AD259" i="62"/>
  <c r="AI258" i="62"/>
  <c r="AJ258" i="62" s="1"/>
  <c r="AE258" i="62"/>
  <c r="AD258" i="62"/>
  <c r="AI257" i="62"/>
  <c r="AJ257" i="62" s="1"/>
  <c r="AE257" i="62"/>
  <c r="AD257" i="62"/>
  <c r="AI256" i="62"/>
  <c r="AJ256" i="62" s="1"/>
  <c r="AE256" i="62"/>
  <c r="AD256" i="62"/>
  <c r="AI255" i="62"/>
  <c r="AJ255" i="62" s="1"/>
  <c r="AE255" i="62"/>
  <c r="AD255" i="62"/>
  <c r="AI254" i="62"/>
  <c r="AJ254" i="62" s="1"/>
  <c r="AE254" i="62"/>
  <c r="AD254" i="62"/>
  <c r="AI253" i="62"/>
  <c r="AJ253" i="62" s="1"/>
  <c r="AE253" i="62"/>
  <c r="AD253" i="62"/>
  <c r="AI252" i="62"/>
  <c r="AJ252" i="62" s="1"/>
  <c r="AE252" i="62"/>
  <c r="AD252" i="62"/>
  <c r="AJ251" i="62"/>
  <c r="AI251" i="62"/>
  <c r="AE251" i="62"/>
  <c r="AD251" i="62"/>
  <c r="AI250" i="62"/>
  <c r="AJ250" i="62" s="1"/>
  <c r="AE250" i="62"/>
  <c r="AD250" i="62" s="1"/>
  <c r="AJ249" i="62"/>
  <c r="AI249" i="62"/>
  <c r="AE249" i="62"/>
  <c r="AD249" i="62"/>
  <c r="AI248" i="62"/>
  <c r="AJ248" i="62" s="1"/>
  <c r="AE248" i="62"/>
  <c r="AD248" i="62" s="1"/>
  <c r="AJ247" i="62"/>
  <c r="AI247" i="62"/>
  <c r="AE247" i="62"/>
  <c r="AD247" i="62"/>
  <c r="AI246" i="62"/>
  <c r="AJ246" i="62" s="1"/>
  <c r="AE246" i="62"/>
  <c r="AD246" i="62" s="1"/>
  <c r="AJ245" i="62"/>
  <c r="AI245" i="62"/>
  <c r="AE245" i="62"/>
  <c r="AD245" i="62"/>
  <c r="AI244" i="62"/>
  <c r="AJ244" i="62" s="1"/>
  <c r="AE244" i="62"/>
  <c r="AD244" i="62" s="1"/>
  <c r="AJ243" i="62"/>
  <c r="AI243" i="62"/>
  <c r="AE243" i="62"/>
  <c r="AD243" i="62"/>
  <c r="AI242" i="62"/>
  <c r="AJ242" i="62" s="1"/>
  <c r="AE242" i="62"/>
  <c r="AD242" i="62" s="1"/>
  <c r="AJ241" i="62"/>
  <c r="AI241" i="62"/>
  <c r="AE241" i="62"/>
  <c r="AD241" i="62"/>
  <c r="AI240" i="62"/>
  <c r="AJ240" i="62" s="1"/>
  <c r="AE240" i="62"/>
  <c r="AD240" i="62" s="1"/>
  <c r="AJ239" i="62"/>
  <c r="AI239" i="62"/>
  <c r="AE239" i="62"/>
  <c r="AD239" i="62"/>
  <c r="AI238" i="62"/>
  <c r="AJ238" i="62" s="1"/>
  <c r="AE238" i="62"/>
  <c r="AD238" i="62" s="1"/>
  <c r="AJ237" i="62"/>
  <c r="AI237" i="62"/>
  <c r="AE237" i="62"/>
  <c r="AD237" i="62"/>
  <c r="AI236" i="62"/>
  <c r="AJ236" i="62" s="1"/>
  <c r="AE236" i="62"/>
  <c r="AD236" i="62" s="1"/>
  <c r="AJ235" i="62"/>
  <c r="AI235" i="62"/>
  <c r="AE235" i="62"/>
  <c r="AD235" i="62"/>
  <c r="AI234" i="62"/>
  <c r="AJ234" i="62" s="1"/>
  <c r="AE234" i="62"/>
  <c r="AD234" i="62" s="1"/>
  <c r="AJ233" i="62"/>
  <c r="AI233" i="62"/>
  <c r="AE233" i="62"/>
  <c r="AD233" i="62"/>
  <c r="AI232" i="62"/>
  <c r="AJ232" i="62" s="1"/>
  <c r="AE232" i="62"/>
  <c r="AD232" i="62" s="1"/>
  <c r="AJ231" i="62"/>
  <c r="AI231" i="62"/>
  <c r="AE231" i="62"/>
  <c r="AD231" i="62"/>
  <c r="AI230" i="62"/>
  <c r="AJ230" i="62" s="1"/>
  <c r="AE230" i="62"/>
  <c r="AD230" i="62" s="1"/>
  <c r="AJ229" i="62"/>
  <c r="AI229" i="62"/>
  <c r="AE229" i="62"/>
  <c r="AD229" i="62"/>
  <c r="AI228" i="62"/>
  <c r="AJ228" i="62" s="1"/>
  <c r="AE228" i="62"/>
  <c r="AD228" i="62" s="1"/>
  <c r="AJ227" i="62"/>
  <c r="AI227" i="62"/>
  <c r="AE227" i="62"/>
  <c r="AD227" i="62"/>
  <c r="AI226" i="62"/>
  <c r="AJ226" i="62" s="1"/>
  <c r="AE226" i="62"/>
  <c r="AD226" i="62" s="1"/>
  <c r="AJ225" i="62"/>
  <c r="AI225" i="62"/>
  <c r="AE225" i="62"/>
  <c r="AD225" i="62"/>
  <c r="AI224" i="62"/>
  <c r="AJ224" i="62" s="1"/>
  <c r="AE224" i="62"/>
  <c r="AD224" i="62" s="1"/>
  <c r="AJ223" i="62"/>
  <c r="AI223" i="62"/>
  <c r="AE223" i="62"/>
  <c r="AD223" i="62"/>
  <c r="AI222" i="62"/>
  <c r="AJ222" i="62" s="1"/>
  <c r="AE222" i="62"/>
  <c r="AD222" i="62" s="1"/>
  <c r="AJ221" i="62"/>
  <c r="AI221" i="62"/>
  <c r="AE221" i="62"/>
  <c r="AD221" i="62"/>
  <c r="AI220" i="62"/>
  <c r="AJ220" i="62" s="1"/>
  <c r="AE220" i="62"/>
  <c r="AD220" i="62" s="1"/>
  <c r="AJ219" i="62"/>
  <c r="AI219" i="62"/>
  <c r="AE219" i="62"/>
  <c r="AD219" i="62"/>
  <c r="AI218" i="62"/>
  <c r="AJ218" i="62" s="1"/>
  <c r="AE218" i="62"/>
  <c r="AD218" i="62" s="1"/>
  <c r="AJ217" i="62"/>
  <c r="AI217" i="62"/>
  <c r="AE217" i="62"/>
  <c r="AD217" i="62"/>
  <c r="AI216" i="62"/>
  <c r="AJ216" i="62" s="1"/>
  <c r="AE216" i="62"/>
  <c r="AD216" i="62" s="1"/>
  <c r="AJ215" i="62"/>
  <c r="AI215" i="62"/>
  <c r="AE215" i="62"/>
  <c r="AD215" i="62"/>
  <c r="AI214" i="62"/>
  <c r="AJ214" i="62" s="1"/>
  <c r="AE214" i="62"/>
  <c r="AD214" i="62" s="1"/>
  <c r="AJ213" i="62"/>
  <c r="AI213" i="62"/>
  <c r="AE213" i="62"/>
  <c r="AD213" i="62"/>
  <c r="AI212" i="62"/>
  <c r="AJ212" i="62" s="1"/>
  <c r="AE212" i="62"/>
  <c r="AD212" i="62" s="1"/>
  <c r="AJ211" i="62"/>
  <c r="AI211" i="62"/>
  <c r="AE211" i="62"/>
  <c r="AD211" i="62"/>
  <c r="AI210" i="62"/>
  <c r="AJ210" i="62" s="1"/>
  <c r="AE210" i="62"/>
  <c r="AD210" i="62" s="1"/>
  <c r="AJ209" i="62"/>
  <c r="AI209" i="62"/>
  <c r="AE209" i="62"/>
  <c r="AD209" i="62"/>
  <c r="AI208" i="62"/>
  <c r="AJ208" i="62" s="1"/>
  <c r="AE208" i="62"/>
  <c r="AD208" i="62" s="1"/>
  <c r="AJ207" i="62"/>
  <c r="AI207" i="62"/>
  <c r="AE207" i="62"/>
  <c r="AD207" i="62"/>
  <c r="AI206" i="62"/>
  <c r="AJ206" i="62" s="1"/>
  <c r="AE206" i="62"/>
  <c r="AD206" i="62"/>
  <c r="AI205" i="62"/>
  <c r="AJ205" i="62" s="1"/>
  <c r="AE205" i="62"/>
  <c r="AD205" i="62"/>
  <c r="AI204" i="62"/>
  <c r="AJ204" i="62" s="1"/>
  <c r="AE204" i="62"/>
  <c r="AD204" i="62"/>
  <c r="AJ203" i="62"/>
  <c r="AI203" i="62"/>
  <c r="AE203" i="62"/>
  <c r="AD203" i="62"/>
  <c r="AI202" i="62"/>
  <c r="AJ202" i="62" s="1"/>
  <c r="AE202" i="62"/>
  <c r="AD202" i="62"/>
  <c r="AI201" i="62"/>
  <c r="AJ201" i="62" s="1"/>
  <c r="AE201" i="62"/>
  <c r="AD201" i="62"/>
  <c r="AI200" i="62"/>
  <c r="AJ200" i="62" s="1"/>
  <c r="AE200" i="62"/>
  <c r="AD200" i="62" s="1"/>
  <c r="AJ199" i="62"/>
  <c r="AI199" i="62"/>
  <c r="AE199" i="62"/>
  <c r="AD199" i="62"/>
  <c r="AI198" i="62"/>
  <c r="AJ198" i="62" s="1"/>
  <c r="AE198" i="62"/>
  <c r="AD198" i="62" s="1"/>
  <c r="AJ197" i="62"/>
  <c r="AI197" i="62"/>
  <c r="AE197" i="62"/>
  <c r="AD197" i="62"/>
  <c r="AI196" i="62"/>
  <c r="AJ196" i="62" s="1"/>
  <c r="AE196" i="62"/>
  <c r="AD196" i="62" s="1"/>
  <c r="AJ195" i="62"/>
  <c r="AI195" i="62"/>
  <c r="AE195" i="62"/>
  <c r="AD195" i="62"/>
  <c r="AI194" i="62"/>
  <c r="AJ194" i="62" s="1"/>
  <c r="AE194" i="62"/>
  <c r="AD194" i="62" s="1"/>
  <c r="AJ193" i="62"/>
  <c r="AI193" i="62"/>
  <c r="AE193" i="62"/>
  <c r="AD193" i="62"/>
  <c r="AI192" i="62"/>
  <c r="AJ192" i="62" s="1"/>
  <c r="AE192" i="62"/>
  <c r="AD192" i="62" s="1"/>
  <c r="AJ191" i="62"/>
  <c r="AI191" i="62"/>
  <c r="AE191" i="62"/>
  <c r="AD191" i="62"/>
  <c r="AI190" i="62"/>
  <c r="AJ190" i="62" s="1"/>
  <c r="AE190" i="62"/>
  <c r="AD190" i="62" s="1"/>
  <c r="AJ189" i="62"/>
  <c r="AI189" i="62"/>
  <c r="AE189" i="62"/>
  <c r="AD189" i="62"/>
  <c r="AI188" i="62"/>
  <c r="AJ188" i="62" s="1"/>
  <c r="AE188" i="62"/>
  <c r="AD188" i="62" s="1"/>
  <c r="AJ187" i="62"/>
  <c r="AI187" i="62"/>
  <c r="AE187" i="62"/>
  <c r="AD187" i="62"/>
  <c r="AI186" i="62"/>
  <c r="AJ186" i="62" s="1"/>
  <c r="AE186" i="62"/>
  <c r="AD186" i="62" s="1"/>
  <c r="AJ185" i="62"/>
  <c r="AI185" i="62"/>
  <c r="AE185" i="62"/>
  <c r="AD185" i="62"/>
  <c r="AI184" i="62"/>
  <c r="AJ184" i="62" s="1"/>
  <c r="AE184" i="62"/>
  <c r="AD184" i="62" s="1"/>
  <c r="AJ183" i="62"/>
  <c r="AI183" i="62"/>
  <c r="AE183" i="62"/>
  <c r="AD183" i="62"/>
  <c r="AI182" i="62"/>
  <c r="AJ182" i="62" s="1"/>
  <c r="AE182" i="62"/>
  <c r="AD182" i="62" s="1"/>
  <c r="AJ181" i="62"/>
  <c r="AI181" i="62"/>
  <c r="AE181" i="62"/>
  <c r="AD181" i="62"/>
  <c r="AI180" i="62"/>
  <c r="AJ180" i="62" s="1"/>
  <c r="AE180" i="62"/>
  <c r="AD180" i="62" s="1"/>
  <c r="AJ179" i="62"/>
  <c r="AI179" i="62"/>
  <c r="AE179" i="62"/>
  <c r="AD179" i="62"/>
  <c r="AI178" i="62"/>
  <c r="AJ178" i="62" s="1"/>
  <c r="AE178" i="62"/>
  <c r="AD178" i="62" s="1"/>
  <c r="AJ177" i="62"/>
  <c r="AI177" i="62"/>
  <c r="AE177" i="62"/>
  <c r="AD177" i="62"/>
  <c r="AI176" i="62"/>
  <c r="AJ176" i="62" s="1"/>
  <c r="AE176" i="62"/>
  <c r="AD176" i="62" s="1"/>
  <c r="AJ175" i="62"/>
  <c r="AI175" i="62"/>
  <c r="AE175" i="62"/>
  <c r="AD175" i="62"/>
  <c r="AI174" i="62"/>
  <c r="AJ174" i="62" s="1"/>
  <c r="AE174" i="62"/>
  <c r="AD174" i="62" s="1"/>
  <c r="AJ173" i="62"/>
  <c r="AI173" i="62"/>
  <c r="AE173" i="62"/>
  <c r="AD173" i="62"/>
  <c r="AI172" i="62"/>
  <c r="AJ172" i="62" s="1"/>
  <c r="AE172" i="62"/>
  <c r="AD172" i="62" s="1"/>
  <c r="AJ171" i="62"/>
  <c r="AI171" i="62"/>
  <c r="AE171" i="62"/>
  <c r="AD171" i="62"/>
  <c r="AI170" i="62"/>
  <c r="AJ170" i="62" s="1"/>
  <c r="AE170" i="62"/>
  <c r="AD170" i="62" s="1"/>
  <c r="AJ169" i="62"/>
  <c r="AI169" i="62"/>
  <c r="AE169" i="62"/>
  <c r="AD169" i="62"/>
  <c r="AI168" i="62"/>
  <c r="AJ168" i="62" s="1"/>
  <c r="AE168" i="62"/>
  <c r="AD168" i="62" s="1"/>
  <c r="AJ167" i="62"/>
  <c r="AI167" i="62"/>
  <c r="AE167" i="62"/>
  <c r="AD167" i="62"/>
  <c r="AI166" i="62"/>
  <c r="AJ166" i="62" s="1"/>
  <c r="AE166" i="62"/>
  <c r="AD166" i="62" s="1"/>
  <c r="AJ165" i="62"/>
  <c r="AI165" i="62"/>
  <c r="AE165" i="62"/>
  <c r="AD165" i="62"/>
  <c r="AI164" i="62"/>
  <c r="AJ164" i="62" s="1"/>
  <c r="AE164" i="62"/>
  <c r="AD164" i="62" s="1"/>
  <c r="AJ163" i="62"/>
  <c r="AI163" i="62"/>
  <c r="AE163" i="62"/>
  <c r="AD163" i="62"/>
  <c r="AI162" i="62"/>
  <c r="AJ162" i="62" s="1"/>
  <c r="AE162" i="62"/>
  <c r="AD162" i="62" s="1"/>
  <c r="AJ161" i="62"/>
  <c r="AI161" i="62"/>
  <c r="AE161" i="62"/>
  <c r="AD161" i="62"/>
  <c r="AI160" i="62"/>
  <c r="AJ160" i="62" s="1"/>
  <c r="AE160" i="62"/>
  <c r="AD160" i="62" s="1"/>
  <c r="AJ159" i="62"/>
  <c r="AI159" i="62"/>
  <c r="AE159" i="62"/>
  <c r="AD159" i="62"/>
  <c r="AI158" i="62"/>
  <c r="AJ158" i="62" s="1"/>
  <c r="AE158" i="62"/>
  <c r="AD158" i="62" s="1"/>
  <c r="AJ157" i="62"/>
  <c r="AI157" i="62"/>
  <c r="AE157" i="62"/>
  <c r="AD157" i="62"/>
  <c r="AI156" i="62"/>
  <c r="AJ156" i="62" s="1"/>
  <c r="AE156" i="62"/>
  <c r="AD156" i="62" s="1"/>
  <c r="AJ155" i="62"/>
  <c r="AI155" i="62"/>
  <c r="AE155" i="62"/>
  <c r="AD155" i="62"/>
  <c r="AI154" i="62"/>
  <c r="AJ154" i="62" s="1"/>
  <c r="AE154" i="62"/>
  <c r="AD154" i="62" s="1"/>
  <c r="AJ153" i="62"/>
  <c r="AI153" i="62"/>
  <c r="AE153" i="62"/>
  <c r="AD153" i="62"/>
  <c r="AI152" i="62"/>
  <c r="AJ152" i="62" s="1"/>
  <c r="AE152" i="62"/>
  <c r="AD152" i="62" s="1"/>
  <c r="AJ151" i="62"/>
  <c r="AI151" i="62"/>
  <c r="AE151" i="62"/>
  <c r="AD151" i="62"/>
  <c r="AI150" i="62"/>
  <c r="AJ150" i="62" s="1"/>
  <c r="AE150" i="62"/>
  <c r="AD150" i="62" s="1"/>
  <c r="AJ149" i="62"/>
  <c r="AI149" i="62"/>
  <c r="AE149" i="62"/>
  <c r="AD149" i="62"/>
  <c r="AI148" i="62"/>
  <c r="AJ148" i="62" s="1"/>
  <c r="AE148" i="62"/>
  <c r="AD148" i="62" s="1"/>
  <c r="AJ147" i="62"/>
  <c r="AI147" i="62"/>
  <c r="AE147" i="62"/>
  <c r="AD147" i="62"/>
  <c r="AI146" i="62"/>
  <c r="AJ146" i="62" s="1"/>
  <c r="AE146" i="62"/>
  <c r="AD146" i="62" s="1"/>
  <c r="AJ145" i="62"/>
  <c r="AI145" i="62"/>
  <c r="AE145" i="62"/>
  <c r="AD145" i="62"/>
  <c r="AI144" i="62"/>
  <c r="AJ144" i="62" s="1"/>
  <c r="AE144" i="62"/>
  <c r="AD144" i="62" s="1"/>
  <c r="AJ143" i="62"/>
  <c r="AI143" i="62"/>
  <c r="AE143" i="62"/>
  <c r="AD143" i="62"/>
  <c r="AI142" i="62"/>
  <c r="AJ142" i="62" s="1"/>
  <c r="AE142" i="62"/>
  <c r="AD142" i="62" s="1"/>
  <c r="AJ141" i="62"/>
  <c r="AI141" i="62"/>
  <c r="AE141" i="62"/>
  <c r="AD141" i="62"/>
  <c r="AI140" i="62"/>
  <c r="AJ140" i="62" s="1"/>
  <c r="AE140" i="62"/>
  <c r="AD140" i="62" s="1"/>
  <c r="AJ139" i="62"/>
  <c r="AI139" i="62"/>
  <c r="AE139" i="62"/>
  <c r="AD139" i="62"/>
  <c r="AI138" i="62"/>
  <c r="AJ138" i="62" s="1"/>
  <c r="AE138" i="62"/>
  <c r="AD138" i="62" s="1"/>
  <c r="AJ137" i="62"/>
  <c r="AI137" i="62"/>
  <c r="AE137" i="62"/>
  <c r="AD137" i="62"/>
  <c r="AI136" i="62"/>
  <c r="AJ136" i="62" s="1"/>
  <c r="AE136" i="62"/>
  <c r="AD136" i="62" s="1"/>
  <c r="AJ135" i="62"/>
  <c r="AI135" i="62"/>
  <c r="AE135" i="62"/>
  <c r="AD135" i="62"/>
  <c r="AI134" i="62"/>
  <c r="AJ134" i="62" s="1"/>
  <c r="AE134" i="62"/>
  <c r="AD134" i="62" s="1"/>
  <c r="AJ133" i="62"/>
  <c r="AI133" i="62"/>
  <c r="AE133" i="62"/>
  <c r="AD133" i="62"/>
  <c r="AI132" i="62"/>
  <c r="AJ132" i="62" s="1"/>
  <c r="AE132" i="62"/>
  <c r="AD132" i="62" s="1"/>
  <c r="AJ131" i="62"/>
  <c r="AI131" i="62"/>
  <c r="AE131" i="62"/>
  <c r="AD131" i="62"/>
  <c r="AI130" i="62"/>
  <c r="AJ130" i="62" s="1"/>
  <c r="AE130" i="62"/>
  <c r="AD130" i="62" s="1"/>
  <c r="AJ129" i="62"/>
  <c r="AI129" i="62"/>
  <c r="AE129" i="62"/>
  <c r="AD129" i="62"/>
  <c r="AI128" i="62"/>
  <c r="AJ128" i="62" s="1"/>
  <c r="AE128" i="62"/>
  <c r="AD128" i="62" s="1"/>
  <c r="AJ127" i="62"/>
  <c r="AI127" i="62"/>
  <c r="AE127" i="62"/>
  <c r="AD127" i="62"/>
  <c r="AI126" i="62"/>
  <c r="AJ126" i="62" s="1"/>
  <c r="AE126" i="62"/>
  <c r="AD126" i="62" s="1"/>
  <c r="AJ125" i="62"/>
  <c r="AI125" i="62"/>
  <c r="AE125" i="62"/>
  <c r="AD125" i="62"/>
  <c r="AI124" i="62"/>
  <c r="AJ124" i="62" s="1"/>
  <c r="AE124" i="62"/>
  <c r="AD124" i="62" s="1"/>
  <c r="AJ123" i="62"/>
  <c r="AI123" i="62"/>
  <c r="AE123" i="62"/>
  <c r="AD123" i="62"/>
  <c r="AI122" i="62"/>
  <c r="AJ122" i="62" s="1"/>
  <c r="AE122" i="62"/>
  <c r="AD122" i="62" s="1"/>
  <c r="AI121" i="62"/>
  <c r="AJ121" i="62" s="1"/>
  <c r="AE121" i="62"/>
  <c r="AD121" i="62"/>
  <c r="AI120" i="62"/>
  <c r="AJ120" i="62" s="1"/>
  <c r="AE120" i="62"/>
  <c r="AD120" i="62"/>
  <c r="AI119" i="62"/>
  <c r="AJ119" i="62" s="1"/>
  <c r="AE119" i="62"/>
  <c r="AD119" i="62"/>
  <c r="AI118" i="62"/>
  <c r="AJ118" i="62" s="1"/>
  <c r="AE118" i="62"/>
  <c r="AD118" i="62"/>
  <c r="AI117" i="62"/>
  <c r="AJ117" i="62" s="1"/>
  <c r="AE117" i="62"/>
  <c r="AD117" i="62"/>
  <c r="AI116" i="62"/>
  <c r="AJ116" i="62" s="1"/>
  <c r="AE116" i="62"/>
  <c r="AD116" i="62"/>
  <c r="AI115" i="62"/>
  <c r="AJ115" i="62" s="1"/>
  <c r="AE115" i="62"/>
  <c r="AD115" i="62"/>
  <c r="AI114" i="62"/>
  <c r="AJ114" i="62" s="1"/>
  <c r="AE114" i="62"/>
  <c r="AD114" i="62"/>
  <c r="AI113" i="62"/>
  <c r="AJ113" i="62" s="1"/>
  <c r="AE113" i="62"/>
  <c r="AD113" i="62"/>
  <c r="AI112" i="62"/>
  <c r="AJ112" i="62" s="1"/>
  <c r="AE112" i="62"/>
  <c r="AD112" i="62"/>
  <c r="AI111" i="62"/>
  <c r="AJ111" i="62" s="1"/>
  <c r="AE111" i="62"/>
  <c r="AD111" i="62"/>
  <c r="AI110" i="62"/>
  <c r="AJ110" i="62" s="1"/>
  <c r="AE110" i="62"/>
  <c r="AD110" i="62"/>
  <c r="AI109" i="62"/>
  <c r="AJ109" i="62" s="1"/>
  <c r="AE109" i="62"/>
  <c r="AD109" i="62"/>
  <c r="AI108" i="62"/>
  <c r="AJ108" i="62" s="1"/>
  <c r="AE108" i="62"/>
  <c r="AD108" i="62"/>
  <c r="AI107" i="62"/>
  <c r="AJ107" i="62" s="1"/>
  <c r="AE107" i="62"/>
  <c r="AD107" i="62"/>
  <c r="AI106" i="62"/>
  <c r="AJ106" i="62" s="1"/>
  <c r="AE106" i="62"/>
  <c r="AD106" i="62"/>
  <c r="AI105" i="62"/>
  <c r="AJ105" i="62" s="1"/>
  <c r="AE105" i="62"/>
  <c r="AD105" i="62"/>
  <c r="AI104" i="62"/>
  <c r="AJ104" i="62" s="1"/>
  <c r="AE104" i="62"/>
  <c r="AD104" i="62"/>
  <c r="AI103" i="62"/>
  <c r="AJ103" i="62" s="1"/>
  <c r="AE103" i="62"/>
  <c r="AD103" i="62"/>
  <c r="AI102" i="62"/>
  <c r="AJ102" i="62" s="1"/>
  <c r="AE102" i="62"/>
  <c r="AD102" i="62"/>
  <c r="AI101" i="62"/>
  <c r="AJ101" i="62" s="1"/>
  <c r="AE101" i="62"/>
  <c r="AD101" i="62"/>
  <c r="AI100" i="62"/>
  <c r="AJ100" i="62" s="1"/>
  <c r="AE100" i="62"/>
  <c r="AD100" i="62"/>
  <c r="AI99" i="62"/>
  <c r="AJ99" i="62" s="1"/>
  <c r="AE99" i="62"/>
  <c r="AD99" i="62"/>
  <c r="AI98" i="62"/>
  <c r="AJ98" i="62" s="1"/>
  <c r="AE98" i="62"/>
  <c r="AD98" i="62" s="1"/>
  <c r="AJ97" i="62"/>
  <c r="AI97" i="62"/>
  <c r="AE97" i="62"/>
  <c r="AD97" i="62"/>
  <c r="AI96" i="62"/>
  <c r="AJ96" i="62" s="1"/>
  <c r="AE96" i="62"/>
  <c r="AD96" i="62" s="1"/>
  <c r="AJ95" i="62"/>
  <c r="AI95" i="62"/>
  <c r="AE95" i="62"/>
  <c r="AD95" i="62"/>
  <c r="AI94" i="62"/>
  <c r="AJ94" i="62" s="1"/>
  <c r="AE94" i="62"/>
  <c r="AD94" i="62" s="1"/>
  <c r="AJ93" i="62"/>
  <c r="AI93" i="62"/>
  <c r="AE93" i="62"/>
  <c r="AD93" i="62"/>
  <c r="AI92" i="62"/>
  <c r="AJ92" i="62" s="1"/>
  <c r="AE92" i="62"/>
  <c r="AD92" i="62" s="1"/>
  <c r="AJ91" i="62"/>
  <c r="AI91" i="62"/>
  <c r="AE91" i="62"/>
  <c r="AD91" i="62"/>
  <c r="AI90" i="62"/>
  <c r="AJ90" i="62" s="1"/>
  <c r="AE90" i="62"/>
  <c r="AD90" i="62" s="1"/>
  <c r="AJ89" i="62"/>
  <c r="AI89" i="62"/>
  <c r="AE89" i="62"/>
  <c r="AD89" i="62"/>
  <c r="AI88" i="62"/>
  <c r="AJ88" i="62" s="1"/>
  <c r="AE88" i="62"/>
  <c r="AD88" i="62"/>
  <c r="AI87" i="62"/>
  <c r="AJ87" i="62" s="1"/>
  <c r="AE87" i="62"/>
  <c r="AD87" i="62"/>
  <c r="AI86" i="62"/>
  <c r="AJ86" i="62" s="1"/>
  <c r="AE86" i="62"/>
  <c r="AD86" i="62"/>
  <c r="AI85" i="62"/>
  <c r="AJ85" i="62" s="1"/>
  <c r="AE85" i="62"/>
  <c r="AD85" i="62"/>
  <c r="AI84" i="62"/>
  <c r="AJ84" i="62" s="1"/>
  <c r="AE84" i="62"/>
  <c r="AD84" i="62"/>
  <c r="AI83" i="62"/>
  <c r="AJ83" i="62" s="1"/>
  <c r="AE83" i="62"/>
  <c r="AD83" i="62"/>
  <c r="AI82" i="62"/>
  <c r="AJ82" i="62" s="1"/>
  <c r="AE82" i="62"/>
  <c r="AD82" i="62"/>
  <c r="AI81" i="62"/>
  <c r="AJ81" i="62" s="1"/>
  <c r="AE81" i="62"/>
  <c r="AD81" i="62"/>
  <c r="AI80" i="62"/>
  <c r="AJ80" i="62" s="1"/>
  <c r="AE80" i="62"/>
  <c r="AD80" i="62"/>
  <c r="AI79" i="62"/>
  <c r="AJ79" i="62" s="1"/>
  <c r="AE79" i="62"/>
  <c r="AD79" i="62"/>
  <c r="AI78" i="62"/>
  <c r="AJ78" i="62" s="1"/>
  <c r="AE78" i="62"/>
  <c r="AD78" i="62"/>
  <c r="AI77" i="62"/>
  <c r="AJ77" i="62" s="1"/>
  <c r="AE77" i="62"/>
  <c r="AD77" i="62"/>
  <c r="AI76" i="62"/>
  <c r="AJ76" i="62" s="1"/>
  <c r="AE76" i="62"/>
  <c r="AD76" i="62"/>
  <c r="AI75" i="62"/>
  <c r="AJ75" i="62" s="1"/>
  <c r="AE75" i="62"/>
  <c r="AD75" i="62"/>
  <c r="AI74" i="62"/>
  <c r="AJ74" i="62" s="1"/>
  <c r="AE74" i="62"/>
  <c r="AD74" i="62"/>
  <c r="AI73" i="62"/>
  <c r="AJ73" i="62" s="1"/>
  <c r="AE73" i="62"/>
  <c r="AD73" i="62"/>
  <c r="AI72" i="62"/>
  <c r="AJ72" i="62" s="1"/>
  <c r="AE72" i="62"/>
  <c r="AD72" i="62"/>
  <c r="AI71" i="62"/>
  <c r="AJ71" i="62" s="1"/>
  <c r="AE71" i="62"/>
  <c r="AD71" i="62"/>
  <c r="AI70" i="62"/>
  <c r="AJ70" i="62" s="1"/>
  <c r="AE70" i="62"/>
  <c r="AD70" i="62"/>
  <c r="AI69" i="62"/>
  <c r="AJ69" i="62" s="1"/>
  <c r="AE69" i="62"/>
  <c r="AD69" i="62"/>
  <c r="AI68" i="62"/>
  <c r="AJ68" i="62" s="1"/>
  <c r="AE68" i="62"/>
  <c r="AD68" i="62"/>
  <c r="AI67" i="62"/>
  <c r="AJ67" i="62" s="1"/>
  <c r="AE67" i="62"/>
  <c r="AD67" i="62"/>
  <c r="AI66" i="62"/>
  <c r="AJ66" i="62" s="1"/>
  <c r="AE66" i="62"/>
  <c r="AD66" i="62"/>
  <c r="AI65" i="62"/>
  <c r="AJ65" i="62" s="1"/>
  <c r="AE65" i="62"/>
  <c r="AD65" i="62"/>
  <c r="AI64" i="62"/>
  <c r="AJ64" i="62" s="1"/>
  <c r="AE64" i="62"/>
  <c r="AD64" i="62"/>
  <c r="AI63" i="62"/>
  <c r="AJ63" i="62" s="1"/>
  <c r="AE63" i="62"/>
  <c r="AD63" i="62"/>
  <c r="AI62" i="62"/>
  <c r="AJ62" i="62" s="1"/>
  <c r="AE62" i="62"/>
  <c r="AD62" i="62"/>
  <c r="AI61" i="62"/>
  <c r="AJ61" i="62" s="1"/>
  <c r="AE61" i="62"/>
  <c r="AD61" i="62"/>
  <c r="AI60" i="62"/>
  <c r="AJ60" i="62" s="1"/>
  <c r="AE60" i="62"/>
  <c r="AD60" i="62"/>
  <c r="AI59" i="62"/>
  <c r="AJ59" i="62" s="1"/>
  <c r="AE59" i="62"/>
  <c r="AD59" i="62"/>
  <c r="AI58" i="62"/>
  <c r="AJ58" i="62" s="1"/>
  <c r="AE58" i="62"/>
  <c r="AD58" i="62"/>
  <c r="AI57" i="62"/>
  <c r="AJ57" i="62" s="1"/>
  <c r="AE57" i="62"/>
  <c r="AD57" i="62"/>
  <c r="AI56" i="62"/>
  <c r="AJ56" i="62" s="1"/>
  <c r="AE56" i="62"/>
  <c r="AD56" i="62"/>
  <c r="AI55" i="62"/>
  <c r="AJ55" i="62" s="1"/>
  <c r="AE55" i="62"/>
  <c r="AD55" i="62"/>
  <c r="AI54" i="62"/>
  <c r="AJ54" i="62" s="1"/>
  <c r="AE54" i="62"/>
  <c r="AD54" i="62"/>
  <c r="AI53" i="62"/>
  <c r="AJ53" i="62" s="1"/>
  <c r="AE53" i="62"/>
  <c r="AD53" i="62"/>
  <c r="AI52" i="62"/>
  <c r="AJ52" i="62" s="1"/>
  <c r="AE52" i="62"/>
  <c r="AD52" i="62"/>
  <c r="AI51" i="62"/>
  <c r="AJ51" i="62" s="1"/>
  <c r="AE51" i="62"/>
  <c r="AD51" i="62"/>
  <c r="AI50" i="62"/>
  <c r="AJ50" i="62" s="1"/>
  <c r="AE50" i="62"/>
  <c r="AD50" i="62"/>
  <c r="AJ49" i="62"/>
  <c r="AI49" i="62"/>
  <c r="AE49" i="62"/>
  <c r="AD49" i="62"/>
  <c r="AI48" i="62"/>
  <c r="AJ48" i="62" s="1"/>
  <c r="AE48" i="62"/>
  <c r="AD48" i="62" s="1"/>
  <c r="AJ47" i="62"/>
  <c r="AI47" i="62"/>
  <c r="AE47" i="62"/>
  <c r="AD47" i="62"/>
  <c r="AI46" i="62"/>
  <c r="AJ46" i="62" s="1"/>
  <c r="AE46" i="62"/>
  <c r="AD46" i="62" s="1"/>
  <c r="AJ45" i="62"/>
  <c r="AI45" i="62"/>
  <c r="AE45" i="62"/>
  <c r="AD45" i="62"/>
  <c r="AI44" i="62"/>
  <c r="AJ44" i="62" s="1"/>
  <c r="AE44" i="62"/>
  <c r="AD44" i="62" s="1"/>
  <c r="AJ43" i="62"/>
  <c r="AI43" i="62"/>
  <c r="AE43" i="62"/>
  <c r="AD43" i="62"/>
  <c r="AI42" i="62"/>
  <c r="AJ42" i="62" s="1"/>
  <c r="AE42" i="62"/>
  <c r="AD42" i="62" s="1"/>
  <c r="AJ41" i="62"/>
  <c r="AI41" i="62"/>
  <c r="AE41" i="62"/>
  <c r="AD41" i="62"/>
  <c r="AI40" i="62"/>
  <c r="AJ40" i="62" s="1"/>
  <c r="AE40" i="62"/>
  <c r="AD40" i="62" s="1"/>
  <c r="AJ39" i="62"/>
  <c r="AI39" i="62"/>
  <c r="AE39" i="62"/>
  <c r="AD39" i="62"/>
  <c r="AI38" i="62"/>
  <c r="AJ38" i="62" s="1"/>
  <c r="AE38" i="62"/>
  <c r="AD38" i="62" s="1"/>
  <c r="AJ37" i="62"/>
  <c r="AI37" i="62"/>
  <c r="AE37" i="62"/>
  <c r="AD37" i="62"/>
  <c r="AI36" i="62"/>
  <c r="AJ36" i="62" s="1"/>
  <c r="AE36" i="62"/>
  <c r="AD36" i="62" s="1"/>
  <c r="AJ35" i="62"/>
  <c r="AI35" i="62"/>
  <c r="AE35" i="62"/>
  <c r="AD35" i="62"/>
  <c r="AI34" i="62"/>
  <c r="AJ34" i="62" s="1"/>
  <c r="AE34" i="62"/>
  <c r="AD34" i="62" s="1"/>
  <c r="AJ33" i="62"/>
  <c r="AI33" i="62"/>
  <c r="AE33" i="62"/>
  <c r="AD33" i="62"/>
  <c r="AJ32" i="62"/>
  <c r="AI32" i="62"/>
  <c r="AE32" i="62"/>
  <c r="AD32" i="62"/>
  <c r="AI31" i="62"/>
  <c r="AJ31" i="62" s="1"/>
  <c r="AE31" i="62"/>
  <c r="AD31" i="62" s="1"/>
  <c r="AJ30" i="62"/>
  <c r="AI30" i="62"/>
  <c r="AE30" i="62"/>
  <c r="AD30" i="62"/>
  <c r="AI29" i="62"/>
  <c r="AJ29" i="62" s="1"/>
  <c r="AE29" i="62"/>
  <c r="AD29" i="62" s="1"/>
  <c r="AJ28" i="62"/>
  <c r="AI28" i="62"/>
  <c r="AE28" i="62"/>
  <c r="AD28" i="62"/>
  <c r="AI27" i="62"/>
  <c r="AJ27" i="62" s="1"/>
  <c r="AE27" i="62"/>
  <c r="AD27" i="62" s="1"/>
  <c r="AJ26" i="62"/>
  <c r="AI26" i="62"/>
  <c r="AE26" i="62"/>
  <c r="AD26" i="62"/>
  <c r="AJ25" i="62"/>
  <c r="AI25" i="62"/>
  <c r="AE25" i="62"/>
  <c r="AD25" i="62" s="1"/>
  <c r="AJ24" i="62"/>
  <c r="AI24" i="62"/>
  <c r="AE24" i="62"/>
  <c r="AD24" i="62"/>
  <c r="AJ23" i="62"/>
  <c r="AI23" i="62"/>
  <c r="AE23" i="62"/>
  <c r="AD23" i="62"/>
  <c r="AJ22" i="62"/>
  <c r="AI22" i="62"/>
  <c r="AE22" i="62"/>
  <c r="AD22" i="62"/>
  <c r="AJ21" i="62"/>
  <c r="AI21" i="62"/>
  <c r="AE21" i="62"/>
  <c r="AD21" i="62"/>
  <c r="AI20" i="62"/>
  <c r="AJ20" i="62" s="1"/>
  <c r="AE20" i="62"/>
  <c r="AD20" i="62" s="1"/>
  <c r="AI19" i="62"/>
  <c r="AJ19" i="62" s="1"/>
  <c r="AE19" i="62"/>
  <c r="AD19" i="62" s="1"/>
  <c r="AJ18" i="62"/>
  <c r="AI18" i="62"/>
  <c r="AE18" i="62"/>
  <c r="AD18" i="62"/>
  <c r="AN17" i="62"/>
  <c r="AM17" i="62"/>
  <c r="AO17" i="62" s="1"/>
  <c r="AJ17" i="62"/>
  <c r="AI17" i="62"/>
  <c r="AE17" i="62"/>
  <c r="AD17" i="62"/>
  <c r="AI16" i="62"/>
  <c r="AJ16" i="62" s="1"/>
  <c r="AE16" i="62"/>
  <c r="AD16" i="62" s="1"/>
  <c r="AJ15" i="62"/>
  <c r="AI15" i="62"/>
  <c r="AE15" i="62"/>
  <c r="AD15" i="62"/>
  <c r="AI14" i="62"/>
  <c r="AJ14" i="62" s="1"/>
  <c r="AE14" i="62"/>
  <c r="AD14" i="62" s="1"/>
  <c r="AJ13" i="62"/>
  <c r="AI13" i="62"/>
  <c r="AE13" i="62"/>
  <c r="AD13" i="62"/>
  <c r="AI12" i="62"/>
  <c r="AJ12" i="62" s="1"/>
  <c r="AE12" i="62"/>
  <c r="AD12" i="62" s="1"/>
  <c r="AJ11" i="62"/>
  <c r="AI11" i="62"/>
  <c r="AE11" i="62"/>
  <c r="AD11" i="62"/>
  <c r="AI10" i="62"/>
  <c r="AJ10" i="62" s="1"/>
  <c r="AE10" i="62"/>
  <c r="AD10" i="62" s="1"/>
  <c r="AJ9" i="62"/>
  <c r="AI9" i="62"/>
  <c r="AE9" i="62"/>
  <c r="AD9" i="62"/>
  <c r="B9" i="62"/>
  <c r="B10" i="62" s="1"/>
  <c r="AI8" i="62"/>
  <c r="AJ8" i="62" s="1"/>
  <c r="AE8" i="62"/>
  <c r="AD8" i="62" s="1"/>
  <c r="M8" i="62"/>
  <c r="L8" i="62" s="1"/>
  <c r="K8" i="62"/>
  <c r="G8" i="62"/>
  <c r="E8" i="62"/>
  <c r="AJ7" i="62"/>
  <c r="AI7" i="62"/>
  <c r="AE7" i="62"/>
  <c r="AD7" i="62" s="1"/>
  <c r="D7" i="62"/>
  <c r="I6" i="62" s="1"/>
  <c r="C7" i="62"/>
  <c r="H6" i="62" s="1"/>
  <c r="AJ6" i="62"/>
  <c r="AI6" i="62"/>
  <c r="AE6" i="62"/>
  <c r="AD6" i="62" s="1"/>
  <c r="AJ5" i="62"/>
  <c r="AI5" i="62"/>
  <c r="AE5" i="62"/>
  <c r="AD5" i="62" s="1"/>
  <c r="AJ4" i="62"/>
  <c r="AI4" i="62"/>
  <c r="AE4" i="62"/>
  <c r="AD4" i="62" s="1"/>
  <c r="AJ3" i="62"/>
  <c r="AI3" i="62"/>
  <c r="AE3" i="62"/>
  <c r="AD3" i="62"/>
  <c r="AJ2" i="62"/>
  <c r="AI2" i="62"/>
  <c r="AE2" i="62"/>
  <c r="AD2" i="62" s="1"/>
  <c r="G9" i="62" l="1"/>
  <c r="E10" i="62"/>
  <c r="E9" i="62"/>
  <c r="M9" i="62"/>
  <c r="G10" i="62"/>
  <c r="AM20" i="62"/>
  <c r="AM19" i="62"/>
  <c r="AM22" i="62"/>
  <c r="AM21" i="62"/>
  <c r="W8" i="62"/>
  <c r="K9" i="62"/>
  <c r="M10" i="62"/>
  <c r="B11" i="62"/>
  <c r="L9" i="62" l="1"/>
  <c r="AN21" i="62"/>
  <c r="G11" i="62"/>
  <c r="K10" i="62"/>
  <c r="L10" i="62"/>
  <c r="W9" i="62"/>
  <c r="AM23" i="62"/>
  <c r="AN22" i="62" s="1"/>
  <c r="AN19" i="62"/>
  <c r="M11" i="62"/>
  <c r="B12" i="62"/>
  <c r="E11" i="62"/>
  <c r="AN20" i="62"/>
  <c r="AO20" i="62" s="1"/>
  <c r="L11" i="62" l="1"/>
  <c r="K11" i="62"/>
  <c r="AO22" i="62"/>
  <c r="E12" i="62"/>
  <c r="B13" i="62"/>
  <c r="M12" i="62"/>
  <c r="G12" i="62"/>
  <c r="W10" i="62"/>
  <c r="T8" i="62" l="1"/>
  <c r="U8" i="62"/>
  <c r="G13" i="62"/>
  <c r="K12" i="62"/>
  <c r="L12" i="62"/>
  <c r="W11" i="62"/>
  <c r="M13" i="62"/>
  <c r="E13" i="62"/>
  <c r="B14" i="62"/>
  <c r="T11" i="62"/>
  <c r="U11" i="62"/>
  <c r="T12" i="62" l="1"/>
  <c r="W12" i="62"/>
  <c r="U12" i="62"/>
  <c r="G14" i="62"/>
  <c r="U10" i="62"/>
  <c r="T10" i="62"/>
  <c r="E14" i="62"/>
  <c r="B15" i="62"/>
  <c r="M14" i="62"/>
  <c r="L13" i="62"/>
  <c r="K13" i="62"/>
  <c r="U9" i="62"/>
  <c r="T9" i="62"/>
  <c r="U13" i="62" l="1"/>
  <c r="G15" i="62"/>
  <c r="K14" i="62"/>
  <c r="L14" i="62"/>
  <c r="W13" i="62"/>
  <c r="M15" i="62"/>
  <c r="E15" i="62"/>
  <c r="B16" i="62"/>
  <c r="T13" i="62"/>
  <c r="T15" i="62" l="1"/>
  <c r="W14" i="62"/>
  <c r="G16" i="62"/>
  <c r="U14" i="62"/>
  <c r="T14" i="62"/>
  <c r="E16" i="62"/>
  <c r="B17" i="62"/>
  <c r="M16" i="62"/>
  <c r="L15" i="62"/>
  <c r="K15" i="62"/>
  <c r="W15" i="62" l="1"/>
  <c r="K16" i="62"/>
  <c r="L16" i="62"/>
  <c r="G17" i="62"/>
  <c r="U15" i="62"/>
  <c r="B18" i="62"/>
  <c r="M17" i="62"/>
  <c r="E17" i="62"/>
  <c r="T17" i="62" l="1"/>
  <c r="T16" i="62"/>
  <c r="G18" i="62"/>
  <c r="L17" i="62"/>
  <c r="K17" i="62"/>
  <c r="W16" i="62"/>
  <c r="E18" i="62"/>
  <c r="B19" i="62"/>
  <c r="M18" i="62"/>
  <c r="U16" i="62"/>
  <c r="U17" i="62" l="1"/>
  <c r="L18" i="62"/>
  <c r="K18" i="62"/>
  <c r="W17" i="62"/>
  <c r="G19" i="62"/>
  <c r="M19" i="62"/>
  <c r="B20" i="62"/>
  <c r="E19" i="62"/>
  <c r="T19" i="62" l="1"/>
  <c r="U18" i="62"/>
  <c r="T18" i="62"/>
  <c r="L19" i="62"/>
  <c r="K19" i="62"/>
  <c r="G20" i="62"/>
  <c r="W18" i="62"/>
  <c r="B21" i="62"/>
  <c r="M20" i="62"/>
  <c r="E20" i="62"/>
  <c r="T20" i="62" l="1"/>
  <c r="U19" i="62"/>
  <c r="L20" i="62"/>
  <c r="K20" i="62"/>
  <c r="G21" i="62"/>
  <c r="M21" i="62"/>
  <c r="B22" i="62"/>
  <c r="E21" i="62"/>
  <c r="W19" i="62"/>
  <c r="U20" i="62" l="1"/>
  <c r="L21" i="62"/>
  <c r="K21" i="62"/>
  <c r="W20" i="62"/>
  <c r="B23" i="62"/>
  <c r="M22" i="62"/>
  <c r="E22" i="62"/>
  <c r="G22" i="62"/>
  <c r="T22" i="62" l="1"/>
  <c r="B24" i="62"/>
  <c r="E23" i="62"/>
  <c r="M23" i="62"/>
  <c r="W21" i="62"/>
  <c r="U21" i="62"/>
  <c r="G23" i="62"/>
  <c r="L22" i="62"/>
  <c r="K22" i="62"/>
  <c r="T21" i="62"/>
  <c r="W22" i="62" l="1"/>
  <c r="M24" i="62"/>
  <c r="B25" i="62"/>
  <c r="E24" i="62"/>
  <c r="G24" i="62"/>
  <c r="U22" i="62"/>
  <c r="L23" i="62"/>
  <c r="K23" i="62"/>
  <c r="U24" i="62" l="1"/>
  <c r="T23" i="62"/>
  <c r="U23" i="62"/>
  <c r="L24" i="62"/>
  <c r="K24" i="62"/>
  <c r="G25" i="62"/>
  <c r="B26" i="62"/>
  <c r="E25" i="62"/>
  <c r="M25" i="62"/>
  <c r="W23" i="62"/>
  <c r="T24" i="62" l="1"/>
  <c r="G26" i="62"/>
  <c r="W24" i="62"/>
  <c r="L25" i="62"/>
  <c r="K25" i="62"/>
  <c r="M26" i="62"/>
  <c r="E26" i="62"/>
  <c r="B27" i="62"/>
  <c r="G27" i="62" l="1"/>
  <c r="M27" i="62"/>
  <c r="B28" i="62"/>
  <c r="E27" i="62"/>
  <c r="L26" i="62"/>
  <c r="K26" i="62"/>
  <c r="T25" i="62"/>
  <c r="U25" i="62"/>
  <c r="W25" i="62"/>
  <c r="T27" i="62" l="1"/>
  <c r="W26" i="62"/>
  <c r="T26" i="62"/>
  <c r="E28" i="62"/>
  <c r="M28" i="62"/>
  <c r="B29" i="62"/>
  <c r="U26" i="62"/>
  <c r="K27" i="62"/>
  <c r="L27" i="62"/>
  <c r="U27" i="62" l="1"/>
  <c r="B30" i="62"/>
  <c r="M29" i="62"/>
  <c r="E29" i="62"/>
  <c r="W27" i="62"/>
  <c r="K28" i="62"/>
  <c r="L28" i="62"/>
  <c r="L29" i="62" l="1"/>
  <c r="K29" i="62"/>
  <c r="E30" i="62"/>
  <c r="B31" i="62"/>
  <c r="M30" i="62"/>
  <c r="U28" i="62"/>
  <c r="T28" i="62"/>
  <c r="U30" i="62" l="1"/>
  <c r="T30" i="62"/>
  <c r="K30" i="62"/>
  <c r="L30" i="62"/>
  <c r="B32" i="62"/>
  <c r="M31" i="62"/>
  <c r="E31" i="62"/>
  <c r="T29" i="62"/>
  <c r="U29" i="62"/>
  <c r="T31" i="62" l="1"/>
  <c r="U31" i="62"/>
  <c r="L31" i="62"/>
  <c r="K31" i="62"/>
  <c r="E32" i="62"/>
  <c r="B33" i="62"/>
  <c r="M32" i="62"/>
  <c r="U32" i="62" l="1"/>
  <c r="T32" i="62"/>
  <c r="E33" i="62"/>
  <c r="B34" i="62"/>
  <c r="M33" i="62"/>
  <c r="K32" i="62"/>
  <c r="L32" i="62"/>
  <c r="T33" i="62" l="1"/>
  <c r="E34" i="62"/>
  <c r="B35" i="62"/>
  <c r="M34" i="62"/>
  <c r="L33" i="62"/>
  <c r="K33" i="62"/>
  <c r="U33" i="62" l="1"/>
  <c r="L34" i="62"/>
  <c r="K34" i="62"/>
  <c r="E35" i="62"/>
  <c r="M35" i="62"/>
  <c r="B36" i="62"/>
  <c r="U34" i="62" l="1"/>
  <c r="T34" i="62"/>
  <c r="L35" i="62"/>
  <c r="K35" i="62"/>
  <c r="E36" i="62"/>
  <c r="B37" i="62"/>
  <c r="M36" i="62"/>
  <c r="U36" i="62" l="1"/>
  <c r="T36" i="62"/>
  <c r="U35" i="62"/>
  <c r="T35" i="62"/>
  <c r="L36" i="62"/>
  <c r="K36" i="62"/>
  <c r="E37" i="62"/>
  <c r="M37" i="62"/>
  <c r="B38" i="62"/>
  <c r="E38" i="62" l="1"/>
  <c r="B39" i="62"/>
  <c r="M38" i="62"/>
  <c r="L37" i="62"/>
  <c r="K37" i="62"/>
  <c r="T38" i="62" l="1"/>
  <c r="T37" i="62"/>
  <c r="U37" i="62"/>
  <c r="L38" i="62"/>
  <c r="K38" i="62"/>
  <c r="E39" i="62"/>
  <c r="B40" i="62"/>
  <c r="M39" i="62"/>
  <c r="U39" i="62" l="1"/>
  <c r="U38" i="62"/>
  <c r="L39" i="62"/>
  <c r="K39" i="62"/>
  <c r="E40" i="62"/>
  <c r="B41" i="62"/>
  <c r="M40" i="62"/>
  <c r="T40" i="62" l="1"/>
  <c r="T39" i="62"/>
  <c r="L40" i="62"/>
  <c r="K40" i="62"/>
  <c r="E41" i="62"/>
  <c r="M41" i="62"/>
  <c r="B42" i="62"/>
  <c r="T41" i="62" l="1"/>
  <c r="U40" i="62"/>
  <c r="E42" i="62"/>
  <c r="B43" i="62"/>
  <c r="M42" i="62"/>
  <c r="L41" i="62"/>
  <c r="K41" i="62"/>
  <c r="U41" i="62" l="1"/>
  <c r="L42" i="62"/>
  <c r="K42" i="62"/>
  <c r="E43" i="62"/>
  <c r="M43" i="62"/>
  <c r="B44" i="62"/>
  <c r="U42" i="62" l="1"/>
  <c r="T42" i="62"/>
  <c r="E44" i="62"/>
  <c r="B45" i="62"/>
  <c r="M44" i="62"/>
  <c r="L43" i="62"/>
  <c r="K43" i="62"/>
  <c r="U43" i="62" l="1"/>
  <c r="T43" i="62"/>
  <c r="E45" i="62"/>
  <c r="B46" i="62"/>
  <c r="M45" i="62"/>
  <c r="L44" i="62"/>
  <c r="K44" i="62"/>
  <c r="E46" i="62" l="1"/>
  <c r="B47" i="62"/>
  <c r="M46" i="62"/>
  <c r="U44" i="62"/>
  <c r="T44" i="62"/>
  <c r="L45" i="62"/>
  <c r="K45" i="62"/>
  <c r="T45" i="62" l="1"/>
  <c r="L46" i="62"/>
  <c r="K46" i="62"/>
  <c r="E47" i="62"/>
  <c r="B48" i="62"/>
  <c r="M47" i="62"/>
  <c r="U45" i="62"/>
  <c r="T47" i="62" l="1"/>
  <c r="T46" i="62"/>
  <c r="L47" i="62"/>
  <c r="K47" i="62"/>
  <c r="E48" i="62"/>
  <c r="B49" i="62"/>
  <c r="M48" i="62"/>
  <c r="U46" i="62"/>
  <c r="U48" i="62" l="1"/>
  <c r="T48" i="62"/>
  <c r="U47" i="62"/>
  <c r="L48" i="62"/>
  <c r="K48" i="62"/>
  <c r="E49" i="62"/>
  <c r="M49" i="62"/>
  <c r="B50" i="62"/>
  <c r="B51" i="62" l="1"/>
  <c r="E50" i="62"/>
  <c r="M50" i="62"/>
  <c r="L49" i="62"/>
  <c r="K49" i="62"/>
  <c r="U50" i="62" l="1"/>
  <c r="T49" i="62"/>
  <c r="U49" i="62"/>
  <c r="L50" i="62"/>
  <c r="K50" i="62"/>
  <c r="E51" i="62"/>
  <c r="B52" i="62"/>
  <c r="M51" i="62"/>
  <c r="T50" i="62" l="1"/>
  <c r="L51" i="62"/>
  <c r="K51" i="62"/>
  <c r="B53" i="62"/>
  <c r="M52" i="62"/>
  <c r="E52" i="62"/>
  <c r="U51" i="62" l="1"/>
  <c r="T51" i="62"/>
  <c r="L52" i="62"/>
  <c r="K52" i="62"/>
  <c r="E53" i="62"/>
  <c r="B54" i="62"/>
  <c r="M53" i="62"/>
  <c r="T52" i="62" l="1"/>
  <c r="U52" i="62"/>
  <c r="L53" i="62"/>
  <c r="K53" i="62"/>
  <c r="B55" i="62"/>
  <c r="M54" i="62"/>
  <c r="E54" i="62"/>
  <c r="U54" i="62" l="1"/>
  <c r="T54" i="62"/>
  <c r="U53" i="62"/>
  <c r="T53" i="62"/>
  <c r="L54" i="62"/>
  <c r="K54" i="62"/>
  <c r="E55" i="62"/>
  <c r="B56" i="62"/>
  <c r="M55" i="62"/>
  <c r="T55" i="62" l="1"/>
  <c r="L55" i="62"/>
  <c r="K55" i="62"/>
  <c r="B57" i="62"/>
  <c r="M56" i="62"/>
  <c r="E56" i="62"/>
  <c r="T56" i="62" l="1"/>
  <c r="U55" i="62"/>
  <c r="L56" i="62"/>
  <c r="K56" i="62"/>
  <c r="E57" i="62"/>
  <c r="B58" i="62"/>
  <c r="M57" i="62"/>
  <c r="L57" i="62" l="1"/>
  <c r="K57" i="62"/>
  <c r="U56" i="62"/>
  <c r="B59" i="62"/>
  <c r="M58" i="62"/>
  <c r="E58" i="62"/>
  <c r="T57" i="62" l="1"/>
  <c r="U57" i="62"/>
  <c r="L58" i="62"/>
  <c r="K58" i="62"/>
  <c r="E59" i="62"/>
  <c r="M59" i="62"/>
  <c r="B60" i="62"/>
  <c r="T58" i="62" l="1"/>
  <c r="E60" i="62"/>
  <c r="M60" i="62"/>
  <c r="B61" i="62"/>
  <c r="U58" i="62"/>
  <c r="L59" i="62"/>
  <c r="K59" i="62"/>
  <c r="T60" i="62" l="1"/>
  <c r="L60" i="62"/>
  <c r="K60" i="62"/>
  <c r="U59" i="62"/>
  <c r="T59" i="62"/>
  <c r="E61" i="62"/>
  <c r="M61" i="62"/>
  <c r="B62" i="62"/>
  <c r="U60" i="62" l="1"/>
  <c r="L61" i="62"/>
  <c r="K61" i="62"/>
  <c r="E62" i="62"/>
  <c r="M62" i="62"/>
  <c r="B63" i="62"/>
  <c r="T62" i="62" l="1"/>
  <c r="U61" i="62"/>
  <c r="T61" i="62"/>
  <c r="L62" i="62"/>
  <c r="K62" i="62"/>
  <c r="E63" i="62"/>
  <c r="M63" i="62"/>
  <c r="B64" i="62"/>
  <c r="U63" i="62" l="1"/>
  <c r="U62" i="62"/>
  <c r="E64" i="62"/>
  <c r="M64" i="62"/>
  <c r="B65" i="62"/>
  <c r="L63" i="62"/>
  <c r="K63" i="62"/>
  <c r="T63" i="62" l="1"/>
  <c r="L64" i="62"/>
  <c r="K64" i="62"/>
  <c r="E65" i="62"/>
  <c r="M65" i="62"/>
  <c r="B66" i="62"/>
  <c r="U65" i="62" l="1"/>
  <c r="T65" i="62"/>
  <c r="T64" i="62"/>
  <c r="E66" i="62"/>
  <c r="M66" i="62"/>
  <c r="B67" i="62"/>
  <c r="L65" i="62"/>
  <c r="K65" i="62"/>
  <c r="U64" i="62"/>
  <c r="L66" i="62" l="1"/>
  <c r="K66" i="62"/>
  <c r="E67" i="62"/>
  <c r="M67" i="62"/>
  <c r="B68" i="62"/>
  <c r="T67" i="62" l="1"/>
  <c r="T66" i="62"/>
  <c r="U66" i="62"/>
  <c r="E68" i="62"/>
  <c r="M68" i="62"/>
  <c r="B69" i="62"/>
  <c r="L67" i="62"/>
  <c r="K67" i="62"/>
  <c r="U68" i="62" l="1"/>
  <c r="T68" i="62"/>
  <c r="U67" i="62"/>
  <c r="L68" i="62"/>
  <c r="K68" i="62"/>
  <c r="E69" i="62"/>
  <c r="B70" i="62"/>
  <c r="M69" i="62"/>
  <c r="U69" i="62" l="1"/>
  <c r="T69" i="62"/>
  <c r="L69" i="62"/>
  <c r="K69" i="62"/>
  <c r="E70" i="62"/>
  <c r="M70" i="62"/>
  <c r="B71" i="62"/>
  <c r="L70" i="62" l="1"/>
  <c r="K70" i="62"/>
  <c r="E71" i="62"/>
  <c r="B72" i="62"/>
  <c r="M71" i="62"/>
  <c r="T71" i="62" l="1"/>
  <c r="U71" i="62"/>
  <c r="U70" i="62"/>
  <c r="T70" i="62"/>
  <c r="L71" i="62"/>
  <c r="K71" i="62"/>
  <c r="E72" i="62"/>
  <c r="B73" i="62"/>
  <c r="M72" i="62"/>
  <c r="T72" i="62" l="1"/>
  <c r="U72" i="62"/>
  <c r="E73" i="62"/>
  <c r="B74" i="62"/>
  <c r="M73" i="62"/>
  <c r="L72" i="62"/>
  <c r="K72" i="62"/>
  <c r="U73" i="62" l="1"/>
  <c r="T73" i="62"/>
  <c r="L73" i="62"/>
  <c r="K73" i="62"/>
  <c r="E74" i="62"/>
  <c r="B75" i="62"/>
  <c r="M74" i="62"/>
  <c r="L74" i="62" l="1"/>
  <c r="K74" i="62"/>
  <c r="E75" i="62"/>
  <c r="B76" i="62"/>
  <c r="M75" i="62"/>
  <c r="T75" i="62" l="1"/>
  <c r="T74" i="62"/>
  <c r="U74" i="62"/>
  <c r="L75" i="62"/>
  <c r="K75" i="62"/>
  <c r="E76" i="62"/>
  <c r="B77" i="62"/>
  <c r="M76" i="62"/>
  <c r="T76" i="62" l="1"/>
  <c r="E77" i="62"/>
  <c r="B78" i="62"/>
  <c r="M77" i="62"/>
  <c r="L76" i="62"/>
  <c r="K76" i="62"/>
  <c r="U75" i="62"/>
  <c r="T77" i="62" l="1"/>
  <c r="U77" i="62"/>
  <c r="U76" i="62"/>
  <c r="L77" i="62"/>
  <c r="K77" i="62"/>
  <c r="E78" i="62"/>
  <c r="M78" i="62"/>
  <c r="B79" i="62"/>
  <c r="L78" i="62" l="1"/>
  <c r="K78" i="62"/>
  <c r="E79" i="62"/>
  <c r="B80" i="62"/>
  <c r="M79" i="62"/>
  <c r="U78" i="62" l="1"/>
  <c r="U79" i="62"/>
  <c r="T78" i="62"/>
  <c r="L79" i="62"/>
  <c r="K79" i="62"/>
  <c r="E80" i="62"/>
  <c r="B81" i="62"/>
  <c r="M80" i="62"/>
  <c r="T79" i="62" l="1"/>
  <c r="E81" i="62"/>
  <c r="B82" i="62"/>
  <c r="M81" i="62"/>
  <c r="L80" i="62"/>
  <c r="K80" i="62"/>
  <c r="U80" i="62" l="1"/>
  <c r="T80" i="62"/>
  <c r="L81" i="62"/>
  <c r="K81" i="62"/>
  <c r="E82" i="62"/>
  <c r="B83" i="62"/>
  <c r="M82" i="62"/>
  <c r="T82" i="62" l="1"/>
  <c r="U82" i="62"/>
  <c r="T81" i="62"/>
  <c r="U81" i="62"/>
  <c r="E83" i="62"/>
  <c r="B84" i="62"/>
  <c r="M83" i="62"/>
  <c r="L82" i="62"/>
  <c r="K82" i="62"/>
  <c r="T83" i="62" l="1"/>
  <c r="L83" i="62"/>
  <c r="K83" i="62"/>
  <c r="E84" i="62"/>
  <c r="B85" i="62"/>
  <c r="M84" i="62"/>
  <c r="U84" i="62" l="1"/>
  <c r="T84" i="62"/>
  <c r="U83" i="62"/>
  <c r="L84" i="62"/>
  <c r="K84" i="62"/>
  <c r="E85" i="62"/>
  <c r="B86" i="62"/>
  <c r="M85" i="62"/>
  <c r="T85" i="62" l="1"/>
  <c r="L85" i="62"/>
  <c r="K85" i="62"/>
  <c r="E86" i="62"/>
  <c r="B87" i="62"/>
  <c r="M86" i="62"/>
  <c r="U85" i="62" l="1"/>
  <c r="L86" i="62"/>
  <c r="K86" i="62"/>
  <c r="E87" i="62"/>
  <c r="B88" i="62"/>
  <c r="M87" i="62"/>
  <c r="U87" i="62" l="1"/>
  <c r="U86" i="62"/>
  <c r="T87" i="62"/>
  <c r="T86" i="62"/>
  <c r="L87" i="62"/>
  <c r="K87" i="62"/>
  <c r="E88" i="62"/>
  <c r="B89" i="62"/>
  <c r="M88" i="62"/>
  <c r="T88" i="62" l="1"/>
  <c r="E89" i="62"/>
  <c r="M89" i="62"/>
  <c r="B90" i="62"/>
  <c r="L88" i="62"/>
  <c r="K88" i="62"/>
  <c r="U88" i="62" l="1"/>
  <c r="E90" i="62"/>
  <c r="B91" i="62"/>
  <c r="M90" i="62"/>
  <c r="L89" i="62"/>
  <c r="K89" i="62"/>
  <c r="T89" i="62" l="1"/>
  <c r="U89" i="62"/>
  <c r="E91" i="62"/>
  <c r="M91" i="62"/>
  <c r="B92" i="62"/>
  <c r="L90" i="62"/>
  <c r="K90" i="62"/>
  <c r="T90" i="62" l="1"/>
  <c r="U90" i="62"/>
  <c r="L91" i="62"/>
  <c r="K91" i="62"/>
  <c r="E92" i="62"/>
  <c r="B93" i="62"/>
  <c r="M92" i="62"/>
  <c r="U91" i="62" l="1"/>
  <c r="T91" i="62"/>
  <c r="L92" i="62"/>
  <c r="K92" i="62"/>
  <c r="E93" i="62"/>
  <c r="M93" i="62"/>
  <c r="B94" i="62"/>
  <c r="U93" i="62" l="1"/>
  <c r="L93" i="62"/>
  <c r="K93" i="62"/>
  <c r="E94" i="62"/>
  <c r="B95" i="62"/>
  <c r="M94" i="62"/>
  <c r="T92" i="62"/>
  <c r="U92" i="62"/>
  <c r="T93" i="62" l="1"/>
  <c r="L94" i="62"/>
  <c r="K94" i="62"/>
  <c r="E95" i="62"/>
  <c r="M95" i="62"/>
  <c r="B96" i="62"/>
  <c r="T95" i="62" l="1"/>
  <c r="E96" i="62"/>
  <c r="B97" i="62"/>
  <c r="M96" i="62"/>
  <c r="T94" i="62"/>
  <c r="U94" i="62"/>
  <c r="L95" i="62"/>
  <c r="K95" i="62"/>
  <c r="E97" i="62" l="1"/>
  <c r="M97" i="62"/>
  <c r="B98" i="62"/>
  <c r="U95" i="62"/>
  <c r="L96" i="62"/>
  <c r="K96" i="62"/>
  <c r="U96" i="62" l="1"/>
  <c r="E98" i="62"/>
  <c r="B99" i="62"/>
  <c r="M98" i="62"/>
  <c r="L97" i="62"/>
  <c r="K97" i="62"/>
  <c r="T96" i="62"/>
  <c r="U97" i="62" l="1"/>
  <c r="T97" i="62"/>
  <c r="E99" i="62"/>
  <c r="M99" i="62"/>
  <c r="B100" i="62"/>
  <c r="L98" i="62"/>
  <c r="K98" i="62"/>
  <c r="U98" i="62" l="1"/>
  <c r="T98" i="62"/>
  <c r="E100" i="62"/>
  <c r="M100" i="62"/>
  <c r="B101" i="62"/>
  <c r="L99" i="62"/>
  <c r="K99" i="62"/>
  <c r="T99" i="62" l="1"/>
  <c r="U99" i="62"/>
  <c r="E101" i="62"/>
  <c r="B102" i="62"/>
  <c r="M101" i="62"/>
  <c r="L100" i="62"/>
  <c r="K100" i="62"/>
  <c r="T101" i="62" l="1"/>
  <c r="U101" i="62"/>
  <c r="T100" i="62"/>
  <c r="E102" i="62"/>
  <c r="B103" i="62"/>
  <c r="M102" i="62"/>
  <c r="U100" i="62"/>
  <c r="L101" i="62"/>
  <c r="K101" i="62"/>
  <c r="T102" i="62" l="1"/>
  <c r="U102" i="62"/>
  <c r="E103" i="62"/>
  <c r="B104" i="62"/>
  <c r="M103" i="62"/>
  <c r="L102" i="62"/>
  <c r="K102" i="62"/>
  <c r="T103" i="62" l="1"/>
  <c r="L103" i="62"/>
  <c r="K103" i="62"/>
  <c r="E104" i="62"/>
  <c r="B105" i="62"/>
  <c r="M104" i="62"/>
  <c r="U104" i="62" l="1"/>
  <c r="U103" i="62"/>
  <c r="L104" i="62"/>
  <c r="K104" i="62"/>
  <c r="E105" i="62"/>
  <c r="B106" i="62"/>
  <c r="M105" i="62"/>
  <c r="T104" i="62" l="1"/>
  <c r="L105" i="62"/>
  <c r="K105" i="62"/>
  <c r="E106" i="62"/>
  <c r="M106" i="62"/>
  <c r="B107" i="62"/>
  <c r="U106" i="62" l="1"/>
  <c r="T105" i="62"/>
  <c r="U105" i="62"/>
  <c r="L106" i="62"/>
  <c r="K106" i="62"/>
  <c r="E107" i="62"/>
  <c r="B108" i="62"/>
  <c r="M107" i="62"/>
  <c r="T107" i="62" l="1"/>
  <c r="U107" i="62"/>
  <c r="T106" i="62"/>
  <c r="L107" i="62"/>
  <c r="K107" i="62"/>
  <c r="E108" i="62"/>
  <c r="B109" i="62"/>
  <c r="M108" i="62"/>
  <c r="T108" i="62" l="1"/>
  <c r="E109" i="62"/>
  <c r="B110" i="62"/>
  <c r="M109" i="62"/>
  <c r="L108" i="62"/>
  <c r="K108" i="62"/>
  <c r="U109" i="62" l="1"/>
  <c r="U108" i="62"/>
  <c r="L109" i="62"/>
  <c r="K109" i="62"/>
  <c r="E110" i="62"/>
  <c r="B111" i="62"/>
  <c r="M110" i="62"/>
  <c r="T109" i="62" l="1"/>
  <c r="L110" i="62"/>
  <c r="K110" i="62"/>
  <c r="E111" i="62"/>
  <c r="B112" i="62"/>
  <c r="M111" i="62"/>
  <c r="T111" i="62" l="1"/>
  <c r="T110" i="62"/>
  <c r="U110" i="62"/>
  <c r="L111" i="62"/>
  <c r="K111" i="62"/>
  <c r="E112" i="62"/>
  <c r="B113" i="62"/>
  <c r="M112" i="62"/>
  <c r="T112" i="62" l="1"/>
  <c r="E113" i="62"/>
  <c r="B114" i="62"/>
  <c r="M113" i="62"/>
  <c r="L112" i="62"/>
  <c r="K112" i="62"/>
  <c r="U111" i="62"/>
  <c r="T113" i="62" l="1"/>
  <c r="U113" i="62"/>
  <c r="U112" i="62"/>
  <c r="L113" i="62"/>
  <c r="K113" i="62"/>
  <c r="E114" i="62"/>
  <c r="M114" i="62"/>
  <c r="B115" i="62"/>
  <c r="U114" i="62" l="1"/>
  <c r="T114" i="62"/>
  <c r="E115" i="62"/>
  <c r="B116" i="62"/>
  <c r="M115" i="62"/>
  <c r="L114" i="62"/>
  <c r="K114" i="62"/>
  <c r="L115" i="62" l="1"/>
  <c r="K115" i="62"/>
  <c r="E116" i="62"/>
  <c r="B117" i="62"/>
  <c r="M116" i="62"/>
  <c r="T116" i="62" l="1"/>
  <c r="T115" i="62"/>
  <c r="U115" i="62"/>
  <c r="L116" i="62"/>
  <c r="K116" i="62"/>
  <c r="E117" i="62"/>
  <c r="B118" i="62"/>
  <c r="M117" i="62"/>
  <c r="U117" i="62" l="1"/>
  <c r="T117" i="62"/>
  <c r="U116" i="62"/>
  <c r="L117" i="62"/>
  <c r="K117" i="62"/>
  <c r="E118" i="62"/>
  <c r="B119" i="62"/>
  <c r="M118" i="62"/>
  <c r="U118" i="62" l="1"/>
  <c r="L118" i="62"/>
  <c r="K118" i="62"/>
  <c r="E119" i="62"/>
  <c r="B120" i="62"/>
  <c r="M119" i="62"/>
  <c r="T119" i="62" l="1"/>
  <c r="T118" i="62"/>
  <c r="L119" i="62"/>
  <c r="K119" i="62"/>
  <c r="E120" i="62"/>
  <c r="B121" i="62"/>
  <c r="M120" i="62"/>
  <c r="U119" i="62" l="1"/>
  <c r="L120" i="62"/>
  <c r="K120" i="62"/>
  <c r="E121" i="62"/>
  <c r="B122" i="62"/>
  <c r="M121" i="62"/>
  <c r="T121" i="62" l="1"/>
  <c r="U120" i="62"/>
  <c r="T120" i="62"/>
  <c r="U121" i="62"/>
  <c r="L121" i="62"/>
  <c r="K121" i="62"/>
  <c r="B123" i="62"/>
  <c r="M122" i="62"/>
  <c r="E122" i="62"/>
  <c r="T122" i="62" l="1"/>
  <c r="B124" i="62"/>
  <c r="E123" i="62"/>
  <c r="M123" i="62"/>
  <c r="L122" i="62"/>
  <c r="K122" i="62"/>
  <c r="U122" i="62" l="1"/>
  <c r="K123" i="62"/>
  <c r="L123" i="62"/>
  <c r="B125" i="62"/>
  <c r="M124" i="62"/>
  <c r="E124" i="62"/>
  <c r="T124" i="62" l="1"/>
  <c r="T123" i="62"/>
  <c r="U123" i="62"/>
  <c r="L124" i="62"/>
  <c r="K124" i="62"/>
  <c r="B126" i="62"/>
  <c r="E125" i="62"/>
  <c r="M125" i="62"/>
  <c r="U124" i="62" l="1"/>
  <c r="K125" i="62"/>
  <c r="L125" i="62"/>
  <c r="B127" i="62"/>
  <c r="M126" i="62"/>
  <c r="E126" i="62"/>
  <c r="T126" i="62" l="1"/>
  <c r="U126" i="62"/>
  <c r="E127" i="62"/>
  <c r="B128" i="62"/>
  <c r="M127" i="62"/>
  <c r="U125" i="62"/>
  <c r="L126" i="62"/>
  <c r="K126" i="62"/>
  <c r="T125" i="62"/>
  <c r="K127" i="62" l="1"/>
  <c r="L127" i="62"/>
  <c r="B129" i="62"/>
  <c r="M128" i="62"/>
  <c r="E128" i="62"/>
  <c r="U127" i="62" l="1"/>
  <c r="E129" i="62"/>
  <c r="B130" i="62"/>
  <c r="M129" i="62"/>
  <c r="L128" i="62"/>
  <c r="K128" i="62"/>
  <c r="T127" i="62"/>
  <c r="T128" i="62" l="1"/>
  <c r="U128" i="62"/>
  <c r="K129" i="62"/>
  <c r="L129" i="62"/>
  <c r="B131" i="62"/>
  <c r="M130" i="62"/>
  <c r="E130" i="62"/>
  <c r="U130" i="62" l="1"/>
  <c r="U129" i="62"/>
  <c r="T130" i="62"/>
  <c r="E131" i="62"/>
  <c r="B132" i="62"/>
  <c r="M131" i="62"/>
  <c r="L130" i="62"/>
  <c r="K130" i="62"/>
  <c r="T129" i="62"/>
  <c r="K131" i="62" l="1"/>
  <c r="L131" i="62"/>
  <c r="B133" i="62"/>
  <c r="M132" i="62"/>
  <c r="E132" i="62"/>
  <c r="T132" i="62" l="1"/>
  <c r="U131" i="62"/>
  <c r="E133" i="62"/>
  <c r="B134" i="62"/>
  <c r="M133" i="62"/>
  <c r="L132" i="62"/>
  <c r="K132" i="62"/>
  <c r="T131" i="62"/>
  <c r="U132" i="62" l="1"/>
  <c r="U133" i="62"/>
  <c r="K133" i="62"/>
  <c r="L133" i="62"/>
  <c r="B135" i="62"/>
  <c r="M134" i="62"/>
  <c r="E134" i="62"/>
  <c r="U134" i="62" l="1"/>
  <c r="T134" i="62"/>
  <c r="E135" i="62"/>
  <c r="B136" i="62"/>
  <c r="M135" i="62"/>
  <c r="L134" i="62"/>
  <c r="K134" i="62"/>
  <c r="T133" i="62"/>
  <c r="K135" i="62" l="1"/>
  <c r="L135" i="62"/>
  <c r="B137" i="62"/>
  <c r="M136" i="62"/>
  <c r="E136" i="62"/>
  <c r="U136" i="62" l="1"/>
  <c r="U135" i="62"/>
  <c r="E137" i="62"/>
  <c r="B138" i="62"/>
  <c r="M137" i="62"/>
  <c r="L136" i="62"/>
  <c r="K136" i="62"/>
  <c r="T135" i="62"/>
  <c r="U137" i="62" l="1"/>
  <c r="T136" i="62"/>
  <c r="K137" i="62"/>
  <c r="L137" i="62"/>
  <c r="B139" i="62"/>
  <c r="M138" i="62"/>
  <c r="E138" i="62"/>
  <c r="T138" i="62" l="1"/>
  <c r="U138" i="62"/>
  <c r="E139" i="62"/>
  <c r="M139" i="62"/>
  <c r="B140" i="62"/>
  <c r="L138" i="62"/>
  <c r="K138" i="62"/>
  <c r="T137" i="62"/>
  <c r="K139" i="62" l="1"/>
  <c r="L139" i="62"/>
  <c r="B141" i="62"/>
  <c r="M140" i="62"/>
  <c r="E140" i="62"/>
  <c r="E141" i="62" l="1"/>
  <c r="M141" i="62"/>
  <c r="B142" i="62"/>
  <c r="L140" i="62"/>
  <c r="K140" i="62"/>
  <c r="U139" i="62"/>
  <c r="T139" i="62"/>
  <c r="K141" i="62" l="1"/>
  <c r="L141" i="62"/>
  <c r="T140" i="62"/>
  <c r="U140" i="62"/>
  <c r="B143" i="62"/>
  <c r="M142" i="62"/>
  <c r="E142" i="62"/>
  <c r="T142" i="62" l="1"/>
  <c r="U141" i="62"/>
  <c r="L142" i="62"/>
  <c r="K142" i="62"/>
  <c r="E143" i="62"/>
  <c r="M143" i="62"/>
  <c r="B144" i="62"/>
  <c r="T141" i="62"/>
  <c r="B145" i="62" l="1"/>
  <c r="M144" i="62"/>
  <c r="E144" i="62"/>
  <c r="K143" i="62"/>
  <c r="L143" i="62"/>
  <c r="U142" i="62"/>
  <c r="T144" i="62" l="1"/>
  <c r="U143" i="62"/>
  <c r="T143" i="62"/>
  <c r="L144" i="62"/>
  <c r="K144" i="62"/>
  <c r="E145" i="62"/>
  <c r="M145" i="62"/>
  <c r="B146" i="62"/>
  <c r="U144" i="62" l="1"/>
  <c r="B147" i="62"/>
  <c r="M146" i="62"/>
  <c r="E146" i="62"/>
  <c r="K145" i="62"/>
  <c r="L145" i="62"/>
  <c r="U145" i="62" l="1"/>
  <c r="T145" i="62"/>
  <c r="L146" i="62"/>
  <c r="K146" i="62"/>
  <c r="E147" i="62"/>
  <c r="M147" i="62"/>
  <c r="B148" i="62"/>
  <c r="T146" i="62" l="1"/>
  <c r="U146" i="62"/>
  <c r="B149" i="62"/>
  <c r="M148" i="62"/>
  <c r="E148" i="62"/>
  <c r="K147" i="62"/>
  <c r="L147" i="62"/>
  <c r="U148" i="62" l="1"/>
  <c r="T148" i="62"/>
  <c r="U147" i="62"/>
  <c r="T147" i="62"/>
  <c r="L148" i="62"/>
  <c r="K148" i="62"/>
  <c r="E149" i="62"/>
  <c r="B150" i="62"/>
  <c r="M149" i="62"/>
  <c r="K149" i="62" l="1"/>
  <c r="L149" i="62"/>
  <c r="B151" i="62"/>
  <c r="M150" i="62"/>
  <c r="E150" i="62"/>
  <c r="E151" i="62" l="1"/>
  <c r="B152" i="62"/>
  <c r="M151" i="62"/>
  <c r="U149" i="62"/>
  <c r="L150" i="62"/>
  <c r="K150" i="62"/>
  <c r="T149" i="62"/>
  <c r="K151" i="62" l="1"/>
  <c r="L151" i="62"/>
  <c r="U150" i="62"/>
  <c r="B153" i="62"/>
  <c r="M152" i="62"/>
  <c r="E152" i="62"/>
  <c r="T150" i="62"/>
  <c r="U151" i="62" l="1"/>
  <c r="L152" i="62"/>
  <c r="K152" i="62"/>
  <c r="E153" i="62"/>
  <c r="M153" i="62"/>
  <c r="B154" i="62"/>
  <c r="T151" i="62"/>
  <c r="T153" i="62" l="1"/>
  <c r="U152" i="62"/>
  <c r="B155" i="62"/>
  <c r="M154" i="62"/>
  <c r="E154" i="62"/>
  <c r="T152" i="62"/>
  <c r="K153" i="62"/>
  <c r="L153" i="62"/>
  <c r="U153" i="62" l="1"/>
  <c r="L154" i="62"/>
  <c r="K154" i="62"/>
  <c r="E155" i="62"/>
  <c r="M155" i="62"/>
  <c r="B156" i="62"/>
  <c r="U155" i="62" l="1"/>
  <c r="T154" i="62"/>
  <c r="B157" i="62"/>
  <c r="M156" i="62"/>
  <c r="E156" i="62"/>
  <c r="K155" i="62"/>
  <c r="L155" i="62"/>
  <c r="U154" i="62"/>
  <c r="T155" i="62" l="1"/>
  <c r="L156" i="62"/>
  <c r="K156" i="62"/>
  <c r="E157" i="62"/>
  <c r="B158" i="62"/>
  <c r="M157" i="62"/>
  <c r="B159" i="62" l="1"/>
  <c r="M158" i="62"/>
  <c r="E158" i="62"/>
  <c r="T156" i="62"/>
  <c r="U156" i="62"/>
  <c r="K157" i="62"/>
  <c r="L157" i="62"/>
  <c r="T157" i="62" l="1"/>
  <c r="U157" i="62"/>
  <c r="L158" i="62"/>
  <c r="K158" i="62"/>
  <c r="E159" i="62"/>
  <c r="B160" i="62"/>
  <c r="M159" i="62"/>
  <c r="U159" i="62" l="1"/>
  <c r="K159" i="62"/>
  <c r="L159" i="62"/>
  <c r="T158" i="62"/>
  <c r="B161" i="62"/>
  <c r="M160" i="62"/>
  <c r="E160" i="62"/>
  <c r="U158" i="62"/>
  <c r="L160" i="62" l="1"/>
  <c r="K160" i="62"/>
  <c r="E161" i="62"/>
  <c r="M161" i="62"/>
  <c r="B162" i="62"/>
  <c r="T159" i="62"/>
  <c r="T160" i="62" l="1"/>
  <c r="B163" i="62"/>
  <c r="M162" i="62"/>
  <c r="E162" i="62"/>
  <c r="K161" i="62"/>
  <c r="L161" i="62"/>
  <c r="U160" i="62"/>
  <c r="T162" i="62" l="1"/>
  <c r="U161" i="62"/>
  <c r="T161" i="62"/>
  <c r="L162" i="62"/>
  <c r="K162" i="62"/>
  <c r="E163" i="62"/>
  <c r="M163" i="62"/>
  <c r="B164" i="62"/>
  <c r="U163" i="62" l="1"/>
  <c r="K163" i="62"/>
  <c r="L163" i="62"/>
  <c r="U162" i="62"/>
  <c r="B165" i="62"/>
  <c r="M164" i="62"/>
  <c r="E164" i="62"/>
  <c r="T164" i="62" l="1"/>
  <c r="L164" i="62"/>
  <c r="K164" i="62"/>
  <c r="E165" i="62"/>
  <c r="B166" i="62"/>
  <c r="M165" i="62"/>
  <c r="T163" i="62"/>
  <c r="B167" i="62" l="1"/>
  <c r="M166" i="62"/>
  <c r="E166" i="62"/>
  <c r="K165" i="62"/>
  <c r="L165" i="62"/>
  <c r="U164" i="62"/>
  <c r="U165" i="62" l="1"/>
  <c r="T165" i="62"/>
  <c r="L166" i="62"/>
  <c r="K166" i="62"/>
  <c r="E167" i="62"/>
  <c r="B168" i="62"/>
  <c r="M167" i="62"/>
  <c r="T167" i="62" l="1"/>
  <c r="U167" i="62"/>
  <c r="B169" i="62"/>
  <c r="M168" i="62"/>
  <c r="E168" i="62"/>
  <c r="U166" i="62"/>
  <c r="K167" i="62"/>
  <c r="L167" i="62"/>
  <c r="T166" i="62"/>
  <c r="L168" i="62" l="1"/>
  <c r="K168" i="62"/>
  <c r="E169" i="62"/>
  <c r="B170" i="62"/>
  <c r="M169" i="62"/>
  <c r="T169" i="62" l="1"/>
  <c r="B171" i="62"/>
  <c r="M170" i="62"/>
  <c r="E170" i="62"/>
  <c r="T168" i="62"/>
  <c r="K169" i="62"/>
  <c r="L169" i="62"/>
  <c r="U168" i="62"/>
  <c r="U169" i="62" l="1"/>
  <c r="L170" i="62"/>
  <c r="K170" i="62"/>
  <c r="E171" i="62"/>
  <c r="M171" i="62"/>
  <c r="B172" i="62"/>
  <c r="K171" i="62" l="1"/>
  <c r="L171" i="62"/>
  <c r="T170" i="62"/>
  <c r="B173" i="62"/>
  <c r="M172" i="62"/>
  <c r="E172" i="62"/>
  <c r="U170" i="62"/>
  <c r="U171" i="62" l="1"/>
  <c r="L172" i="62"/>
  <c r="K172" i="62"/>
  <c r="E173" i="62"/>
  <c r="B174" i="62"/>
  <c r="M173" i="62"/>
  <c r="T171" i="62"/>
  <c r="T173" i="62" l="1"/>
  <c r="B175" i="62"/>
  <c r="M174" i="62"/>
  <c r="E174" i="62"/>
  <c r="T172" i="62"/>
  <c r="K173" i="62"/>
  <c r="L173" i="62"/>
  <c r="U172" i="62"/>
  <c r="U173" i="62" l="1"/>
  <c r="L174" i="62"/>
  <c r="K174" i="62"/>
  <c r="E175" i="62"/>
  <c r="B176" i="62"/>
  <c r="M175" i="62"/>
  <c r="B177" i="62" l="1"/>
  <c r="M176" i="62"/>
  <c r="E176" i="62"/>
  <c r="T174" i="62"/>
  <c r="K175" i="62"/>
  <c r="L175" i="62"/>
  <c r="U174" i="62"/>
  <c r="U175" i="62" l="1"/>
  <c r="T175" i="62"/>
  <c r="L176" i="62"/>
  <c r="K176" i="62"/>
  <c r="E177" i="62"/>
  <c r="B178" i="62"/>
  <c r="M177" i="62"/>
  <c r="T176" i="62" l="1"/>
  <c r="B179" i="62"/>
  <c r="M178" i="62"/>
  <c r="E178" i="62"/>
  <c r="U176" i="62"/>
  <c r="K177" i="62"/>
  <c r="L177" i="62"/>
  <c r="U177" i="62" l="1"/>
  <c r="T177" i="62"/>
  <c r="L178" i="62"/>
  <c r="K178" i="62"/>
  <c r="E179" i="62"/>
  <c r="M179" i="62"/>
  <c r="B180" i="62"/>
  <c r="U179" i="62" l="1"/>
  <c r="U178" i="62"/>
  <c r="B181" i="62"/>
  <c r="M180" i="62"/>
  <c r="E180" i="62"/>
  <c r="K179" i="62"/>
  <c r="L179" i="62"/>
  <c r="T178" i="62"/>
  <c r="T180" i="62" l="1"/>
  <c r="U180" i="62"/>
  <c r="T179" i="62"/>
  <c r="L180" i="62"/>
  <c r="K180" i="62"/>
  <c r="M181" i="62"/>
  <c r="B182" i="62"/>
  <c r="E181" i="62"/>
  <c r="T181" i="62" l="1"/>
  <c r="K181" i="62"/>
  <c r="L181" i="62"/>
  <c r="B183" i="62"/>
  <c r="M182" i="62"/>
  <c r="E182" i="62"/>
  <c r="U181" i="62" l="1"/>
  <c r="M183" i="62"/>
  <c r="B184" i="62"/>
  <c r="E183" i="62"/>
  <c r="K182" i="62"/>
  <c r="L182" i="62"/>
  <c r="T182" i="62" l="1"/>
  <c r="B185" i="62"/>
  <c r="M184" i="62"/>
  <c r="E184" i="62"/>
  <c r="U182" i="62"/>
  <c r="K183" i="62"/>
  <c r="L183" i="62"/>
  <c r="T183" i="62" l="1"/>
  <c r="U183" i="62"/>
  <c r="K184" i="62"/>
  <c r="L184" i="62"/>
  <c r="M185" i="62"/>
  <c r="B186" i="62"/>
  <c r="E185" i="62"/>
  <c r="T184" i="62" l="1"/>
  <c r="B187" i="62"/>
  <c r="M186" i="62"/>
  <c r="E186" i="62"/>
  <c r="U184" i="62"/>
  <c r="K185" i="62"/>
  <c r="L185" i="62"/>
  <c r="T185" i="62" l="1"/>
  <c r="U185" i="62"/>
  <c r="K186" i="62"/>
  <c r="L186" i="62"/>
  <c r="M187" i="62"/>
  <c r="B188" i="62"/>
  <c r="E187" i="62"/>
  <c r="T186" i="62" l="1"/>
  <c r="K187" i="62"/>
  <c r="L187" i="62"/>
  <c r="B189" i="62"/>
  <c r="M188" i="62"/>
  <c r="E188" i="62"/>
  <c r="U186" i="62"/>
  <c r="U187" i="62" l="1"/>
  <c r="M189" i="62"/>
  <c r="B190" i="62"/>
  <c r="E189" i="62"/>
  <c r="K188" i="62"/>
  <c r="L188" i="62"/>
  <c r="T187" i="62"/>
  <c r="T188" i="62" l="1"/>
  <c r="B191" i="62"/>
  <c r="M190" i="62"/>
  <c r="E190" i="62"/>
  <c r="U188" i="62"/>
  <c r="K189" i="62"/>
  <c r="L189" i="62"/>
  <c r="T190" i="62" l="1"/>
  <c r="T189" i="62"/>
  <c r="U189" i="62"/>
  <c r="K190" i="62"/>
  <c r="L190" i="62"/>
  <c r="M191" i="62"/>
  <c r="B192" i="62"/>
  <c r="E191" i="62"/>
  <c r="B193" i="62" l="1"/>
  <c r="M192" i="62"/>
  <c r="E192" i="62"/>
  <c r="U190" i="62"/>
  <c r="K191" i="62"/>
  <c r="L191" i="62"/>
  <c r="T192" i="62" l="1"/>
  <c r="T191" i="62"/>
  <c r="U191" i="62"/>
  <c r="K192" i="62"/>
  <c r="L192" i="62"/>
  <c r="M193" i="62"/>
  <c r="B194" i="62"/>
  <c r="E193" i="62"/>
  <c r="U193" i="62" l="1"/>
  <c r="U192" i="62"/>
  <c r="K193" i="62"/>
  <c r="L193" i="62"/>
  <c r="B195" i="62"/>
  <c r="M194" i="62"/>
  <c r="E194" i="62"/>
  <c r="T193" i="62" l="1"/>
  <c r="K194" i="62"/>
  <c r="L194" i="62"/>
  <c r="M195" i="62"/>
  <c r="B196" i="62"/>
  <c r="E195" i="62"/>
  <c r="U195" i="62" l="1"/>
  <c r="T194" i="62"/>
  <c r="B197" i="62"/>
  <c r="M196" i="62"/>
  <c r="E196" i="62"/>
  <c r="K195" i="62"/>
  <c r="L195" i="62"/>
  <c r="U194" i="62"/>
  <c r="T196" i="62" l="1"/>
  <c r="T195" i="62"/>
  <c r="K196" i="62"/>
  <c r="L196" i="62"/>
  <c r="M197" i="62"/>
  <c r="B198" i="62"/>
  <c r="E197" i="62"/>
  <c r="K197" i="62" l="1"/>
  <c r="L197" i="62"/>
  <c r="B199" i="62"/>
  <c r="M198" i="62"/>
  <c r="E198" i="62"/>
  <c r="U196" i="62"/>
  <c r="U197" i="62" l="1"/>
  <c r="T197" i="62"/>
  <c r="M199" i="62"/>
  <c r="B200" i="62"/>
  <c r="E199" i="62"/>
  <c r="K198" i="62"/>
  <c r="L198" i="62"/>
  <c r="T198" i="62" l="1"/>
  <c r="B201" i="62"/>
  <c r="M200" i="62"/>
  <c r="E200" i="62"/>
  <c r="U198" i="62"/>
  <c r="K199" i="62"/>
  <c r="L199" i="62"/>
  <c r="T200" i="62" l="1"/>
  <c r="T199" i="62"/>
  <c r="U199" i="62"/>
  <c r="K200" i="62"/>
  <c r="L200" i="62"/>
  <c r="E201" i="62"/>
  <c r="B202" i="62"/>
  <c r="M201" i="62"/>
  <c r="B203" i="62" l="1"/>
  <c r="M202" i="62"/>
  <c r="E202" i="62"/>
  <c r="U200" i="62"/>
  <c r="L201" i="62"/>
  <c r="K201" i="62"/>
  <c r="T202" i="62" l="1"/>
  <c r="T201" i="62"/>
  <c r="L202" i="62"/>
  <c r="K202" i="62"/>
  <c r="E203" i="62"/>
  <c r="B204" i="62"/>
  <c r="M203" i="62"/>
  <c r="U201" i="62"/>
  <c r="L203" i="62" l="1"/>
  <c r="K203" i="62"/>
  <c r="B205" i="62"/>
  <c r="E204" i="62"/>
  <c r="M204" i="62"/>
  <c r="U202" i="62"/>
  <c r="U204" i="62" l="1"/>
  <c r="U203" i="62"/>
  <c r="T203" i="62"/>
  <c r="L204" i="62"/>
  <c r="K204" i="62"/>
  <c r="E205" i="62"/>
  <c r="B206" i="62"/>
  <c r="M205" i="62"/>
  <c r="L205" i="62" l="1"/>
  <c r="K205" i="62"/>
  <c r="T204" i="62"/>
  <c r="B207" i="62"/>
  <c r="M206" i="62"/>
  <c r="E206" i="62"/>
  <c r="T205" i="62" l="1"/>
  <c r="U205" i="62"/>
  <c r="L206" i="62"/>
  <c r="K206" i="62"/>
  <c r="E207" i="62"/>
  <c r="B208" i="62"/>
  <c r="M207" i="62"/>
  <c r="T207" i="62" l="1"/>
  <c r="T206" i="62"/>
  <c r="B209" i="62"/>
  <c r="M208" i="62"/>
  <c r="E208" i="62"/>
  <c r="U206" i="62"/>
  <c r="L207" i="62"/>
  <c r="K207" i="62"/>
  <c r="U208" i="62" l="1"/>
  <c r="L208" i="62"/>
  <c r="K208" i="62"/>
  <c r="U207" i="62"/>
  <c r="E209" i="62"/>
  <c r="M209" i="62"/>
  <c r="B210" i="62"/>
  <c r="B211" i="62" l="1"/>
  <c r="M210" i="62"/>
  <c r="E210" i="62"/>
  <c r="K209" i="62"/>
  <c r="L209" i="62"/>
  <c r="T208" i="62"/>
  <c r="T210" i="62" l="1"/>
  <c r="U209" i="62"/>
  <c r="L210" i="62"/>
  <c r="K210" i="62"/>
  <c r="T209" i="62"/>
  <c r="E211" i="62"/>
  <c r="M211" i="62"/>
  <c r="B212" i="62"/>
  <c r="U210" i="62" l="1"/>
  <c r="K211" i="62"/>
  <c r="L211" i="62"/>
  <c r="B213" i="62"/>
  <c r="M212" i="62"/>
  <c r="E212" i="62"/>
  <c r="E213" i="62" l="1"/>
  <c r="M213" i="62"/>
  <c r="B214" i="62"/>
  <c r="U211" i="62"/>
  <c r="L212" i="62"/>
  <c r="K212" i="62"/>
  <c r="T211" i="62"/>
  <c r="U212" i="62" l="1"/>
  <c r="K213" i="62"/>
  <c r="L213" i="62"/>
  <c r="B215" i="62"/>
  <c r="M214" i="62"/>
  <c r="E214" i="62"/>
  <c r="T212" i="62"/>
  <c r="U214" i="62" l="1"/>
  <c r="U213" i="62"/>
  <c r="L214" i="62"/>
  <c r="K214" i="62"/>
  <c r="T213" i="62"/>
  <c r="E215" i="62"/>
  <c r="B216" i="62"/>
  <c r="M215" i="62"/>
  <c r="T214" i="62" l="1"/>
  <c r="B217" i="62"/>
  <c r="M216" i="62"/>
  <c r="E216" i="62"/>
  <c r="K215" i="62"/>
  <c r="L215" i="62"/>
  <c r="U215" i="62" l="1"/>
  <c r="T215" i="62"/>
  <c r="L216" i="62"/>
  <c r="K216" i="62"/>
  <c r="E217" i="62"/>
  <c r="B218" i="62"/>
  <c r="M217" i="62"/>
  <c r="T216" i="62" l="1"/>
  <c r="U216" i="62"/>
  <c r="B219" i="62"/>
  <c r="M218" i="62"/>
  <c r="E218" i="62"/>
  <c r="K217" i="62"/>
  <c r="L217" i="62"/>
  <c r="T218" i="62" l="1"/>
  <c r="U217" i="62"/>
  <c r="T217" i="62"/>
  <c r="L218" i="62"/>
  <c r="K218" i="62"/>
  <c r="E219" i="62"/>
  <c r="B220" i="62"/>
  <c r="M219" i="62"/>
  <c r="U218" i="62" l="1"/>
  <c r="B221" i="62"/>
  <c r="M220" i="62"/>
  <c r="E220" i="62"/>
  <c r="K219" i="62"/>
  <c r="L219" i="62"/>
  <c r="U219" i="62" l="1"/>
  <c r="T219" i="62"/>
  <c r="L220" i="62"/>
  <c r="K220" i="62"/>
  <c r="E221" i="62"/>
  <c r="B222" i="62"/>
  <c r="M221" i="62"/>
  <c r="T220" i="62" l="1"/>
  <c r="U220" i="62"/>
  <c r="K221" i="62"/>
  <c r="L221" i="62"/>
  <c r="B223" i="62"/>
  <c r="M222" i="62"/>
  <c r="E222" i="62"/>
  <c r="U221" i="62" l="1"/>
  <c r="E223" i="62"/>
  <c r="B224" i="62"/>
  <c r="M223" i="62"/>
  <c r="L222" i="62"/>
  <c r="K222" i="62"/>
  <c r="T221" i="62"/>
  <c r="T222" i="62" l="1"/>
  <c r="U222" i="62"/>
  <c r="K223" i="62"/>
  <c r="L223" i="62"/>
  <c r="B225" i="62"/>
  <c r="M224" i="62"/>
  <c r="E224" i="62"/>
  <c r="E225" i="62" l="1"/>
  <c r="B226" i="62"/>
  <c r="M225" i="62"/>
  <c r="U223" i="62"/>
  <c r="L224" i="62"/>
  <c r="K224" i="62"/>
  <c r="T223" i="62"/>
  <c r="T224" i="62" l="1"/>
  <c r="K225" i="62"/>
  <c r="L225" i="62"/>
  <c r="U224" i="62"/>
  <c r="B227" i="62"/>
  <c r="M226" i="62"/>
  <c r="E226" i="62"/>
  <c r="T226" i="62" l="1"/>
  <c r="L226" i="62"/>
  <c r="K226" i="62"/>
  <c r="U225" i="62"/>
  <c r="E227" i="62"/>
  <c r="B228" i="62"/>
  <c r="M227" i="62"/>
  <c r="T225" i="62"/>
  <c r="K227" i="62" l="1"/>
  <c r="L227" i="62"/>
  <c r="B229" i="62"/>
  <c r="M228" i="62"/>
  <c r="E228" i="62"/>
  <c r="U226" i="62"/>
  <c r="U228" i="62" l="1"/>
  <c r="T228" i="62"/>
  <c r="U227" i="62"/>
  <c r="E229" i="62"/>
  <c r="B230" i="62"/>
  <c r="M229" i="62"/>
  <c r="L228" i="62"/>
  <c r="K228" i="62"/>
  <c r="T227" i="62"/>
  <c r="B231" i="62" l="1"/>
  <c r="M230" i="62"/>
  <c r="E230" i="62"/>
  <c r="K229" i="62"/>
  <c r="L229" i="62"/>
  <c r="T230" i="62" l="1"/>
  <c r="U230" i="62"/>
  <c r="U229" i="62"/>
  <c r="T229" i="62"/>
  <c r="L230" i="62"/>
  <c r="K230" i="62"/>
  <c r="E231" i="62"/>
  <c r="B232" i="62"/>
  <c r="M231" i="62"/>
  <c r="B233" i="62" l="1"/>
  <c r="M232" i="62"/>
  <c r="E232" i="62"/>
  <c r="K231" i="62"/>
  <c r="L231" i="62"/>
  <c r="U231" i="62" l="1"/>
  <c r="T231" i="62"/>
  <c r="L232" i="62"/>
  <c r="K232" i="62"/>
  <c r="E233" i="62"/>
  <c r="B234" i="62"/>
  <c r="M233" i="62"/>
  <c r="T232" i="62" l="1"/>
  <c r="U232" i="62"/>
  <c r="B235" i="62"/>
  <c r="M234" i="62"/>
  <c r="E234" i="62"/>
  <c r="K233" i="62"/>
  <c r="L233" i="62"/>
  <c r="T234" i="62" l="1"/>
  <c r="T233" i="62"/>
  <c r="L234" i="62"/>
  <c r="K234" i="62"/>
  <c r="U233" i="62"/>
  <c r="E235" i="62"/>
  <c r="M235" i="62"/>
  <c r="B236" i="62"/>
  <c r="K235" i="62" l="1"/>
  <c r="L235" i="62"/>
  <c r="B237" i="62"/>
  <c r="M236" i="62"/>
  <c r="E236" i="62"/>
  <c r="U234" i="62"/>
  <c r="U235" i="62" l="1"/>
  <c r="E237" i="62"/>
  <c r="M237" i="62"/>
  <c r="B238" i="62"/>
  <c r="L236" i="62"/>
  <c r="K236" i="62"/>
  <c r="T235" i="62"/>
  <c r="T236" i="62" l="1"/>
  <c r="K237" i="62"/>
  <c r="L237" i="62"/>
  <c r="U236" i="62"/>
  <c r="B239" i="62"/>
  <c r="M238" i="62"/>
  <c r="E238" i="62"/>
  <c r="U237" i="62" l="1"/>
  <c r="L238" i="62"/>
  <c r="K238" i="62"/>
  <c r="E239" i="62"/>
  <c r="B240" i="62"/>
  <c r="M239" i="62"/>
  <c r="T237" i="62"/>
  <c r="U239" i="62" l="1"/>
  <c r="B241" i="62"/>
  <c r="M240" i="62"/>
  <c r="E240" i="62"/>
  <c r="T238" i="62"/>
  <c r="U238" i="62"/>
  <c r="K239" i="62"/>
  <c r="L239" i="62"/>
  <c r="T239" i="62" l="1"/>
  <c r="L240" i="62"/>
  <c r="K240" i="62"/>
  <c r="E241" i="62"/>
  <c r="B242" i="62"/>
  <c r="M241" i="62"/>
  <c r="T240" i="62" l="1"/>
  <c r="K241" i="62"/>
  <c r="L241" i="62"/>
  <c r="B243" i="62"/>
  <c r="M242" i="62"/>
  <c r="E242" i="62"/>
  <c r="U240" i="62"/>
  <c r="E243" i="62" l="1"/>
  <c r="M243" i="62"/>
  <c r="B244" i="62"/>
  <c r="U241" i="62"/>
  <c r="L242" i="62"/>
  <c r="K242" i="62"/>
  <c r="T241" i="62"/>
  <c r="T243" i="62" l="1"/>
  <c r="U243" i="62"/>
  <c r="B245" i="62"/>
  <c r="M244" i="62"/>
  <c r="E244" i="62"/>
  <c r="U242" i="62"/>
  <c r="K243" i="62"/>
  <c r="L243" i="62"/>
  <c r="T242" i="62"/>
  <c r="L244" i="62" l="1"/>
  <c r="K244" i="62"/>
  <c r="E245" i="62"/>
  <c r="M245" i="62"/>
  <c r="B246" i="62"/>
  <c r="T244" i="62" l="1"/>
  <c r="B247" i="62"/>
  <c r="M246" i="62"/>
  <c r="E246" i="62"/>
  <c r="K245" i="62"/>
  <c r="L245" i="62"/>
  <c r="U244" i="62"/>
  <c r="U245" i="62" l="1"/>
  <c r="T245" i="62"/>
  <c r="L246" i="62"/>
  <c r="K246" i="62"/>
  <c r="E247" i="62"/>
  <c r="H8" i="62" s="1"/>
  <c r="M247" i="62"/>
  <c r="T246" i="62" l="1"/>
  <c r="U246" i="62"/>
  <c r="K247" i="62"/>
  <c r="X8" i="62"/>
  <c r="L247" i="62"/>
  <c r="Z8" i="62"/>
  <c r="H9" i="62"/>
  <c r="H10" i="62"/>
  <c r="I11" i="62"/>
  <c r="I8" i="62"/>
  <c r="H11" i="62"/>
  <c r="I10" i="62"/>
  <c r="I9" i="62"/>
  <c r="AA12" i="62"/>
  <c r="Y9" i="62"/>
  <c r="X9" i="62"/>
  <c r="AA9" i="62"/>
  <c r="I12" i="62"/>
  <c r="Z9" i="62"/>
  <c r="H13" i="62"/>
  <c r="AA11" i="62"/>
  <c r="AA10" i="62"/>
  <c r="X10" i="62"/>
  <c r="Y10" i="62"/>
  <c r="Z10" i="62"/>
  <c r="X11" i="62"/>
  <c r="H12" i="62"/>
  <c r="I13" i="62"/>
  <c r="I15" i="62"/>
  <c r="Z11" i="62"/>
  <c r="Y12" i="62"/>
  <c r="Y11" i="62"/>
  <c r="Z12" i="62"/>
  <c r="I14" i="62"/>
  <c r="X12" i="62"/>
  <c r="Z14" i="62"/>
  <c r="H15" i="62"/>
  <c r="H14" i="62"/>
  <c r="X14" i="62"/>
  <c r="Z13" i="62"/>
  <c r="X13" i="62"/>
  <c r="AA13" i="62"/>
  <c r="X15" i="62"/>
  <c r="I17" i="62"/>
  <c r="H16" i="62"/>
  <c r="Y13" i="62"/>
  <c r="Y14" i="62"/>
  <c r="H17" i="62"/>
  <c r="I18" i="62"/>
  <c r="Y15" i="62"/>
  <c r="Z15" i="62"/>
  <c r="AA14" i="62"/>
  <c r="AA15" i="62"/>
  <c r="I16" i="62"/>
  <c r="Z16" i="62"/>
  <c r="AA16" i="62"/>
  <c r="AA19" i="62"/>
  <c r="H18" i="62"/>
  <c r="H20" i="62"/>
  <c r="H19" i="62"/>
  <c r="X16" i="62"/>
  <c r="Y16" i="62"/>
  <c r="AA17" i="62"/>
  <c r="Z17" i="62"/>
  <c r="Y17" i="62"/>
  <c r="X17" i="62"/>
  <c r="Z18" i="62"/>
  <c r="AA18" i="62"/>
  <c r="I20" i="62"/>
  <c r="I19" i="62"/>
  <c r="H21" i="62"/>
  <c r="I21" i="62"/>
  <c r="X19" i="62"/>
  <c r="Z21" i="62"/>
  <c r="I22" i="62"/>
  <c r="I24" i="62"/>
  <c r="Y19" i="62"/>
  <c r="X18" i="62"/>
  <c r="Z19" i="62"/>
  <c r="Y18" i="62"/>
  <c r="X21" i="62"/>
  <c r="H22" i="62"/>
  <c r="AA21" i="62"/>
  <c r="H23" i="62"/>
  <c r="X20" i="62"/>
  <c r="Z20" i="62"/>
  <c r="AA20" i="62"/>
  <c r="I23" i="62"/>
  <c r="Y20" i="62"/>
  <c r="H24" i="62"/>
  <c r="Y21" i="62"/>
  <c r="Z24" i="62"/>
  <c r="Z22" i="62"/>
  <c r="Y23" i="62"/>
  <c r="AA22" i="62"/>
  <c r="Y22" i="62"/>
  <c r="H25" i="62"/>
  <c r="X23" i="62"/>
  <c r="X22" i="62"/>
  <c r="AA24" i="62"/>
  <c r="Y24" i="62"/>
  <c r="H26" i="62"/>
  <c r="Z23" i="62"/>
  <c r="X26" i="62"/>
  <c r="I25" i="62"/>
  <c r="AA23" i="62"/>
  <c r="X25" i="62"/>
  <c r="I26" i="62"/>
  <c r="X24" i="62"/>
  <c r="Y25" i="62"/>
  <c r="Z25" i="62"/>
  <c r="H27" i="62"/>
  <c r="D29" i="29" s="1"/>
  <c r="I27" i="62"/>
  <c r="C29" i="29" s="1"/>
  <c r="AA25" i="62"/>
  <c r="Z26" i="62"/>
  <c r="Y26" i="62"/>
  <c r="AA26" i="62"/>
  <c r="AA27" i="62"/>
  <c r="F29" i="32" s="1"/>
  <c r="Z27" i="62" l="1"/>
  <c r="E29" i="32" s="1"/>
  <c r="X27" i="62"/>
  <c r="C29" i="32" s="1"/>
  <c r="T247" i="62"/>
  <c r="Y8" i="62"/>
  <c r="Y27" i="62"/>
  <c r="D29" i="32" s="1"/>
  <c r="U247" i="62"/>
  <c r="AA8" i="62"/>
  <c r="I33" i="62" l="1"/>
  <c r="H33" i="62"/>
  <c r="X37" i="62"/>
  <c r="Z37" i="62"/>
  <c r="Y37" i="62"/>
  <c r="AA37" i="62"/>
  <c r="I36" i="44" l="1"/>
  <c r="I35" i="44"/>
  <c r="B11" i="39" l="1"/>
  <c r="B12" i="39" l="1"/>
  <c r="B11" i="44"/>
  <c r="B11" i="36"/>
  <c r="B13" i="39" l="1"/>
  <c r="B12" i="44"/>
  <c r="B12" i="36"/>
  <c r="B11" i="45"/>
  <c r="B13" i="44" l="1"/>
  <c r="B14" i="39"/>
  <c r="B12" i="45"/>
  <c r="B13" i="45" s="1"/>
  <c r="B13" i="36"/>
  <c r="B14" i="44" l="1"/>
  <c r="B14" i="36"/>
  <c r="B14" i="45" l="1"/>
  <c r="B15" i="44"/>
  <c r="B15" i="39" l="1"/>
  <c r="B16" i="39" l="1"/>
  <c r="B17" i="39" l="1"/>
  <c r="B18" i="39" l="1"/>
  <c r="B19" i="39" l="1"/>
  <c r="B20" i="39" l="1"/>
  <c r="B32" i="29"/>
  <c r="D6" i="29"/>
  <c r="C6" i="29"/>
  <c r="B21" i="39" l="1"/>
  <c r="B22" i="39" l="1"/>
  <c r="B23" i="39" l="1"/>
  <c r="D48" i="13"/>
  <c r="D50" i="13"/>
  <c r="D49" i="13" l="1"/>
  <c r="D47" i="13"/>
  <c r="B24" i="39"/>
  <c r="B25" i="39" l="1"/>
  <c r="B26" i="39" l="1"/>
  <c r="B34" i="39"/>
  <c r="B27" i="39" l="1"/>
  <c r="B28" i="39" l="1"/>
  <c r="B29" i="39" l="1"/>
  <c r="B30" i="39"/>
  <c r="I11" i="45" l="1"/>
  <c r="I12" i="45" l="1"/>
  <c r="I13" i="45"/>
  <c r="I11" i="44"/>
  <c r="I12" i="44" s="1"/>
  <c r="I13" i="44" l="1"/>
  <c r="I14" i="44" s="1"/>
  <c r="I15" i="44" s="1"/>
  <c r="I16" i="44" s="1"/>
  <c r="I17" i="44" s="1"/>
  <c r="I18" i="44" s="1"/>
  <c r="I19" i="44" s="1"/>
  <c r="I20" i="44" s="1"/>
  <c r="I21" i="44" s="1"/>
  <c r="I22" i="44" s="1"/>
  <c r="I23" i="44" s="1"/>
  <c r="I24" i="44" s="1"/>
  <c r="I25" i="44" s="1"/>
  <c r="I26" i="44" s="1"/>
  <c r="I27" i="44" s="1"/>
  <c r="I14" i="45"/>
  <c r="I15" i="45" l="1"/>
  <c r="I16" i="45" l="1"/>
  <c r="I17" i="45" l="1"/>
  <c r="N10" i="13"/>
  <c r="K10" i="13"/>
  <c r="H10" i="13"/>
  <c r="E10" i="13"/>
  <c r="I18" i="45" l="1"/>
  <c r="I19" i="45" s="1"/>
  <c r="I20" i="45" s="1"/>
  <c r="I21" i="45" l="1"/>
  <c r="I22" i="45" l="1"/>
  <c r="I23" i="45" l="1"/>
  <c r="I24" i="45" l="1"/>
  <c r="I25" i="45" l="1"/>
  <c r="I26" i="45" l="1"/>
  <c r="I35" i="45" l="1"/>
  <c r="I27" i="45"/>
  <c r="I36" i="45" s="1"/>
  <c r="B11" i="59" l="1"/>
  <c r="B12" i="59" l="1"/>
  <c r="B13" i="59" l="1"/>
  <c r="B14" i="59" l="1"/>
  <c r="B15" i="59" l="1"/>
  <c r="B16" i="59" l="1"/>
  <c r="B17" i="59" l="1"/>
  <c r="B18" i="59" l="1"/>
  <c r="B19" i="59" l="1"/>
  <c r="B20" i="59" l="1"/>
  <c r="B21" i="59" l="1"/>
  <c r="B22" i="59" l="1"/>
  <c r="B23" i="59" l="1"/>
  <c r="B24" i="59" l="1"/>
  <c r="B25" i="59" l="1"/>
  <c r="B26" i="59" l="1"/>
  <c r="B27" i="59" l="1"/>
  <c r="B15" i="45"/>
  <c r="B16" i="45" s="1"/>
  <c r="B28" i="59" l="1"/>
  <c r="B17" i="45"/>
  <c r="B29" i="59" l="1"/>
  <c r="B18" i="45"/>
  <c r="B30" i="59" l="1"/>
  <c r="B19" i="45"/>
  <c r="B20" i="45" l="1"/>
  <c r="B16" i="44"/>
  <c r="B21" i="45" l="1"/>
  <c r="B17" i="44"/>
  <c r="B18" i="44" s="1"/>
  <c r="B22" i="45" l="1"/>
  <c r="B23" i="45" l="1"/>
  <c r="B19" i="44"/>
  <c r="B24" i="45" l="1"/>
  <c r="B20" i="44"/>
  <c r="B25" i="45" l="1"/>
  <c r="B21" i="44"/>
  <c r="B26" i="45" l="1"/>
  <c r="B22" i="44"/>
  <c r="K41" i="45"/>
  <c r="B34" i="45"/>
  <c r="B27" i="45" l="1"/>
  <c r="B23" i="44"/>
  <c r="B28" i="45" l="1"/>
  <c r="B24" i="44"/>
  <c r="B29" i="45" l="1"/>
  <c r="B25" i="44"/>
  <c r="B26" i="44" l="1"/>
  <c r="B34" i="44"/>
  <c r="K41" i="44"/>
  <c r="B27" i="44" l="1"/>
  <c r="B28" i="44" l="1"/>
  <c r="B29" i="44" l="1"/>
  <c r="B30" i="44" l="1"/>
  <c r="B32" i="32" l="1"/>
  <c r="B13" i="13" l="1"/>
  <c r="M13" i="13" l="1"/>
  <c r="J13" i="13"/>
  <c r="G13" i="13"/>
  <c r="D13" i="13"/>
  <c r="B14" i="13"/>
  <c r="J14" i="13" l="1"/>
  <c r="G14" i="13"/>
  <c r="D14" i="13"/>
  <c r="M14" i="13"/>
  <c r="B15" i="13"/>
  <c r="M15" i="13" l="1"/>
  <c r="J15" i="13"/>
  <c r="D15" i="13"/>
  <c r="G15" i="13"/>
  <c r="B16" i="13"/>
  <c r="M16" i="13" l="1"/>
  <c r="J16" i="13"/>
  <c r="G16" i="13"/>
  <c r="D16" i="13"/>
  <c r="B17" i="13"/>
  <c r="M17" i="13" l="1"/>
  <c r="J17" i="13"/>
  <c r="G17" i="13"/>
  <c r="D17" i="13"/>
  <c r="B18" i="13"/>
  <c r="D18" i="13" l="1"/>
  <c r="M18" i="13"/>
  <c r="J18" i="13"/>
  <c r="G18" i="13"/>
  <c r="B19" i="13"/>
  <c r="M19" i="13" l="1"/>
  <c r="J19" i="13"/>
  <c r="G19" i="13"/>
  <c r="D19" i="13"/>
  <c r="B20" i="13"/>
  <c r="G20" i="13" l="1"/>
  <c r="M20" i="13"/>
  <c r="J20" i="13"/>
  <c r="D20" i="13"/>
  <c r="B21" i="13"/>
  <c r="M21" i="13" l="1"/>
  <c r="J21" i="13"/>
  <c r="G21" i="13"/>
  <c r="D21" i="13"/>
  <c r="B22" i="13"/>
  <c r="J22" i="13" l="1"/>
  <c r="G22" i="13"/>
  <c r="D22" i="13"/>
  <c r="M22" i="13"/>
  <c r="B23" i="13"/>
  <c r="M23" i="13" l="1"/>
  <c r="J23" i="13"/>
  <c r="G23" i="13"/>
  <c r="D23" i="13"/>
  <c r="B24" i="13"/>
  <c r="D24" i="13" l="1"/>
  <c r="M24" i="13"/>
  <c r="J24" i="13"/>
  <c r="G24" i="13"/>
  <c r="B25" i="13"/>
  <c r="M25" i="13" l="1"/>
  <c r="J25" i="13"/>
  <c r="G25" i="13"/>
  <c r="D25" i="13"/>
  <c r="B26" i="13"/>
  <c r="D26" i="13" l="1"/>
  <c r="M26" i="13"/>
  <c r="J26" i="13"/>
  <c r="J37" i="13" s="1"/>
  <c r="G26" i="13"/>
  <c r="G37" i="13" s="1"/>
  <c r="D37" i="13"/>
  <c r="M37" i="13"/>
  <c r="B36" i="13"/>
  <c r="B27" i="13"/>
  <c r="J27" i="13" l="1"/>
  <c r="J40" i="13" s="1"/>
  <c r="G27" i="13"/>
  <c r="G40" i="13" s="1"/>
  <c r="D27" i="13"/>
  <c r="M27" i="13"/>
  <c r="M40" i="13" s="1"/>
  <c r="D40" i="13"/>
  <c r="B39" i="13"/>
  <c r="B28" i="13"/>
  <c r="M28" i="13" l="1"/>
  <c r="M43" i="13" s="1"/>
  <c r="J28" i="13"/>
  <c r="J43" i="13" s="1"/>
  <c r="G28" i="13"/>
  <c r="G43" i="13" s="1"/>
  <c r="D28" i="13"/>
  <c r="D43" i="13" s="1"/>
  <c r="B29" i="13"/>
  <c r="B42" i="13"/>
  <c r="B11" i="29"/>
  <c r="B12" i="29" s="1"/>
  <c r="B13" i="29" s="1"/>
  <c r="B14" i="29" s="1"/>
  <c r="B15" i="29" s="1"/>
  <c r="B16" i="29" s="1"/>
  <c r="B17" i="29" s="1"/>
  <c r="B18" i="29" s="1"/>
  <c r="B19" i="29" s="1"/>
  <c r="B20" i="29" s="1"/>
  <c r="B21" i="29" s="1"/>
  <c r="B22" i="29" s="1"/>
  <c r="B23" i="29" s="1"/>
  <c r="B24" i="29" s="1"/>
  <c r="B25" i="29" s="1"/>
  <c r="B26" i="29" s="1"/>
  <c r="B27" i="29" s="1"/>
  <c r="M29" i="13" l="1"/>
  <c r="J29" i="13"/>
  <c r="G29" i="13"/>
  <c r="D29" i="13"/>
  <c r="B28" i="29"/>
  <c r="D27" i="29"/>
  <c r="C27" i="29"/>
  <c r="D10" i="32"/>
  <c r="E10" i="32"/>
  <c r="C10" i="32"/>
  <c r="F10" i="32"/>
  <c r="D10" i="29"/>
  <c r="C10" i="29"/>
  <c r="B11" i="32"/>
  <c r="C28" i="29" l="1"/>
  <c r="D28" i="29"/>
  <c r="C11" i="29"/>
  <c r="D11" i="29"/>
  <c r="D11" i="32"/>
  <c r="F11" i="32"/>
  <c r="E11" i="32"/>
  <c r="C11" i="32"/>
  <c r="B12" i="32"/>
  <c r="F12" i="32" l="1"/>
  <c r="D12" i="32"/>
  <c r="C12" i="32"/>
  <c r="E12" i="32"/>
  <c r="C12" i="29"/>
  <c r="D12" i="29"/>
  <c r="B13" i="32"/>
  <c r="C13" i="29" l="1"/>
  <c r="D13" i="29"/>
  <c r="E13" i="32"/>
  <c r="D13" i="32"/>
  <c r="C13" i="32"/>
  <c r="F13" i="32"/>
  <c r="B14" i="32"/>
  <c r="C14" i="29" l="1"/>
  <c r="D14" i="29"/>
  <c r="D14" i="32"/>
  <c r="C14" i="32"/>
  <c r="E14" i="32"/>
  <c r="F14" i="32"/>
  <c r="B15" i="32"/>
  <c r="E15" i="32" l="1"/>
  <c r="F15" i="32"/>
  <c r="D15" i="32"/>
  <c r="C15" i="32"/>
  <c r="C15" i="29"/>
  <c r="D15" i="29"/>
  <c r="B16" i="32"/>
  <c r="E16" i="32" l="1"/>
  <c r="C16" i="32"/>
  <c r="D16" i="32"/>
  <c r="F16" i="32"/>
  <c r="C16" i="29"/>
  <c r="D16" i="29"/>
  <c r="B17" i="32"/>
  <c r="D17" i="29" l="1"/>
  <c r="C17" i="29"/>
  <c r="D17" i="32"/>
  <c r="C17" i="32"/>
  <c r="F17" i="32"/>
  <c r="E17" i="32"/>
  <c r="B18" i="32"/>
  <c r="C18" i="29" l="1"/>
  <c r="D18" i="29"/>
  <c r="C18" i="32"/>
  <c r="F18" i="32"/>
  <c r="D18" i="32"/>
  <c r="E18" i="32"/>
  <c r="B19" i="32"/>
  <c r="E19" i="32" l="1"/>
  <c r="D19" i="32"/>
  <c r="F19" i="32"/>
  <c r="C19" i="32"/>
  <c r="C19" i="29"/>
  <c r="D19" i="29"/>
  <c r="B20" i="32"/>
  <c r="C20" i="32" l="1"/>
  <c r="D20" i="32"/>
  <c r="F20" i="32"/>
  <c r="E20" i="32"/>
  <c r="D20" i="29"/>
  <c r="C20" i="29"/>
  <c r="B21" i="32"/>
  <c r="C21" i="29" l="1"/>
  <c r="D21" i="29"/>
  <c r="C21" i="32"/>
  <c r="D21" i="32"/>
  <c r="E21" i="32"/>
  <c r="F21" i="32"/>
  <c r="B22" i="32"/>
  <c r="C22" i="29" l="1"/>
  <c r="D22" i="29"/>
  <c r="F22" i="32"/>
  <c r="C22" i="32"/>
  <c r="E22" i="32"/>
  <c r="D22" i="32"/>
  <c r="B23" i="32"/>
  <c r="C23" i="29" l="1"/>
  <c r="D23" i="29"/>
  <c r="F23" i="32"/>
  <c r="C23" i="32"/>
  <c r="D23" i="32"/>
  <c r="E23" i="32"/>
  <c r="B24" i="32"/>
  <c r="C24" i="29" l="1"/>
  <c r="D24" i="29"/>
  <c r="B25" i="32"/>
  <c r="B26" i="32" s="1"/>
  <c r="B27" i="32" s="1"/>
  <c r="B28" i="32" s="1"/>
  <c r="D24" i="32"/>
  <c r="E24" i="32"/>
  <c r="C24" i="32"/>
  <c r="F24" i="32"/>
  <c r="D28" i="32" l="1"/>
  <c r="C28" i="32"/>
  <c r="F28" i="32"/>
  <c r="E28" i="32"/>
  <c r="D27" i="32"/>
  <c r="C27" i="32"/>
  <c r="F27" i="32"/>
  <c r="E27" i="32"/>
  <c r="C26" i="32"/>
  <c r="D26" i="32"/>
  <c r="E26" i="32"/>
  <c r="F26" i="32"/>
  <c r="C25" i="29"/>
  <c r="D25" i="29"/>
  <c r="E25" i="32"/>
  <c r="C25" i="32"/>
  <c r="D25" i="32"/>
  <c r="F25" i="32"/>
  <c r="C26" i="29" l="1"/>
  <c r="D26" i="29"/>
  <c r="B15" i="36" l="1"/>
  <c r="B16" i="36" l="1"/>
  <c r="B17" i="36" l="1"/>
  <c r="B18" i="36" l="1"/>
  <c r="B19" i="36" l="1"/>
  <c r="B20" i="36" l="1"/>
  <c r="B21" i="36" l="1"/>
  <c r="B22" i="36" l="1"/>
  <c r="B23" i="36" l="1"/>
  <c r="B24" i="36" l="1"/>
  <c r="B25" i="36" l="1"/>
  <c r="B26" i="36" l="1"/>
  <c r="B35" i="36"/>
  <c r="B27" i="36" l="1"/>
  <c r="B36" i="36"/>
  <c r="B28" i="36" l="1"/>
  <c r="B29" i="36" l="1"/>
  <c r="B30" i="36" s="1"/>
  <c r="B34" i="36"/>
  <c r="C30" i="39" l="1"/>
  <c r="D30" i="39"/>
  <c r="F30" i="39"/>
  <c r="E30" i="39"/>
  <c r="E15" i="39" l="1"/>
  <c r="F10" i="39"/>
  <c r="C12" i="39"/>
  <c r="E10" i="39" l="1"/>
  <c r="F13" i="39"/>
  <c r="D14" i="39"/>
  <c r="C14" i="39"/>
  <c r="C11" i="39"/>
  <c r="E14" i="39"/>
  <c r="F11" i="39"/>
  <c r="D10" i="39"/>
  <c r="F12" i="13" s="1"/>
  <c r="F14" i="39"/>
  <c r="C13" i="39"/>
  <c r="D12" i="39"/>
  <c r="F15" i="39"/>
  <c r="E13" i="39"/>
  <c r="C15" i="39"/>
  <c r="E11" i="39"/>
  <c r="D15" i="39"/>
  <c r="E12" i="39"/>
  <c r="D11" i="39"/>
  <c r="D13" i="39"/>
  <c r="C10" i="39"/>
  <c r="F12" i="39"/>
  <c r="F15" i="13" l="1"/>
  <c r="H15" i="13" s="1"/>
  <c r="H12" i="13"/>
  <c r="F14" i="13"/>
  <c r="F16" i="13"/>
  <c r="H16" i="13" s="1"/>
  <c r="F17" i="13"/>
  <c r="H17" i="13" s="1"/>
  <c r="F13" i="13"/>
  <c r="E17" i="39"/>
  <c r="E16" i="39"/>
  <c r="C18" i="39"/>
  <c r="D16" i="39"/>
  <c r="D17" i="39"/>
  <c r="F17" i="39"/>
  <c r="F16" i="39"/>
  <c r="C17" i="39"/>
  <c r="E18" i="39"/>
  <c r="D18" i="39"/>
  <c r="C16" i="39"/>
  <c r="F18" i="39"/>
  <c r="F20" i="13" l="1"/>
  <c r="H20" i="13" s="1"/>
  <c r="F19" i="13"/>
  <c r="H19" i="13" s="1"/>
  <c r="H14" i="13"/>
  <c r="H13" i="13"/>
  <c r="F18" i="13"/>
  <c r="H18" i="13" s="1"/>
  <c r="C20" i="39"/>
  <c r="F20" i="39"/>
  <c r="C19" i="39"/>
  <c r="E20" i="39"/>
  <c r="D19" i="39"/>
  <c r="F19" i="39"/>
  <c r="E19" i="39"/>
  <c r="D20" i="39"/>
  <c r="F21" i="13" l="1"/>
  <c r="H21" i="13" s="1"/>
  <c r="F22" i="13"/>
  <c r="H22" i="13" s="1"/>
  <c r="D21" i="39" l="1"/>
  <c r="F22" i="39"/>
  <c r="C22" i="39"/>
  <c r="C21" i="39"/>
  <c r="E22" i="39"/>
  <c r="D22" i="39"/>
  <c r="E21" i="39"/>
  <c r="F21" i="39"/>
  <c r="F24" i="13" l="1"/>
  <c r="H24" i="13" s="1"/>
  <c r="F23" i="13"/>
  <c r="E24" i="39"/>
  <c r="D24" i="39"/>
  <c r="F24" i="39"/>
  <c r="C24" i="39"/>
  <c r="H23" i="13" l="1"/>
  <c r="F26" i="13"/>
  <c r="H26" i="13" s="1"/>
  <c r="F23" i="39"/>
  <c r="D23" i="39"/>
  <c r="E23" i="39"/>
  <c r="C23" i="39"/>
  <c r="F25" i="13" l="1"/>
  <c r="E25" i="39"/>
  <c r="D25" i="39"/>
  <c r="D34" i="39" s="1"/>
  <c r="F25" i="39"/>
  <c r="F35" i="39" s="1"/>
  <c r="C25" i="39"/>
  <c r="C35" i="39" s="1"/>
  <c r="E34" i="39" l="1"/>
  <c r="E35" i="39"/>
  <c r="H25" i="13"/>
  <c r="H37" i="13" s="1"/>
  <c r="F37" i="13"/>
  <c r="F34" i="39"/>
  <c r="F27" i="13"/>
  <c r="H27" i="13" s="1"/>
  <c r="H40" i="13" s="1"/>
  <c r="D35" i="39"/>
  <c r="C34" i="39"/>
  <c r="F26" i="39"/>
  <c r="F36" i="39" s="1"/>
  <c r="D26" i="39"/>
  <c r="E26" i="39"/>
  <c r="E36" i="39" s="1"/>
  <c r="C26" i="39"/>
  <c r="C36" i="39" s="1"/>
  <c r="F40" i="13" l="1"/>
  <c r="F28" i="13"/>
  <c r="H28" i="13" s="1"/>
  <c r="H43" i="13" s="1"/>
  <c r="D36" i="39"/>
  <c r="F43" i="13" l="1"/>
  <c r="D28" i="39" l="1"/>
  <c r="F27" i="39"/>
  <c r="C28" i="39" l="1"/>
  <c r="F28" i="39"/>
  <c r="D27" i="39"/>
  <c r="C27" i="39"/>
  <c r="E27" i="39"/>
  <c r="E28" i="39"/>
  <c r="F29" i="13" l="1"/>
  <c r="H29" i="13" s="1"/>
  <c r="C29" i="39"/>
  <c r="F29" i="39"/>
  <c r="E29" i="39"/>
  <c r="D29" i="39"/>
  <c r="C15" i="45" l="1"/>
  <c r="L15" i="45" s="1"/>
  <c r="E15" i="45"/>
  <c r="R15" i="45" s="1"/>
  <c r="C11" i="45"/>
  <c r="L11" i="45" s="1"/>
  <c r="D13" i="45" l="1"/>
  <c r="C13" i="45"/>
  <c r="L13" i="45" s="1"/>
  <c r="D14" i="45"/>
  <c r="E12" i="45"/>
  <c r="R12" i="45" s="1"/>
  <c r="C10" i="45"/>
  <c r="L10" i="45" s="1"/>
  <c r="C14" i="45"/>
  <c r="L14" i="45" s="1"/>
  <c r="E10" i="45"/>
  <c r="R10" i="45" s="1"/>
  <c r="D15" i="45"/>
  <c r="F11" i="45"/>
  <c r="U11" i="45" s="1"/>
  <c r="E14" i="45"/>
  <c r="R14" i="45" s="1"/>
  <c r="C12" i="45"/>
  <c r="L12" i="45" s="1"/>
  <c r="F15" i="45"/>
  <c r="U15" i="45" s="1"/>
  <c r="D10" i="45"/>
  <c r="F10" i="45"/>
  <c r="U10" i="45" s="1"/>
  <c r="D12" i="45"/>
  <c r="E13" i="45"/>
  <c r="R13" i="45" s="1"/>
  <c r="F13" i="45"/>
  <c r="U13" i="45" s="1"/>
  <c r="F12" i="45"/>
  <c r="U12" i="45" s="1"/>
  <c r="D11" i="45"/>
  <c r="F14" i="45"/>
  <c r="U14" i="45" s="1"/>
  <c r="E11" i="45"/>
  <c r="R11" i="45" s="1"/>
  <c r="L13" i="13" l="1"/>
  <c r="O11" i="45"/>
  <c r="O10" i="45"/>
  <c r="L12" i="13"/>
  <c r="L16" i="13"/>
  <c r="N16" i="13" s="1"/>
  <c r="O14" i="45"/>
  <c r="O15" i="45"/>
  <c r="L17" i="13"/>
  <c r="N17" i="13" s="1"/>
  <c r="L15" i="13"/>
  <c r="N15" i="13" s="1"/>
  <c r="O13" i="45"/>
  <c r="O12" i="45"/>
  <c r="L14" i="13"/>
  <c r="E17" i="45"/>
  <c r="R17" i="45" s="1"/>
  <c r="C17" i="45"/>
  <c r="L17" i="45" s="1"/>
  <c r="C16" i="45"/>
  <c r="L16" i="45" s="1"/>
  <c r="F17" i="45"/>
  <c r="U17" i="45" s="1"/>
  <c r="D17" i="45"/>
  <c r="E16" i="45"/>
  <c r="R16" i="45" s="1"/>
  <c r="F18" i="45"/>
  <c r="U18" i="45" s="1"/>
  <c r="D18" i="45"/>
  <c r="C18" i="45"/>
  <c r="L18" i="45" s="1"/>
  <c r="D16" i="45"/>
  <c r="F16" i="45"/>
  <c r="U16" i="45" s="1"/>
  <c r="E18" i="45"/>
  <c r="R18" i="45" s="1"/>
  <c r="O17" i="45" l="1"/>
  <c r="L19" i="13"/>
  <c r="N19" i="13" s="1"/>
  <c r="N12" i="13"/>
  <c r="O18" i="45"/>
  <c r="L20" i="13"/>
  <c r="N20" i="13" s="1"/>
  <c r="N14" i="13"/>
  <c r="O16" i="45"/>
  <c r="L18" i="13"/>
  <c r="N18" i="13" s="1"/>
  <c r="N13" i="13"/>
  <c r="E20" i="45"/>
  <c r="R20" i="45" s="1"/>
  <c r="C20" i="45"/>
  <c r="L20" i="45" s="1"/>
  <c r="D20" i="45"/>
  <c r="F20" i="45"/>
  <c r="U20" i="45" s="1"/>
  <c r="O20" i="45" l="1"/>
  <c r="L22" i="13"/>
  <c r="N22" i="13" s="1"/>
  <c r="F19" i="45"/>
  <c r="U19" i="45" s="1"/>
  <c r="D19" i="45"/>
  <c r="E19" i="45"/>
  <c r="R19" i="45" s="1"/>
  <c r="C19" i="45"/>
  <c r="L19" i="45" s="1"/>
  <c r="O19" i="45" l="1"/>
  <c r="L21" i="13"/>
  <c r="E21" i="45"/>
  <c r="R21" i="45" s="1"/>
  <c r="N21" i="13" l="1"/>
  <c r="C22" i="45"/>
  <c r="L22" i="45" s="1"/>
  <c r="D21" i="45"/>
  <c r="F21" i="45"/>
  <c r="U21" i="45" s="1"/>
  <c r="E22" i="45"/>
  <c r="R22" i="45" s="1"/>
  <c r="F22" i="45"/>
  <c r="U22" i="45" s="1"/>
  <c r="D22" i="45"/>
  <c r="C21" i="45"/>
  <c r="L21" i="45" s="1"/>
  <c r="O21" i="45" l="1"/>
  <c r="L23" i="13"/>
  <c r="L24" i="13"/>
  <c r="N24" i="13" s="1"/>
  <c r="O22" i="45"/>
  <c r="E23" i="45"/>
  <c r="R23" i="45" s="1"/>
  <c r="N23" i="13" l="1"/>
  <c r="C23" i="45"/>
  <c r="L23" i="45" s="1"/>
  <c r="F23" i="45"/>
  <c r="U23" i="45" s="1"/>
  <c r="C24" i="45"/>
  <c r="L24" i="45" s="1"/>
  <c r="E24" i="45"/>
  <c r="R24" i="45" s="1"/>
  <c r="D25" i="45"/>
  <c r="F24" i="45"/>
  <c r="U24" i="45" s="1"/>
  <c r="D23" i="45"/>
  <c r="D24" i="45"/>
  <c r="O25" i="45" l="1"/>
  <c r="L26" i="13"/>
  <c r="N26" i="13" s="1"/>
  <c r="O24" i="45"/>
  <c r="L25" i="13"/>
  <c r="O23" i="45"/>
  <c r="O41" i="45" s="1"/>
  <c r="D26" i="45"/>
  <c r="F26" i="45"/>
  <c r="U26" i="45" s="1"/>
  <c r="C25" i="45"/>
  <c r="L25" i="45" s="1"/>
  <c r="E25" i="45"/>
  <c r="R25" i="45" s="1"/>
  <c r="F25" i="45"/>
  <c r="U25" i="45" s="1"/>
  <c r="U34" i="45" s="1"/>
  <c r="V34" i="45" s="1"/>
  <c r="C26" i="45"/>
  <c r="L26" i="45" s="1"/>
  <c r="L35" i="45" s="1"/>
  <c r="M35" i="45" s="1"/>
  <c r="C35" i="45" s="1"/>
  <c r="U35" i="45" l="1"/>
  <c r="V35" i="45" s="1"/>
  <c r="F35" i="45" s="1"/>
  <c r="V10" i="45"/>
  <c r="V12" i="45"/>
  <c r="V13" i="45"/>
  <c r="V11" i="45"/>
  <c r="V22" i="45"/>
  <c r="V20" i="45"/>
  <c r="V24" i="45"/>
  <c r="V17" i="45"/>
  <c r="V16" i="45"/>
  <c r="F34" i="45"/>
  <c r="V29" i="45"/>
  <c r="V14" i="45"/>
  <c r="V25" i="45"/>
  <c r="V18" i="45"/>
  <c r="V27" i="45"/>
  <c r="V26" i="45"/>
  <c r="V23" i="45"/>
  <c r="V19" i="45"/>
  <c r="V21" i="45"/>
  <c r="V15" i="45"/>
  <c r="V28" i="45"/>
  <c r="R34" i="45"/>
  <c r="S34" i="45" s="1"/>
  <c r="R41" i="45"/>
  <c r="N25" i="13"/>
  <c r="L37" i="13"/>
  <c r="O26" i="45"/>
  <c r="O35" i="45" s="1"/>
  <c r="P35" i="45" s="1"/>
  <c r="D35" i="45" s="1"/>
  <c r="U41" i="45"/>
  <c r="L41" i="45"/>
  <c r="L34" i="45"/>
  <c r="M34" i="45" s="1"/>
  <c r="L27" i="13"/>
  <c r="N27" i="13" s="1"/>
  <c r="O34" i="45"/>
  <c r="P34" i="45" s="1"/>
  <c r="E26" i="45"/>
  <c r="R26" i="45" s="1"/>
  <c r="R35" i="45" s="1"/>
  <c r="S35" i="45" s="1"/>
  <c r="E35" i="45" s="1"/>
  <c r="L40" i="13" l="1"/>
  <c r="L28" i="13"/>
  <c r="N37" i="13"/>
  <c r="N40" i="13"/>
  <c r="V41" i="45"/>
  <c r="V42" i="45" s="1"/>
  <c r="S28" i="45"/>
  <c r="S14" i="45"/>
  <c r="S26" i="45"/>
  <c r="E34" i="45"/>
  <c r="S12" i="45"/>
  <c r="S23" i="45"/>
  <c r="S27" i="45"/>
  <c r="S22" i="45"/>
  <c r="S21" i="45"/>
  <c r="S13" i="45"/>
  <c r="S15" i="45"/>
  <c r="S25" i="45"/>
  <c r="S18" i="45"/>
  <c r="S10" i="45"/>
  <c r="S17" i="45"/>
  <c r="S11" i="45"/>
  <c r="S19" i="45"/>
  <c r="S24" i="45"/>
  <c r="S29" i="45"/>
  <c r="S16" i="45"/>
  <c r="S20" i="45"/>
  <c r="P28" i="45"/>
  <c r="D34" i="45"/>
  <c r="P16" i="45"/>
  <c r="P27" i="45"/>
  <c r="P26" i="45"/>
  <c r="P20" i="45"/>
  <c r="P23" i="45"/>
  <c r="P11" i="45"/>
  <c r="P14" i="45"/>
  <c r="P29" i="45"/>
  <c r="P24" i="45"/>
  <c r="P17" i="45"/>
  <c r="P25" i="45"/>
  <c r="P18" i="45"/>
  <c r="P15" i="45"/>
  <c r="P10" i="45"/>
  <c r="P13" i="45"/>
  <c r="P22" i="45"/>
  <c r="P19" i="45"/>
  <c r="P21" i="45"/>
  <c r="P12" i="45"/>
  <c r="M16" i="45"/>
  <c r="M19" i="45"/>
  <c r="M10" i="45"/>
  <c r="M20" i="45"/>
  <c r="M24" i="45"/>
  <c r="M12" i="45"/>
  <c r="M29" i="45"/>
  <c r="M11" i="45"/>
  <c r="M15" i="45"/>
  <c r="C34" i="45"/>
  <c r="M21" i="45"/>
  <c r="M25" i="45"/>
  <c r="M23" i="45"/>
  <c r="M17" i="45"/>
  <c r="M26" i="45"/>
  <c r="M22" i="45"/>
  <c r="M14" i="45"/>
  <c r="M18" i="45"/>
  <c r="M13" i="45"/>
  <c r="M27" i="45"/>
  <c r="M28" i="45"/>
  <c r="P41" i="45" l="1"/>
  <c r="P42" i="45" s="1"/>
  <c r="M41" i="45"/>
  <c r="M42" i="45" s="1"/>
  <c r="S41" i="45"/>
  <c r="S42" i="45" s="1"/>
  <c r="N28" i="13"/>
  <c r="N43" i="13" s="1"/>
  <c r="L43" i="13"/>
  <c r="C27" i="45" l="1"/>
  <c r="L27" i="45" s="1"/>
  <c r="L36" i="45" s="1"/>
  <c r="M36" i="45" s="1"/>
  <c r="C36" i="45" s="1"/>
  <c r="C28" i="45" l="1"/>
  <c r="L28" i="45" s="1"/>
  <c r="E28" i="45"/>
  <c r="R28" i="45" s="1"/>
  <c r="F27" i="45"/>
  <c r="U27" i="45" s="1"/>
  <c r="U36" i="45" s="1"/>
  <c r="V36" i="45" s="1"/>
  <c r="F36" i="45" s="1"/>
  <c r="D27" i="45"/>
  <c r="E27" i="45"/>
  <c r="R27" i="45" s="1"/>
  <c r="R36" i="45" s="1"/>
  <c r="S36" i="45" s="1"/>
  <c r="E36" i="45" s="1"/>
  <c r="D28" i="45"/>
  <c r="O28" i="45" s="1"/>
  <c r="F28" i="45"/>
  <c r="U28" i="45" s="1"/>
  <c r="L29" i="13" l="1"/>
  <c r="N29" i="13" s="1"/>
  <c r="O27" i="45"/>
  <c r="O36" i="45" s="1"/>
  <c r="P36" i="45" s="1"/>
  <c r="D36" i="45" s="1"/>
  <c r="C29" i="45"/>
  <c r="L29" i="45" s="1"/>
  <c r="E29" i="45"/>
  <c r="R29" i="45" s="1"/>
  <c r="F29" i="45"/>
  <c r="U29" i="45" s="1"/>
  <c r="D29" i="45"/>
  <c r="O29" i="45" s="1"/>
  <c r="D30" i="36" l="1"/>
  <c r="F30" i="36"/>
  <c r="E30" i="36"/>
  <c r="C30" i="36"/>
  <c r="F13" i="36" l="1"/>
  <c r="D10" i="36"/>
  <c r="C12" i="36"/>
  <c r="E10" i="36"/>
  <c r="D14" i="36"/>
  <c r="C11" i="36"/>
  <c r="F14" i="36"/>
  <c r="E12" i="36"/>
  <c r="F15" i="36"/>
  <c r="F11" i="36"/>
  <c r="F10" i="36"/>
  <c r="D15" i="36"/>
  <c r="C15" i="36"/>
  <c r="D13" i="36"/>
  <c r="E15" i="36"/>
  <c r="F12" i="36"/>
  <c r="E11" i="36"/>
  <c r="E14" i="36"/>
  <c r="C13" i="36"/>
  <c r="E13" i="36"/>
  <c r="D12" i="36"/>
  <c r="C10" i="36"/>
  <c r="C14" i="36"/>
  <c r="D11" i="36"/>
  <c r="E17" i="36" l="1"/>
  <c r="C12" i="13"/>
  <c r="C15" i="13"/>
  <c r="E15" i="13" s="1"/>
  <c r="C13" i="13"/>
  <c r="C14" i="13"/>
  <c r="C16" i="13"/>
  <c r="E16" i="13" s="1"/>
  <c r="C17" i="13"/>
  <c r="E17" i="13" s="1"/>
  <c r="E12" i="13"/>
  <c r="D17" i="36"/>
  <c r="C17" i="36"/>
  <c r="D18" i="36"/>
  <c r="F18" i="36"/>
  <c r="F17" i="36"/>
  <c r="C18" i="36"/>
  <c r="E16" i="36"/>
  <c r="D16" i="36"/>
  <c r="C16" i="36"/>
  <c r="F16" i="36"/>
  <c r="E18" i="36"/>
  <c r="C18" i="13" l="1"/>
  <c r="F20" i="36"/>
  <c r="C20" i="13"/>
  <c r="E20" i="13" s="1"/>
  <c r="E14" i="13"/>
  <c r="C19" i="13"/>
  <c r="E19" i="13" s="1"/>
  <c r="E13" i="13"/>
  <c r="D20" i="36"/>
  <c r="C19" i="36"/>
  <c r="E19" i="36"/>
  <c r="C20" i="36"/>
  <c r="D19" i="36"/>
  <c r="F19" i="36"/>
  <c r="E20" i="36"/>
  <c r="C21" i="13" l="1"/>
  <c r="E21" i="13" s="1"/>
  <c r="C22" i="13"/>
  <c r="E22" i="13" s="1"/>
  <c r="E18" i="13"/>
  <c r="D21" i="36" l="1"/>
  <c r="F21" i="36" l="1"/>
  <c r="C21" i="36"/>
  <c r="C22" i="36"/>
  <c r="E21" i="36"/>
  <c r="F22" i="36"/>
  <c r="E22" i="36"/>
  <c r="D22" i="36"/>
  <c r="C24" i="13" l="1"/>
  <c r="E24" i="13" s="1"/>
  <c r="C23" i="13"/>
  <c r="D24" i="36"/>
  <c r="C24" i="36"/>
  <c r="E24" i="36"/>
  <c r="F24" i="36"/>
  <c r="E23" i="13" l="1"/>
  <c r="D23" i="36"/>
  <c r="D26" i="36"/>
  <c r="C26" i="13"/>
  <c r="E26" i="13" s="1"/>
  <c r="C23" i="36"/>
  <c r="F23" i="36"/>
  <c r="E23" i="36"/>
  <c r="E26" i="36" l="1"/>
  <c r="C26" i="36"/>
  <c r="C25" i="13"/>
  <c r="F26" i="36"/>
  <c r="C25" i="36"/>
  <c r="C34" i="36" s="1"/>
  <c r="D25" i="36"/>
  <c r="E25" i="36"/>
  <c r="E34" i="36" s="1"/>
  <c r="F25" i="36"/>
  <c r="F34" i="36" s="1"/>
  <c r="F35" i="36" l="1"/>
  <c r="C27" i="13"/>
  <c r="E27" i="13" s="1"/>
  <c r="D34" i="36"/>
  <c r="E25" i="13"/>
  <c r="C37" i="13"/>
  <c r="E35" i="36"/>
  <c r="C35" i="36"/>
  <c r="D35" i="36"/>
  <c r="C28" i="13"/>
  <c r="E28" i="13" s="1"/>
  <c r="E40" i="13" l="1"/>
  <c r="C40" i="13"/>
  <c r="C43" i="13"/>
  <c r="E37" i="13"/>
  <c r="E43" i="13"/>
  <c r="C27" i="36" l="1"/>
  <c r="C36" i="36" s="1"/>
  <c r="E28" i="36"/>
  <c r="F28" i="36"/>
  <c r="D27" i="36" l="1"/>
  <c r="C28" i="36"/>
  <c r="D28" i="36"/>
  <c r="E27" i="36"/>
  <c r="E36" i="36" s="1"/>
  <c r="F27" i="36"/>
  <c r="F36" i="36" s="1"/>
  <c r="C29" i="13" l="1"/>
  <c r="E29" i="13" s="1"/>
  <c r="D36" i="36"/>
  <c r="F29" i="36"/>
  <c r="D29" i="36"/>
  <c r="E29" i="36"/>
  <c r="C29" i="36"/>
  <c r="E30" i="44" l="1"/>
  <c r="D30" i="44"/>
  <c r="F30" i="44"/>
  <c r="C30" i="44"/>
  <c r="D12" i="44" l="1"/>
  <c r="F13" i="44"/>
  <c r="U13" i="44" s="1"/>
  <c r="F14" i="44"/>
  <c r="U14" i="44" s="1"/>
  <c r="O12" i="44" l="1"/>
  <c r="E13" i="44"/>
  <c r="R13" i="44" s="1"/>
  <c r="D15" i="44"/>
  <c r="E15" i="44"/>
  <c r="R15" i="44" s="1"/>
  <c r="C11" i="44"/>
  <c r="L11" i="44" s="1"/>
  <c r="C15" i="44"/>
  <c r="L15" i="44" s="1"/>
  <c r="E14" i="44"/>
  <c r="R14" i="44" s="1"/>
  <c r="F10" i="44"/>
  <c r="U10" i="44" s="1"/>
  <c r="E12" i="44"/>
  <c r="R12" i="44" s="1"/>
  <c r="C14" i="44"/>
  <c r="L14" i="44" s="1"/>
  <c r="F15" i="44"/>
  <c r="U15" i="44" s="1"/>
  <c r="C12" i="44"/>
  <c r="L12" i="44" s="1"/>
  <c r="D13" i="44"/>
  <c r="C13" i="44"/>
  <c r="L13" i="44" s="1"/>
  <c r="E10" i="44"/>
  <c r="R10" i="44" s="1"/>
  <c r="C10" i="44"/>
  <c r="L10" i="44" s="1"/>
  <c r="E11" i="44"/>
  <c r="R11" i="44" s="1"/>
  <c r="F12" i="44"/>
  <c r="U12" i="44" s="1"/>
  <c r="D14" i="44"/>
  <c r="F11" i="44"/>
  <c r="U11" i="44" s="1"/>
  <c r="D10" i="44"/>
  <c r="D11" i="44"/>
  <c r="O10" i="44" l="1"/>
  <c r="I12" i="13"/>
  <c r="O14" i="44"/>
  <c r="I16" i="13"/>
  <c r="K16" i="13" s="1"/>
  <c r="I17" i="13"/>
  <c r="K17" i="13" s="1"/>
  <c r="O15" i="44"/>
  <c r="O13" i="44"/>
  <c r="I15" i="13"/>
  <c r="K15" i="13" s="1"/>
  <c r="O11" i="44"/>
  <c r="I13" i="13"/>
  <c r="I14" i="13"/>
  <c r="E17" i="44"/>
  <c r="R17" i="44" s="1"/>
  <c r="C17" i="44"/>
  <c r="L17" i="44" s="1"/>
  <c r="C16" i="44"/>
  <c r="L16" i="44" s="1"/>
  <c r="E16" i="44"/>
  <c r="R16" i="44" s="1"/>
  <c r="F17" i="44"/>
  <c r="U17" i="44" s="1"/>
  <c r="D18" i="44"/>
  <c r="F18" i="44"/>
  <c r="U18" i="44" s="1"/>
  <c r="C18" i="44"/>
  <c r="L18" i="44" s="1"/>
  <c r="E18" i="44"/>
  <c r="R18" i="44" s="1"/>
  <c r="D17" i="44"/>
  <c r="D16" i="44"/>
  <c r="F16" i="44"/>
  <c r="U16" i="44" s="1"/>
  <c r="I19" i="13" l="1"/>
  <c r="K19" i="13" s="1"/>
  <c r="O17" i="44"/>
  <c r="O16" i="44"/>
  <c r="I18" i="13"/>
  <c r="K18" i="13" s="1"/>
  <c r="O18" i="44"/>
  <c r="I20" i="13"/>
  <c r="K20" i="13" s="1"/>
  <c r="K14" i="13"/>
  <c r="K13" i="13"/>
  <c r="K12" i="13"/>
  <c r="D20" i="44"/>
  <c r="C19" i="44"/>
  <c r="L19" i="44" s="1"/>
  <c r="F20" i="44"/>
  <c r="U20" i="44" s="1"/>
  <c r="C20" i="44"/>
  <c r="L20" i="44" s="1"/>
  <c r="E20" i="44"/>
  <c r="R20" i="44" s="1"/>
  <c r="D19" i="44"/>
  <c r="F19" i="44"/>
  <c r="U19" i="44" s="1"/>
  <c r="E19" i="44"/>
  <c r="R19" i="44" s="1"/>
  <c r="O20" i="44" l="1"/>
  <c r="I22" i="13"/>
  <c r="K22" i="13" s="1"/>
  <c r="I21" i="13"/>
  <c r="K21" i="13" s="1"/>
  <c r="O19" i="44"/>
  <c r="E22" i="44" l="1"/>
  <c r="R22" i="44" s="1"/>
  <c r="D21" i="44"/>
  <c r="C21" i="44"/>
  <c r="L21" i="44" s="1"/>
  <c r="E21" i="44"/>
  <c r="R21" i="44" s="1"/>
  <c r="C22" i="44"/>
  <c r="L22" i="44" s="1"/>
  <c r="F21" i="44"/>
  <c r="U21" i="44" s="1"/>
  <c r="F22" i="44"/>
  <c r="U22" i="44" s="1"/>
  <c r="D22" i="44"/>
  <c r="O22" i="44" l="1"/>
  <c r="I24" i="13"/>
  <c r="K24" i="13" s="1"/>
  <c r="O21" i="44"/>
  <c r="I23" i="13"/>
  <c r="F24" i="44"/>
  <c r="U24" i="44" s="1"/>
  <c r="C24" i="44"/>
  <c r="L24" i="44" s="1"/>
  <c r="E24" i="44"/>
  <c r="R24" i="44" s="1"/>
  <c r="D24" i="44"/>
  <c r="K23" i="13" l="1"/>
  <c r="O24" i="44"/>
  <c r="I26" i="13"/>
  <c r="K26" i="13" s="1"/>
  <c r="D23" i="44"/>
  <c r="C23" i="44"/>
  <c r="L23" i="44" s="1"/>
  <c r="F23" i="44"/>
  <c r="U23" i="44" s="1"/>
  <c r="E23" i="44"/>
  <c r="R23" i="44" s="1"/>
  <c r="O23" i="44" l="1"/>
  <c r="I25" i="13"/>
  <c r="D25" i="44"/>
  <c r="C25" i="44"/>
  <c r="L25" i="44" s="1"/>
  <c r="F25" i="44"/>
  <c r="U25" i="44" s="1"/>
  <c r="U41" i="44" s="1"/>
  <c r="E25" i="44"/>
  <c r="R25" i="44" s="1"/>
  <c r="R34" i="44" s="1"/>
  <c r="S34" i="44" s="1"/>
  <c r="L35" i="44" l="1"/>
  <c r="M35" i="44" s="1"/>
  <c r="C35" i="44" s="1"/>
  <c r="L41" i="44"/>
  <c r="L34" i="44"/>
  <c r="M34" i="44" s="1"/>
  <c r="O25" i="44"/>
  <c r="I27" i="13"/>
  <c r="K27" i="13" s="1"/>
  <c r="S13" i="44"/>
  <c r="S14" i="44"/>
  <c r="S26" i="44"/>
  <c r="S17" i="44"/>
  <c r="S23" i="44"/>
  <c r="S18" i="44"/>
  <c r="S16" i="44"/>
  <c r="S27" i="44"/>
  <c r="S15" i="44"/>
  <c r="S25" i="44"/>
  <c r="S10" i="44"/>
  <c r="E34" i="44"/>
  <c r="S19" i="44"/>
  <c r="S12" i="44"/>
  <c r="S11" i="44"/>
  <c r="S20" i="44"/>
  <c r="S21" i="44"/>
  <c r="S22" i="44"/>
  <c r="S24" i="44"/>
  <c r="R41" i="44"/>
  <c r="R35" i="44"/>
  <c r="S35" i="44" s="1"/>
  <c r="E35" i="44" s="1"/>
  <c r="K25" i="13"/>
  <c r="I37" i="13"/>
  <c r="O41" i="44"/>
  <c r="U34" i="44"/>
  <c r="V34" i="44" s="1"/>
  <c r="U35" i="44"/>
  <c r="V35" i="44" s="1"/>
  <c r="F35" i="44" s="1"/>
  <c r="C26" i="44"/>
  <c r="L26" i="44" s="1"/>
  <c r="L36" i="44" s="1"/>
  <c r="M36" i="44" s="1"/>
  <c r="C36" i="44" s="1"/>
  <c r="E26" i="44"/>
  <c r="R26" i="44" s="1"/>
  <c r="R36" i="44" s="1"/>
  <c r="S36" i="44" s="1"/>
  <c r="E36" i="44" s="1"/>
  <c r="D26" i="44"/>
  <c r="F26" i="44"/>
  <c r="U26" i="44" s="1"/>
  <c r="U36" i="44" s="1"/>
  <c r="V36" i="44" s="1"/>
  <c r="F36" i="44" s="1"/>
  <c r="I40" i="13" l="1"/>
  <c r="K37" i="13"/>
  <c r="K40" i="13"/>
  <c r="O26" i="44"/>
  <c r="O36" i="44" s="1"/>
  <c r="P36" i="44" s="1"/>
  <c r="D36" i="44" s="1"/>
  <c r="I28" i="13"/>
  <c r="V17" i="44"/>
  <c r="V18" i="44"/>
  <c r="V27" i="44"/>
  <c r="V15" i="44"/>
  <c r="V12" i="44"/>
  <c r="V16" i="44"/>
  <c r="F34" i="44"/>
  <c r="V19" i="44"/>
  <c r="V26" i="44"/>
  <c r="V21" i="44"/>
  <c r="V20" i="44"/>
  <c r="V25" i="44"/>
  <c r="V11" i="44"/>
  <c r="V23" i="44"/>
  <c r="V10" i="44"/>
  <c r="V13" i="44"/>
  <c r="V22" i="44"/>
  <c r="V24" i="44"/>
  <c r="V14" i="44"/>
  <c r="S41" i="44"/>
  <c r="S42" i="44" s="1"/>
  <c r="O35" i="44"/>
  <c r="P35" i="44" s="1"/>
  <c r="D35" i="44" s="1"/>
  <c r="O34" i="44"/>
  <c r="P34" i="44" s="1"/>
  <c r="M15" i="44"/>
  <c r="M16" i="44"/>
  <c r="M19" i="44"/>
  <c r="M23" i="44"/>
  <c r="M13" i="44"/>
  <c r="M25" i="44"/>
  <c r="M22" i="44"/>
  <c r="M26" i="44"/>
  <c r="M27" i="44"/>
  <c r="M18" i="44"/>
  <c r="M24" i="44"/>
  <c r="M21" i="44"/>
  <c r="M11" i="44"/>
  <c r="M14" i="44"/>
  <c r="M12" i="44"/>
  <c r="C34" i="44"/>
  <c r="M17" i="44"/>
  <c r="M10" i="44"/>
  <c r="M20" i="44"/>
  <c r="P22" i="44" l="1"/>
  <c r="P21" i="44"/>
  <c r="P13" i="44"/>
  <c r="P23" i="44"/>
  <c r="P17" i="44"/>
  <c r="P26" i="44"/>
  <c r="P27" i="44"/>
  <c r="P25" i="44"/>
  <c r="P16" i="44"/>
  <c r="P24" i="44"/>
  <c r="P18" i="44"/>
  <c r="P20" i="44"/>
  <c r="P12" i="44"/>
  <c r="P11" i="44"/>
  <c r="P14" i="44"/>
  <c r="P19" i="44"/>
  <c r="P15" i="44"/>
  <c r="D34" i="44"/>
  <c r="P10" i="44"/>
  <c r="M41" i="44"/>
  <c r="M42" i="44" s="1"/>
  <c r="K28" i="13"/>
  <c r="K43" i="13" s="1"/>
  <c r="I43" i="13"/>
  <c r="V41" i="44"/>
  <c r="V42" i="44" s="1"/>
  <c r="P41" i="44" l="1"/>
  <c r="P42" i="44" s="1"/>
  <c r="D28" i="44" l="1"/>
  <c r="F28" i="44"/>
  <c r="C28" i="44" l="1"/>
  <c r="F27" i="44"/>
  <c r="U27" i="44" s="1"/>
  <c r="C27" i="44"/>
  <c r="L27" i="44" s="1"/>
  <c r="E27" i="44"/>
  <c r="R27" i="44" s="1"/>
  <c r="E28" i="44"/>
  <c r="D27" i="44"/>
  <c r="I29" i="13" l="1"/>
  <c r="K29" i="13" s="1"/>
  <c r="O27" i="44"/>
  <c r="D29" i="44"/>
  <c r="E29" i="44"/>
  <c r="C29" i="44"/>
  <c r="F29" i="44"/>
</calcChain>
</file>

<file path=xl/sharedStrings.xml><?xml version="1.0" encoding="utf-8"?>
<sst xmlns="http://schemas.openxmlformats.org/spreadsheetml/2006/main" count="451" uniqueCount="273">
  <si>
    <t>Year</t>
  </si>
  <si>
    <t>(a)</t>
  </si>
  <si>
    <t>(b)</t>
  </si>
  <si>
    <t>(c)</t>
  </si>
  <si>
    <t>(d)</t>
  </si>
  <si>
    <t>$/MWH</t>
  </si>
  <si>
    <t>$/MMBtu</t>
  </si>
  <si>
    <t>Winter</t>
  </si>
  <si>
    <t>Summer</t>
  </si>
  <si>
    <t>Current</t>
  </si>
  <si>
    <t>Avoided Costs</t>
  </si>
  <si>
    <t>Comparison between Proposed and Current Avoided Costs</t>
  </si>
  <si>
    <t>Source</t>
  </si>
  <si>
    <t>Natural Gas Price - Delivered to Plant</t>
  </si>
  <si>
    <t>($/MWH)</t>
  </si>
  <si>
    <t>Prices on this tab are formated to be cut and pasted directly into the tariff page</t>
  </si>
  <si>
    <t>Market Price $/MWH</t>
  </si>
  <si>
    <t>HLH</t>
  </si>
  <si>
    <t>LLH</t>
  </si>
  <si>
    <t>Mid-Columbia</t>
  </si>
  <si>
    <t>Palo Verde</t>
  </si>
  <si>
    <t>Electricity Market Prices</t>
  </si>
  <si>
    <t>Month</t>
  </si>
  <si>
    <t>$/MWh</t>
  </si>
  <si>
    <t>Calendar Year</t>
  </si>
  <si>
    <t>Off-Peak Energy Prices (¢/kWh)</t>
  </si>
  <si>
    <t xml:space="preserve">Deliveries During </t>
  </si>
  <si>
    <t>Capacity Contribution</t>
  </si>
  <si>
    <t>Integration Costs</t>
  </si>
  <si>
    <t>Avoided Cost Prices for Wind QF</t>
  </si>
  <si>
    <t>Avoided Cost Prices for Base Load QF</t>
  </si>
  <si>
    <t>East</t>
  </si>
  <si>
    <t>Expansion Resources</t>
  </si>
  <si>
    <t>West</t>
  </si>
  <si>
    <t>Avoided Cost Prices for Fixed Solar QF</t>
  </si>
  <si>
    <t>Avoided Cost Prices for Tracking Solar QF</t>
  </si>
  <si>
    <t>on-peak Summer</t>
  </si>
  <si>
    <t>on-peak Winter</t>
  </si>
  <si>
    <t>off-peak Summer</t>
  </si>
  <si>
    <t>off-peak Winter</t>
  </si>
  <si>
    <t>Generation Profile_Baseload</t>
  </si>
  <si>
    <t>Natural Gas Price Delivered to Plant  ($/MMBtu)</t>
  </si>
  <si>
    <t>Market Prices in $/MWH</t>
  </si>
  <si>
    <t>FORWARD PRICE CURVE SUMMARY</t>
  </si>
  <si>
    <t>Quotes Dated:</t>
  </si>
  <si>
    <t>Sample of source data</t>
  </si>
  <si>
    <t>Date</t>
  </si>
  <si>
    <t>Mid C</t>
  </si>
  <si>
    <t>PV</t>
  </si>
  <si>
    <t>Chk Ttl</t>
  </si>
  <si>
    <t>Check Totals</t>
  </si>
  <si>
    <t>PV HLH/Flat Ratio</t>
  </si>
  <si>
    <t>PV Flat</t>
  </si>
  <si>
    <t>PV LLH/Flat Ratio</t>
  </si>
  <si>
    <t xml:space="preserve"> </t>
  </si>
  <si>
    <t>On Peak Energy Prices (¢/kWh)</t>
  </si>
  <si>
    <t>BASE LOAD</t>
  </si>
  <si>
    <t>WIND</t>
  </si>
  <si>
    <t>SOLAR FIXED</t>
  </si>
  <si>
    <t>SOLAR TRACKING</t>
  </si>
  <si>
    <t>Hayden 1</t>
  </si>
  <si>
    <t>Hayden 2</t>
  </si>
  <si>
    <t>DaveJohnston 1</t>
  </si>
  <si>
    <t>DaveJohnston 2</t>
  </si>
  <si>
    <t>DaveJohnston 3</t>
  </si>
  <si>
    <t>Generation Profile_Solar Fixed</t>
  </si>
  <si>
    <t>Generation Profile_Solar Tracking</t>
  </si>
  <si>
    <t>Table 6</t>
  </si>
  <si>
    <t>Burnertip Annual Average Price</t>
  </si>
  <si>
    <t>15-year (2019-2033) Nominal Levelized</t>
  </si>
  <si>
    <t>15-year (2020-2034) Nominal Levelized</t>
  </si>
  <si>
    <t>Off-Peak Energy Prices (¢/kWh) (1)</t>
  </si>
  <si>
    <t>No.</t>
  </si>
  <si>
    <t>Start Date</t>
  </si>
  <si>
    <t>Total Signed MW</t>
  </si>
  <si>
    <t>Period</t>
  </si>
  <si>
    <t>On Peak Winter</t>
  </si>
  <si>
    <t>On Peak Summer</t>
  </si>
  <si>
    <t>Total Hours</t>
  </si>
  <si>
    <t>HLH Hour %</t>
  </si>
  <si>
    <t>Sun/Hol</t>
  </si>
  <si>
    <t>HLH Days</t>
  </si>
  <si>
    <t>Table 5</t>
  </si>
  <si>
    <t>(e)</t>
  </si>
  <si>
    <t>(f)</t>
  </si>
  <si>
    <t>(g)</t>
  </si>
  <si>
    <t>(h)</t>
  </si>
  <si>
    <t>(i)</t>
  </si>
  <si>
    <t>(j)</t>
  </si>
  <si>
    <t>(k)</t>
  </si>
  <si>
    <t>(l)</t>
  </si>
  <si>
    <t>Proposed</t>
  </si>
  <si>
    <t>Total Difference</t>
  </si>
  <si>
    <t>(1): On- and off- peak prices are reduced by integration charges</t>
  </si>
  <si>
    <t>On-Peak Energy Prices (¢/kWh)</t>
  </si>
  <si>
    <t>Peak Winter</t>
  </si>
  <si>
    <t>Peak Summer</t>
  </si>
  <si>
    <t>Off Peak  Winter</t>
  </si>
  <si>
    <t>Off Peak  Summer</t>
  </si>
  <si>
    <t>$ With degradation</t>
  </si>
  <si>
    <t>0.5 % Degradation</t>
  </si>
  <si>
    <t>Check</t>
  </si>
  <si>
    <t>(x) Extrapolated</t>
  </si>
  <si>
    <t>West Side</t>
  </si>
  <si>
    <t>Energy Efficiency, ID</t>
  </si>
  <si>
    <t>Energy Efficiency, UT</t>
  </si>
  <si>
    <t>Energy Efficiency, WY</t>
  </si>
  <si>
    <t>Energy Efficiency, CA</t>
  </si>
  <si>
    <t>Energy Efficiency, OR</t>
  </si>
  <si>
    <t>Energy Efficiency, WA</t>
  </si>
  <si>
    <t>Contracts Queue</t>
  </si>
  <si>
    <t>Signed Contracts</t>
  </si>
  <si>
    <t>(2): Levelized prices reflect a 0.5% annual degradation rate</t>
  </si>
  <si>
    <t>Off-Peak Energy Prices (¢/kWh) (2)</t>
  </si>
  <si>
    <t>Wind Integration</t>
  </si>
  <si>
    <t>Solar Integration</t>
  </si>
  <si>
    <t>Portfolio Category</t>
  </si>
  <si>
    <t xml:space="preserve"> Total</t>
  </si>
  <si>
    <t>Thermal Plant Retirements, Conversions</t>
  </si>
  <si>
    <t>Craig 1</t>
  </si>
  <si>
    <t>Craig 2</t>
  </si>
  <si>
    <t>Thermal Plant Retirements, Conversions Total</t>
  </si>
  <si>
    <t>Nuclear</t>
  </si>
  <si>
    <t>Nuclear Total</t>
  </si>
  <si>
    <t>Renewable - Wind</t>
  </si>
  <si>
    <t>Renewable - Wind Total</t>
  </si>
  <si>
    <t>DSM - Demand Response</t>
  </si>
  <si>
    <t>DR Summer - ID</t>
  </si>
  <si>
    <t>DR Summer - UT</t>
  </si>
  <si>
    <t>DR Summer - WY</t>
  </si>
  <si>
    <t>DR Winter - ID</t>
  </si>
  <si>
    <t>DR Winter - UT</t>
  </si>
  <si>
    <t>DR Winter - WY</t>
  </si>
  <si>
    <t>DSM - Demand Response Total</t>
  </si>
  <si>
    <t>DSM - Energy Efficiency</t>
  </si>
  <si>
    <t>DSM - Energy Efficiency Total</t>
  </si>
  <si>
    <t>Expansion Resources Total</t>
  </si>
  <si>
    <t>Colstrip 3</t>
  </si>
  <si>
    <t>Colstrip 4</t>
  </si>
  <si>
    <t>Coal - Gas Conversions</t>
  </si>
  <si>
    <t>Coal - Gas Conversions Total</t>
  </si>
  <si>
    <t>DR Summer - CA</t>
  </si>
  <si>
    <t>DR Summer - OR</t>
  </si>
  <si>
    <t>DR Summer - WA</t>
  </si>
  <si>
    <t>DR Winter - CA</t>
  </si>
  <si>
    <t>DR Winter - OR</t>
  </si>
  <si>
    <t>DR Winter - WA</t>
  </si>
  <si>
    <t>East Side</t>
  </si>
  <si>
    <t>15-year (2023-2037) Nominal Levelized</t>
  </si>
  <si>
    <t>15-year (2024-2038) Nominal Levelized</t>
  </si>
  <si>
    <t>On-Peak Energy Prices (¢/kWh)(2)</t>
  </si>
  <si>
    <t>On-Peak Energy Prices (¢/kWh)(1)</t>
  </si>
  <si>
    <t>Source:</t>
  </si>
  <si>
    <t>Row Labels</t>
  </si>
  <si>
    <t>Coal - CCUS</t>
  </si>
  <si>
    <t>JimBridger 3 CCUS</t>
  </si>
  <si>
    <t>JimBridger 4 CCUS</t>
  </si>
  <si>
    <t>Coal - CCUS Total</t>
  </si>
  <si>
    <t>Coal Plant Retirements</t>
  </si>
  <si>
    <t>Coal Plant Retirements Total</t>
  </si>
  <si>
    <t xml:space="preserve">Coal Plant Retirements - Minority Owned </t>
  </si>
  <si>
    <t>Coal Plant Retirements - Minority Owned  Total</t>
  </si>
  <si>
    <t>Non-Thermal Retirements &amp; Expirations</t>
  </si>
  <si>
    <t>Expire - Other</t>
  </si>
  <si>
    <t>Expire - Other Total</t>
  </si>
  <si>
    <t>Expire - Solar PPA</t>
  </si>
  <si>
    <t>Expire - Solar PPA Total</t>
  </si>
  <si>
    <t>Expire - QF</t>
  </si>
  <si>
    <t>Expire - QF Total</t>
  </si>
  <si>
    <t>Expire - Wind PPA</t>
  </si>
  <si>
    <t>Expire - Wind PPA Total</t>
  </si>
  <si>
    <t>Retire - Non-Thermal</t>
  </si>
  <si>
    <t>Existing - Geothermal</t>
  </si>
  <si>
    <t>Retire - Non-Thermal Total</t>
  </si>
  <si>
    <t>Non-Thermal Retirements &amp; Expirations Total</t>
  </si>
  <si>
    <t>Wind - Goshen</t>
  </si>
  <si>
    <t>Wind - Wyoming East</t>
  </si>
  <si>
    <t>Small Scale Wind - Wyoming East</t>
  </si>
  <si>
    <t>Renewable - Utility Solar</t>
  </si>
  <si>
    <t>Renewable - Utility Solar Total</t>
  </si>
  <si>
    <t>Renewable - Battery</t>
  </si>
  <si>
    <t>Renewable - Battery Total</t>
  </si>
  <si>
    <t>Resources for State Compliance</t>
  </si>
  <si>
    <t>Deferrable by UT QFs</t>
  </si>
  <si>
    <t>Signed/Not Deferrable</t>
  </si>
  <si>
    <t>Partially Deferred Proxy Resource by UT Sch 37 QF</t>
  </si>
  <si>
    <t>Footnotes:</t>
  </si>
  <si>
    <t>(*)</t>
  </si>
  <si>
    <t>(s)</t>
  </si>
  <si>
    <t>(Q)</t>
  </si>
  <si>
    <t>Sum of Value</t>
  </si>
  <si>
    <t>Column Labels</t>
  </si>
  <si>
    <t>Coal Plant Ceases as Coal</t>
  </si>
  <si>
    <t>JimBridger 3</t>
  </si>
  <si>
    <t>JimBridger 4</t>
  </si>
  <si>
    <t>Naughton 1</t>
  </si>
  <si>
    <t>Naughton 2</t>
  </si>
  <si>
    <t>Coal Plant Ceases as Coal Total</t>
  </si>
  <si>
    <t>DaveJohnston 1 GC</t>
  </si>
  <si>
    <t>DaveJohnston 2 GC</t>
  </si>
  <si>
    <t>Naughton 1 GC</t>
  </si>
  <si>
    <t>Naughton 2 GC</t>
  </si>
  <si>
    <t>Battery - Utah South</t>
  </si>
  <si>
    <t>Geothermal, Greenfield - East</t>
  </si>
  <si>
    <t>Solar - Utah South</t>
  </si>
  <si>
    <t>Solar - Wasatch Front</t>
  </si>
  <si>
    <t>Utility Scale Solar - Utah South</t>
  </si>
  <si>
    <t>Nuclear Adv Reactor - Naughton</t>
  </si>
  <si>
    <t>Utility Scale Wind - Bridger</t>
  </si>
  <si>
    <t>Utility Scale Wind - DJ/Wyodak Gen</t>
  </si>
  <si>
    <t>Utility Scale Wind - Wyoming East</t>
  </si>
  <si>
    <t>Battery - Hunter/Huntington</t>
  </si>
  <si>
    <t>Renewable - Battery (Long Duration)</t>
  </si>
  <si>
    <t>Battery - DJ/Wyodak Gen</t>
  </si>
  <si>
    <t>Battery - Wasatch Front</t>
  </si>
  <si>
    <t>Renewable - Battery (Long Duration) Total</t>
  </si>
  <si>
    <t>Renewable - Small Scale Wind</t>
  </si>
  <si>
    <t>Small Scale Wind - Wyoming Central</t>
  </si>
  <si>
    <t>Renewable - Small Scale Wind Total</t>
  </si>
  <si>
    <t>Battery - OIT</t>
  </si>
  <si>
    <t>Solar - Central OR</t>
  </si>
  <si>
    <t>Solar - Southern OR</t>
  </si>
  <si>
    <t>Qualified Facility - Solar</t>
  </si>
  <si>
    <t>Utility Scale Solar - Central OR</t>
  </si>
  <si>
    <t>Utility Scale Solar - Southern OR</t>
  </si>
  <si>
    <t>Utility Scale Solar - Summer Lake</t>
  </si>
  <si>
    <t>Utility Scale Solar - Walla Walla - WA</t>
  </si>
  <si>
    <t>Utility Scale Solar - Willamette Valley</t>
  </si>
  <si>
    <t>Utility Scale Solar - Yakima</t>
  </si>
  <si>
    <t>Utility Scale Wind - Willamette Valley</t>
  </si>
  <si>
    <t>Battery - Central OR</t>
  </si>
  <si>
    <t>Battery - Chehalis</t>
  </si>
  <si>
    <t>Battery - Portland North Coast</t>
  </si>
  <si>
    <t>Battery - Southern OR</t>
  </si>
  <si>
    <t>Battery - Walla Walla - WA</t>
  </si>
  <si>
    <t>Battery - Willamette Valley</t>
  </si>
  <si>
    <t>Battery - Yakima</t>
  </si>
  <si>
    <t>(3): Renewable energy credits transfer to the utility starting in 2032</t>
  </si>
  <si>
    <t>(2): Renewable energy credits transfer to the utility starting in 2028</t>
  </si>
  <si>
    <t>2025-2045</t>
  </si>
  <si>
    <t>2025 IRP - Appendix F - Flexible Reserve Study</t>
  </si>
  <si>
    <t>PacifiCorp’s 2025 IRP Utah Workpapers, Chapter  12 ("LT_25I.LP.iLT.21.Integrated.EP.2409MN.Base IntTrans_106955 v78.1.xlb")</t>
  </si>
  <si>
    <t>The 2025 IRP preferred portfolio is based on a 14.4 % planning reserve margin for July and 16.8% for December, reflecting WRAP planning assumptions.</t>
  </si>
  <si>
    <t>Generation Profile_Wind</t>
  </si>
  <si>
    <t>2025 IRP Utah - Detailed Preferred Portfolio</t>
  </si>
  <si>
    <t>Partial Displacement (MW)</t>
  </si>
  <si>
    <t>Name plate (MW)</t>
  </si>
  <si>
    <t>Hill Air Force Base (AFB) (HILLAFB PPA QF) Existing Contract expire on Terminated 1/10/2025)</t>
  </si>
  <si>
    <t>Simplot Phosphates</t>
  </si>
  <si>
    <t>Tata Chemicals</t>
  </si>
  <si>
    <t>Tesoro Non Firm</t>
  </si>
  <si>
    <t>Exxon Mobil</t>
  </si>
  <si>
    <t>Kennecott Smelter Non Firm</t>
  </si>
  <si>
    <t>Kennecott Refinery Non Firm</t>
  </si>
  <si>
    <t>UIWC Shares by Resource Type and Year, Installed MW</t>
  </si>
  <si>
    <t>Installed Capacity (MW)</t>
  </si>
  <si>
    <t>Resource</t>
  </si>
  <si>
    <t>Total</t>
  </si>
  <si>
    <t>Expansion Options</t>
  </si>
  <si>
    <t>Renewable - Utility Wind</t>
  </si>
  <si>
    <t>Renewable - Small Scale Solar</t>
  </si>
  <si>
    <t>Renewable - Geothermal</t>
  </si>
  <si>
    <t>Other Renewable</t>
  </si>
  <si>
    <t>Storage - Other</t>
  </si>
  <si>
    <t>https://www.pacificorp.com/content/dam/pcorp/documents/en/pacificorp/energy/integrated-resource-plan/2025-irp/2025_IRP_Vol_1_Utah.pdf</t>
  </si>
  <si>
    <t>2025 IRP - Volume I - Utah - Table 12.4 – Utah, Idaho, Wyoming and California Share Utah, Idaho, Wyoming and California Share, page 343*</t>
  </si>
  <si>
    <t>*: 2025 IRP - Volume I - Utah</t>
  </si>
  <si>
    <t>Discount Rate - 2025 IRP</t>
  </si>
  <si>
    <t>Table 1</t>
  </si>
  <si>
    <t>Table 2</t>
  </si>
  <si>
    <t>Table 3 QF Signed Queue</t>
  </si>
  <si>
    <t>Table 4 Comparison</t>
  </si>
  <si>
    <t>Table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</si>
</sst>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"/>
    <numFmt numFmtId="166" formatCode="&quot;$&quot;#,##0.00"/>
    <numFmt numFmtId="167" formatCode="0.0%"/>
    <numFmt numFmtId="168" formatCode="&quot;$&quot;###0;[Red]\(&quot;$&quot;###0\)"/>
    <numFmt numFmtId="169" formatCode="_(&quot;$&quot;* #,##0_);_(&quot;$&quot;* \(#,##0\);_(&quot;$&quot;* &quot;-&quot;??_);_(@_)"/>
    <numFmt numFmtId="170" formatCode="_(* #,##0_);[Red]_(* \(#,##0\);_(* &quot;-&quot;_);_(@_)"/>
    <numFmt numFmtId="171" formatCode="0.000"/>
    <numFmt numFmtId="172" formatCode="0.000%"/>
    <numFmt numFmtId="173" formatCode="#,##0.000_);\(#,##0.000\)"/>
    <numFmt numFmtId="174" formatCode="_(* #,##0.000_);[Red]_(* \(#,##0.000\);_(* &quot;-&quot;_);_(@_)"/>
    <numFmt numFmtId="175" formatCode="_(* #,##0.00_);[Red]_(* \(#,##0.00\);_(* &quot;-&quot;_);_(@_)"/>
    <numFmt numFmtId="176" formatCode="_(* #,##0.000_);_(* \(#,##0.000\);_(* &quot;-&quot;??_);_(@_)"/>
    <numFmt numFmtId="177" formatCode="[$-409]mmmm\ d\,\ yyyy;@"/>
    <numFmt numFmtId="178" formatCode="yyyy\ mm\ dd"/>
    <numFmt numFmtId="179" formatCode="_(* #,##0.0000_);_(* \(#,##0.0000\);_(* &quot;-&quot;??_);_(@_)"/>
    <numFmt numFmtId="180" formatCode="_(&quot;$&quot;* #,##0.000_);_(&quot;$&quot;* \(#,##0.000\);_(&quot;$&quot;* &quot;-&quot;??_);_(@_)"/>
    <numFmt numFmtId="181" formatCode="\ \ \ \ &quot;$&quot;00.00\ \(\x\)"/>
    <numFmt numFmtId="182" formatCode="_(* #,##0_);_(* \(#,##0\);_(* &quot;-&quot;?_);_(@_)"/>
    <numFmt numFmtId="183" formatCode="0\ \(\3\)"/>
    <numFmt numFmtId="184" formatCode="0\ \(\2\)"/>
    <numFmt numFmtId="185" formatCode="0\ \(&quot;s&quot;\)"/>
    <numFmt numFmtId="186" formatCode="0\ \(&quot;d&quot;\)"/>
    <numFmt numFmtId="187" formatCode="_(* #,##0.0_);_(* \(#,##0.0\);_(* &quot;-&quot;?_);_(@_)"/>
    <numFmt numFmtId="188" formatCode="0\ \(&quot;d/Q&quot;\)"/>
  </numFmts>
  <fonts count="44" x14ac:knownFonts="1">
    <font>
      <sz val="10"/>
      <name val="Times New Roman"/>
      <family val="1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2"/>
      <name val="Arial"/>
      <family val="2"/>
    </font>
    <font>
      <b/>
      <i/>
      <sz val="8"/>
      <color indexed="18"/>
      <name val="Helv"/>
    </font>
    <font>
      <sz val="8"/>
      <name val="Helv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8"/>
      <color indexed="12"/>
      <name val="Arial"/>
      <family val="2"/>
    </font>
    <font>
      <b/>
      <u/>
      <sz val="10"/>
      <name val="Times New Roman"/>
      <family val="1"/>
    </font>
    <font>
      <b/>
      <sz val="10"/>
      <name val="Arial"/>
      <family val="2"/>
    </font>
    <font>
      <sz val="9"/>
      <name val="Times New Roman"/>
      <family val="1"/>
    </font>
    <font>
      <u/>
      <sz val="9"/>
      <name val="Times New Roman"/>
      <family val="1"/>
    </font>
    <font>
      <u val="singleAccounting"/>
      <sz val="9"/>
      <name val="Times New Roman"/>
      <family val="1"/>
    </font>
    <font>
      <b/>
      <i/>
      <sz val="10"/>
      <name val="Arial"/>
      <family val="2"/>
    </font>
    <font>
      <b/>
      <u/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u/>
      <sz val="10"/>
      <name val="Times New Roman"/>
      <family val="1"/>
    </font>
    <font>
      <u/>
      <sz val="10"/>
      <color theme="10"/>
      <name val="Arial"/>
      <family val="2"/>
    </font>
    <font>
      <sz val="10"/>
      <color rgb="FF1F497D"/>
      <name val="Calibri"/>
      <family val="2"/>
    </font>
    <font>
      <u/>
      <sz val="10"/>
      <name val="Arial"/>
      <family val="2"/>
    </font>
    <font>
      <u/>
      <sz val="7.5"/>
      <color indexed="12"/>
      <name val="Arial"/>
      <family val="2"/>
    </font>
    <font>
      <sz val="10"/>
      <color rgb="FFFF0000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rgb="FF8DB4E2"/>
      <name val="Times New Roman"/>
      <family val="1"/>
    </font>
    <font>
      <u/>
      <sz val="10"/>
      <color theme="10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DB4E2"/>
        <bgColor rgb="FF8DB4E2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3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theme="4" tint="-0.249977111117893"/>
      </top>
      <bottom/>
      <diagonal/>
    </border>
    <border>
      <left style="thin">
        <color theme="4" tint="0.39997558519241921"/>
      </left>
      <right style="thin">
        <color theme="4" tint="0.39997558519241921"/>
      </right>
      <top/>
      <bottom/>
      <diagonal/>
    </border>
    <border>
      <left style="thin">
        <color theme="4" tint="0.39997558519241921"/>
      </left>
      <right style="thin">
        <color theme="4" tint="0.39997558519241921"/>
      </right>
      <top/>
      <bottom style="thick">
        <color indexed="64"/>
      </bottom>
      <diagonal/>
    </border>
    <border>
      <left/>
      <right/>
      <top style="thin">
        <color theme="4" tint="-0.249977111117893"/>
      </top>
      <bottom style="medium">
        <color theme="4" tint="-0.249977111117893"/>
      </bottom>
      <diagonal/>
    </border>
    <border>
      <left style="thin">
        <color indexed="64"/>
      </left>
      <right style="thin">
        <color indexed="64"/>
      </right>
      <top style="thin">
        <color theme="4" tint="-0.249977111117893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170" fontId="0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168" fontId="19" fillId="0" borderId="0" applyFont="0" applyFill="0" applyBorder="0" applyProtection="0">
      <alignment horizontal="right"/>
    </xf>
    <xf numFmtId="0" fontId="18" fillId="0" borderId="0" applyNumberFormat="0" applyFill="0" applyBorder="0" applyAlignment="0">
      <protection locked="0"/>
    </xf>
    <xf numFmtId="165" fontId="20" fillId="0" borderId="0" applyNumberFormat="0" applyFill="0" applyBorder="0" applyAlignment="0" applyProtection="0"/>
    <xf numFmtId="0" fontId="21" fillId="0" borderId="1" applyNumberFormat="0" applyBorder="0" applyAlignment="0"/>
    <xf numFmtId="0" fontId="10" fillId="0" borderId="0"/>
    <xf numFmtId="170" fontId="10" fillId="0" borderId="0"/>
    <xf numFmtId="0" fontId="8" fillId="0" borderId="0"/>
    <xf numFmtId="170" fontId="8" fillId="0" borderId="0"/>
    <xf numFmtId="12" fontId="17" fillId="2" borderId="2">
      <alignment horizontal="left"/>
    </xf>
    <xf numFmtId="9" fontId="8" fillId="0" borderId="0" applyFont="0" applyFill="0" applyBorder="0" applyAlignment="0" applyProtection="0"/>
    <xf numFmtId="37" fontId="21" fillId="3" borderId="0" applyNumberFormat="0" applyBorder="0" applyAlignment="0" applyProtection="0"/>
    <xf numFmtId="37" fontId="22" fillId="0" borderId="0"/>
    <xf numFmtId="3" fontId="23" fillId="4" borderId="3" applyProtection="0"/>
    <xf numFmtId="170" fontId="8" fillId="0" borderId="0"/>
    <xf numFmtId="170" fontId="10" fillId="0" borderId="0"/>
    <xf numFmtId="0" fontId="7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0" fontId="6" fillId="0" borderId="0"/>
    <xf numFmtId="44" fontId="8" fillId="0" borderId="0" applyFont="0" applyFill="0" applyBorder="0" applyAlignment="0" applyProtection="0"/>
    <xf numFmtId="170" fontId="10" fillId="0" borderId="0"/>
    <xf numFmtId="170" fontId="8" fillId="0" borderId="0"/>
    <xf numFmtId="170" fontId="5" fillId="0" borderId="0"/>
    <xf numFmtId="170" fontId="8" fillId="0" borderId="0"/>
    <xf numFmtId="0" fontId="8" fillId="0" borderId="0"/>
    <xf numFmtId="9" fontId="8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0" fontId="34" fillId="0" borderId="0" applyNumberFormat="0" applyFill="0" applyBorder="0" applyAlignment="0" applyProtection="0"/>
    <xf numFmtId="0" fontId="8" fillId="0" borderId="0"/>
    <xf numFmtId="170" fontId="8" fillId="0" borderId="0"/>
    <xf numFmtId="43" fontId="8" fillId="0" borderId="0" applyFont="0" applyFill="0" applyBorder="0" applyAlignment="0" applyProtection="0"/>
    <xf numFmtId="170" fontId="8" fillId="0" borderId="0"/>
    <xf numFmtId="0" fontId="37" fillId="0" borderId="0" applyNumberFormat="0" applyFill="0" applyBorder="0" applyAlignment="0" applyProtection="0">
      <alignment vertical="top"/>
      <protection locked="0"/>
    </xf>
    <xf numFmtId="9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70" fontId="43" fillId="0" borderId="0" applyNumberFormat="0" applyFill="0" applyBorder="0" applyAlignment="0" applyProtection="0"/>
  </cellStyleXfs>
  <cellXfs count="321">
    <xf numFmtId="170" fontId="0" fillId="0" borderId="0" xfId="0"/>
    <xf numFmtId="170" fontId="11" fillId="0" borderId="0" xfId="0" applyFont="1" applyAlignment="1">
      <alignment horizontal="centerContinuous"/>
    </xf>
    <xf numFmtId="170" fontId="16" fillId="0" borderId="0" xfId="0" applyFont="1" applyAlignment="1">
      <alignment horizontal="centerContinuous"/>
    </xf>
    <xf numFmtId="170" fontId="12" fillId="0" borderId="0" xfId="0" applyFont="1" applyAlignment="1">
      <alignment horizontal="centerContinuous"/>
    </xf>
    <xf numFmtId="170" fontId="14" fillId="0" borderId="0" xfId="0" applyFont="1"/>
    <xf numFmtId="170" fontId="14" fillId="0" borderId="0" xfId="0" applyFont="1" applyAlignment="1">
      <alignment horizontal="centerContinuous"/>
    </xf>
    <xf numFmtId="170" fontId="15" fillId="0" borderId="0" xfId="0" applyFont="1"/>
    <xf numFmtId="170" fontId="11" fillId="0" borderId="0" xfId="8" applyFont="1" applyAlignment="1">
      <alignment horizontal="centerContinuous"/>
    </xf>
    <xf numFmtId="170" fontId="9" fillId="0" borderId="4" xfId="8" applyFont="1" applyBorder="1" applyAlignment="1">
      <alignment horizontal="center"/>
    </xf>
    <xf numFmtId="170" fontId="13" fillId="0" borderId="0" xfId="8" quotePrefix="1" applyFont="1" applyAlignment="1">
      <alignment horizontal="center"/>
    </xf>
    <xf numFmtId="170" fontId="12" fillId="0" borderId="0" xfId="8" applyFont="1" applyAlignment="1">
      <alignment horizontal="centerContinuous"/>
    </xf>
    <xf numFmtId="170" fontId="9" fillId="0" borderId="9" xfId="8" applyFont="1" applyBorder="1" applyAlignment="1">
      <alignment horizontal="centerContinuous"/>
    </xf>
    <xf numFmtId="170" fontId="9" fillId="0" borderId="5" xfId="8" applyFont="1" applyBorder="1" applyAlignment="1">
      <alignment horizontal="center"/>
    </xf>
    <xf numFmtId="170" fontId="9" fillId="0" borderId="8" xfId="8" applyFont="1" applyBorder="1" applyAlignment="1">
      <alignment horizontal="center"/>
    </xf>
    <xf numFmtId="170" fontId="24" fillId="0" borderId="0" xfId="8" applyFont="1" applyAlignment="1">
      <alignment horizontal="left"/>
    </xf>
    <xf numFmtId="170" fontId="0" fillId="0" borderId="0" xfId="8" applyFont="1"/>
    <xf numFmtId="167" fontId="0" fillId="0" borderId="0" xfId="12" applyNumberFormat="1" applyFont="1" applyFill="1"/>
    <xf numFmtId="170" fontId="0" fillId="0" borderId="0" xfId="8" applyFont="1" applyAlignment="1">
      <alignment horizontal="centerContinuous"/>
    </xf>
    <xf numFmtId="170" fontId="0" fillId="0" borderId="8" xfId="8" applyFont="1" applyBorder="1"/>
    <xf numFmtId="170" fontId="0" fillId="0" borderId="0" xfId="8" quotePrefix="1" applyFont="1" applyAlignment="1">
      <alignment horizontal="center"/>
    </xf>
    <xf numFmtId="0" fontId="0" fillId="0" borderId="0" xfId="8" applyNumberFormat="1" applyFont="1" applyAlignment="1">
      <alignment horizontal="center"/>
    </xf>
    <xf numFmtId="166" fontId="0" fillId="0" borderId="0" xfId="8" applyNumberFormat="1" applyFont="1" applyAlignment="1">
      <alignment horizontal="center"/>
    </xf>
    <xf numFmtId="170" fontId="0" fillId="0" borderId="0" xfId="8" applyFont="1" applyAlignment="1">
      <alignment horizontal="right"/>
    </xf>
    <xf numFmtId="170" fontId="0" fillId="0" borderId="0" xfId="8" applyFont="1" applyAlignment="1">
      <alignment horizontal="center"/>
    </xf>
    <xf numFmtId="172" fontId="0" fillId="0" borderId="0" xfId="0" applyNumberFormat="1" applyAlignment="1">
      <alignment horizontal="center"/>
    </xf>
    <xf numFmtId="170" fontId="26" fillId="0" borderId="0" xfId="0" applyFont="1"/>
    <xf numFmtId="170" fontId="26" fillId="0" borderId="0" xfId="0" applyFont="1" applyAlignment="1">
      <alignment horizontal="center"/>
    </xf>
    <xf numFmtId="170" fontId="27" fillId="0" borderId="0" xfId="0" applyFont="1" applyAlignment="1">
      <alignment horizontal="centerContinuous"/>
    </xf>
    <xf numFmtId="170" fontId="28" fillId="0" borderId="0" xfId="0" applyFont="1" applyAlignment="1">
      <alignment horizontal="center"/>
    </xf>
    <xf numFmtId="2" fontId="26" fillId="0" borderId="0" xfId="0" applyNumberFormat="1" applyFont="1" applyAlignment="1">
      <alignment horizontal="center"/>
    </xf>
    <xf numFmtId="0" fontId="26" fillId="0" borderId="0" xfId="0" applyNumberFormat="1" applyFont="1" applyAlignment="1">
      <alignment horizontal="center"/>
    </xf>
    <xf numFmtId="171" fontId="26" fillId="0" borderId="0" xfId="0" applyNumberFormat="1" applyFont="1" applyAlignment="1">
      <alignment horizontal="center"/>
    </xf>
    <xf numFmtId="8" fontId="26" fillId="0" borderId="0" xfId="0" applyNumberFormat="1" applyFont="1" applyAlignment="1">
      <alignment horizontal="left"/>
    </xf>
    <xf numFmtId="172" fontId="26" fillId="0" borderId="0" xfId="0" applyNumberFormat="1" applyFont="1" applyAlignment="1">
      <alignment horizontal="center"/>
    </xf>
    <xf numFmtId="170" fontId="26" fillId="0" borderId="0" xfId="0" applyFont="1" applyAlignment="1">
      <alignment horizontal="right"/>
    </xf>
    <xf numFmtId="170" fontId="26" fillId="0" borderId="0" xfId="0" applyFont="1" applyAlignment="1">
      <alignment horizontal="right" vertical="center" wrapText="1"/>
    </xf>
    <xf numFmtId="173" fontId="26" fillId="0" borderId="0" xfId="0" applyNumberFormat="1" applyFont="1" applyAlignment="1">
      <alignment horizontal="center" vertical="center"/>
    </xf>
    <xf numFmtId="1" fontId="26" fillId="0" borderId="0" xfId="0" applyNumberFormat="1" applyFont="1" applyAlignment="1">
      <alignment horizontal="center"/>
    </xf>
    <xf numFmtId="39" fontId="26" fillId="0" borderId="0" xfId="0" applyNumberFormat="1" applyFont="1" applyAlignment="1">
      <alignment horizontal="center"/>
    </xf>
    <xf numFmtId="39" fontId="26" fillId="0" borderId="0" xfId="0" applyNumberFormat="1" applyFont="1" applyAlignment="1">
      <alignment horizontal="center" vertical="center"/>
    </xf>
    <xf numFmtId="170" fontId="10" fillId="0" borderId="0" xfId="0" applyFont="1"/>
    <xf numFmtId="9" fontId="0" fillId="0" borderId="0" xfId="12" applyFont="1" applyFill="1"/>
    <xf numFmtId="170" fontId="10" fillId="0" borderId="0" xfId="17"/>
    <xf numFmtId="8" fontId="10" fillId="0" borderId="0" xfId="17" applyNumberFormat="1" applyAlignment="1">
      <alignment horizontal="right"/>
    </xf>
    <xf numFmtId="170" fontId="16" fillId="0" borderId="0" xfId="0" applyFont="1"/>
    <xf numFmtId="170" fontId="27" fillId="0" borderId="0" xfId="0" applyFont="1" applyAlignment="1">
      <alignment horizontal="left"/>
    </xf>
    <xf numFmtId="170" fontId="28" fillId="0" borderId="0" xfId="0" applyFont="1" applyAlignment="1">
      <alignment horizontal="left" vertical="top"/>
    </xf>
    <xf numFmtId="164" fontId="26" fillId="0" borderId="0" xfId="1" applyNumberFormat="1" applyFont="1" applyFill="1" applyBorder="1" applyAlignment="1">
      <alignment horizontal="left" vertical="top"/>
    </xf>
    <xf numFmtId="169" fontId="26" fillId="0" borderId="0" xfId="2" applyNumberFormat="1" applyFont="1" applyFill="1" applyBorder="1" applyAlignment="1">
      <alignment horizontal="left" vertical="top"/>
    </xf>
    <xf numFmtId="176" fontId="26" fillId="0" borderId="0" xfId="1" applyNumberFormat="1" applyFont="1" applyFill="1" applyBorder="1" applyAlignment="1">
      <alignment horizontal="left" vertical="top"/>
    </xf>
    <xf numFmtId="173" fontId="26" fillId="0" borderId="0" xfId="0" applyNumberFormat="1" applyFont="1" applyAlignment="1">
      <alignment horizontal="left" vertical="top"/>
    </xf>
    <xf numFmtId="175" fontId="26" fillId="0" borderId="0" xfId="0" applyNumberFormat="1" applyFont="1"/>
    <xf numFmtId="169" fontId="26" fillId="0" borderId="0" xfId="2" applyNumberFormat="1" applyFont="1" applyFill="1" applyBorder="1"/>
    <xf numFmtId="164" fontId="26" fillId="0" borderId="0" xfId="1" applyNumberFormat="1" applyFont="1" applyFill="1" applyBorder="1"/>
    <xf numFmtId="170" fontId="26" fillId="0" borderId="0" xfId="0" applyFont="1" applyAlignment="1">
      <alignment horizontal="left" vertical="top"/>
    </xf>
    <xf numFmtId="10" fontId="26" fillId="0" borderId="0" xfId="12" applyNumberFormat="1" applyFont="1" applyFill="1" applyBorder="1" applyAlignment="1">
      <alignment horizontal="left" vertical="top"/>
    </xf>
    <xf numFmtId="170" fontId="10" fillId="0" borderId="0" xfId="0" applyFont="1" applyAlignment="1">
      <alignment horizontal="centerContinuous"/>
    </xf>
    <xf numFmtId="170" fontId="17" fillId="0" borderId="0" xfId="0" applyFont="1" applyAlignment="1">
      <alignment horizontal="centerContinuous"/>
    </xf>
    <xf numFmtId="0" fontId="17" fillId="0" borderId="0" xfId="20" applyFont="1" applyAlignment="1">
      <alignment horizontal="centerContinuous"/>
    </xf>
    <xf numFmtId="170" fontId="25" fillId="0" borderId="0" xfId="0" applyFont="1" applyAlignment="1">
      <alignment horizontal="centerContinuous"/>
    </xf>
    <xf numFmtId="170" fontId="0" fillId="0" borderId="0" xfId="8" quotePrefix="1" applyFont="1"/>
    <xf numFmtId="170" fontId="8" fillId="0" borderId="0" xfId="0" applyFont="1" applyAlignment="1">
      <alignment horizontal="center"/>
    </xf>
    <xf numFmtId="170" fontId="9" fillId="0" borderId="0" xfId="0" applyFont="1" applyAlignment="1">
      <alignment horizontal="right"/>
    </xf>
    <xf numFmtId="177" fontId="10" fillId="0" borderId="0" xfId="0" applyNumberFormat="1" applyFont="1"/>
    <xf numFmtId="170" fontId="10" fillId="0" borderId="0" xfId="0" applyFont="1" applyAlignment="1">
      <alignment horizontal="left"/>
    </xf>
    <xf numFmtId="0" fontId="25" fillId="0" borderId="0" xfId="20" applyFont="1" applyAlignment="1">
      <alignment horizontal="center"/>
    </xf>
    <xf numFmtId="170" fontId="25" fillId="0" borderId="0" xfId="0" applyFont="1" applyAlignment="1">
      <alignment horizontal="center"/>
    </xf>
    <xf numFmtId="49" fontId="9" fillId="0" borderId="0" xfId="0" applyNumberFormat="1" applyFont="1" applyAlignment="1">
      <alignment horizontal="left"/>
    </xf>
    <xf numFmtId="170" fontId="25" fillId="0" borderId="9" xfId="0" applyFont="1" applyBorder="1" applyAlignment="1">
      <alignment horizontal="centerContinuous"/>
    </xf>
    <xf numFmtId="170" fontId="9" fillId="0" borderId="0" xfId="0" applyFont="1"/>
    <xf numFmtId="0" fontId="25" fillId="0" borderId="11" xfId="20" applyFont="1" applyBorder="1" applyAlignment="1">
      <alignment horizontal="center"/>
    </xf>
    <xf numFmtId="170" fontId="30" fillId="0" borderId="11" xfId="0" applyFont="1" applyBorder="1" applyAlignment="1">
      <alignment horizontal="center"/>
    </xf>
    <xf numFmtId="170" fontId="30" fillId="0" borderId="9" xfId="0" applyFont="1" applyBorder="1" applyAlignment="1">
      <alignment horizontal="center"/>
    </xf>
    <xf numFmtId="171" fontId="10" fillId="0" borderId="0" xfId="2" applyNumberFormat="1" applyFont="1" applyFill="1" applyBorder="1" applyAlignment="1">
      <alignment horizontal="center"/>
    </xf>
    <xf numFmtId="0" fontId="10" fillId="0" borderId="0" xfId="0" applyNumberFormat="1" applyFont="1" applyAlignment="1">
      <alignment horizontal="center"/>
    </xf>
    <xf numFmtId="39" fontId="10" fillId="0" borderId="0" xfId="1" applyNumberFormat="1" applyFont="1" applyFill="1" applyAlignment="1">
      <alignment horizontal="center"/>
    </xf>
    <xf numFmtId="17" fontId="8" fillId="0" borderId="10" xfId="0" applyNumberFormat="1" applyFont="1" applyBorder="1" applyAlignment="1">
      <alignment horizontal="center"/>
    </xf>
    <xf numFmtId="4" fontId="8" fillId="0" borderId="10" xfId="2" applyNumberFormat="1" applyFont="1" applyFill="1" applyBorder="1" applyAlignment="1">
      <alignment horizontal="center"/>
    </xf>
    <xf numFmtId="4" fontId="8" fillId="0" borderId="5" xfId="2" applyNumberFormat="1" applyFont="1" applyFill="1" applyBorder="1" applyAlignment="1">
      <alignment horizontal="center"/>
    </xf>
    <xf numFmtId="43" fontId="10" fillId="0" borderId="0" xfId="1" applyFont="1" applyFill="1" applyAlignment="1">
      <alignment horizontal="center"/>
    </xf>
    <xf numFmtId="17" fontId="10" fillId="0" borderId="10" xfId="0" applyNumberFormat="1" applyFont="1" applyBorder="1" applyAlignment="1">
      <alignment horizontal="center"/>
    </xf>
    <xf numFmtId="0" fontId="10" fillId="0" borderId="6" xfId="0" applyNumberFormat="1" applyFont="1" applyBorder="1" applyAlignment="1">
      <alignment horizontal="center"/>
    </xf>
    <xf numFmtId="17" fontId="10" fillId="0" borderId="11" xfId="0" applyNumberFormat="1" applyFont="1" applyBorder="1" applyAlignment="1">
      <alignment horizontal="center"/>
    </xf>
    <xf numFmtId="171" fontId="10" fillId="0" borderId="7" xfId="2" applyNumberFormat="1" applyFont="1" applyFill="1" applyBorder="1" applyAlignment="1">
      <alignment horizontal="center"/>
    </xf>
    <xf numFmtId="0" fontId="10" fillId="0" borderId="12" xfId="0" applyNumberFormat="1" applyFont="1" applyBorder="1" applyAlignment="1">
      <alignment horizontal="center"/>
    </xf>
    <xf numFmtId="17" fontId="8" fillId="0" borderId="11" xfId="0" applyNumberFormat="1" applyFont="1" applyBorder="1" applyAlignment="1">
      <alignment horizontal="center"/>
    </xf>
    <xf numFmtId="4" fontId="8" fillId="0" borderId="11" xfId="2" applyNumberFormat="1" applyFont="1" applyFill="1" applyBorder="1" applyAlignment="1">
      <alignment horizontal="center"/>
    </xf>
    <xf numFmtId="4" fontId="8" fillId="0" borderId="8" xfId="2" applyNumberFormat="1" applyFont="1" applyFill="1" applyBorder="1" applyAlignment="1">
      <alignment horizontal="center"/>
    </xf>
    <xf numFmtId="43" fontId="10" fillId="0" borderId="0" xfId="1" applyFont="1" applyFill="1"/>
    <xf numFmtId="39" fontId="10" fillId="0" borderId="9" xfId="1" applyNumberFormat="1" applyFont="1" applyFill="1" applyBorder="1" applyAlignment="1">
      <alignment horizontal="center"/>
    </xf>
    <xf numFmtId="170" fontId="10" fillId="0" borderId="9" xfId="0" applyFont="1" applyBorder="1" applyAlignment="1">
      <alignment horizontal="centerContinuous"/>
    </xf>
    <xf numFmtId="43" fontId="10" fillId="0" borderId="9" xfId="1" applyFont="1" applyFill="1" applyBorder="1" applyAlignment="1">
      <alignment horizontal="center"/>
    </xf>
    <xf numFmtId="170" fontId="10" fillId="0" borderId="0" xfId="0" applyFont="1" applyAlignment="1">
      <alignment horizontal="center"/>
    </xf>
    <xf numFmtId="0" fontId="8" fillId="0" borderId="0" xfId="20" applyAlignment="1">
      <alignment horizontal="center"/>
    </xf>
    <xf numFmtId="170" fontId="10" fillId="5" borderId="0" xfId="0" applyFont="1" applyFill="1"/>
    <xf numFmtId="170" fontId="8" fillId="0" borderId="0" xfId="0" applyFont="1"/>
    <xf numFmtId="0" fontId="10" fillId="0" borderId="0" xfId="20" applyFont="1" applyAlignment="1">
      <alignment horizontal="center"/>
    </xf>
    <xf numFmtId="170" fontId="8" fillId="0" borderId="9" xfId="0" applyFont="1" applyBorder="1" applyAlignment="1">
      <alignment horizontal="center"/>
    </xf>
    <xf numFmtId="4" fontId="8" fillId="0" borderId="0" xfId="2" applyNumberFormat="1" applyFont="1" applyFill="1" applyBorder="1" applyAlignment="1">
      <alignment horizontal="center"/>
    </xf>
    <xf numFmtId="170" fontId="10" fillId="0" borderId="0" xfId="0" applyFont="1" applyAlignment="1">
      <alignment wrapText="1"/>
    </xf>
    <xf numFmtId="175" fontId="10" fillId="0" borderId="0" xfId="0" applyNumberFormat="1" applyFont="1"/>
    <xf numFmtId="0" fontId="10" fillId="0" borderId="0" xfId="0" applyNumberFormat="1" applyFont="1"/>
    <xf numFmtId="170" fontId="10" fillId="0" borderId="10" xfId="0" applyFont="1" applyBorder="1" applyAlignment="1">
      <alignment horizontal="center"/>
    </xf>
    <xf numFmtId="170" fontId="10" fillId="0" borderId="0" xfId="0" quotePrefix="1" applyFont="1" applyAlignment="1">
      <alignment horizontal="center"/>
    </xf>
    <xf numFmtId="170" fontId="10" fillId="0" borderId="10" xfId="0" quotePrefix="1" applyFont="1" applyBorder="1" applyAlignment="1">
      <alignment horizontal="center"/>
    </xf>
    <xf numFmtId="166" fontId="10" fillId="0" borderId="0" xfId="0" applyNumberFormat="1" applyFont="1" applyAlignment="1">
      <alignment horizontal="center"/>
    </xf>
    <xf numFmtId="8" fontId="10" fillId="0" borderId="0" xfId="0" applyNumberFormat="1" applyFont="1" applyAlignment="1">
      <alignment horizontal="center"/>
    </xf>
    <xf numFmtId="166" fontId="10" fillId="0" borderId="10" xfId="0" applyNumberFormat="1" applyFont="1" applyBorder="1" applyAlignment="1">
      <alignment horizontal="center"/>
    </xf>
    <xf numFmtId="10" fontId="10" fillId="0" borderId="0" xfId="0" applyNumberFormat="1" applyFont="1" applyAlignment="1">
      <alignment horizontal="center"/>
    </xf>
    <xf numFmtId="170" fontId="10" fillId="0" borderId="0" xfId="0" applyFont="1" applyAlignment="1">
      <alignment horizontal="right"/>
    </xf>
    <xf numFmtId="39" fontId="10" fillId="0" borderId="0" xfId="0" applyNumberFormat="1" applyFont="1" applyAlignment="1">
      <alignment horizontal="center"/>
    </xf>
    <xf numFmtId="2" fontId="10" fillId="0" borderId="0" xfId="0" applyNumberFormat="1" applyFont="1" applyAlignment="1">
      <alignment horizontal="center"/>
    </xf>
    <xf numFmtId="0" fontId="10" fillId="0" borderId="0" xfId="7"/>
    <xf numFmtId="174" fontId="10" fillId="0" borderId="0" xfId="0" applyNumberFormat="1" applyFont="1"/>
    <xf numFmtId="8" fontId="26" fillId="0" borderId="0" xfId="0" applyNumberFormat="1" applyFont="1"/>
    <xf numFmtId="8" fontId="26" fillId="0" borderId="0" xfId="0" applyNumberFormat="1" applyFont="1" applyAlignment="1">
      <alignment horizontal="center"/>
    </xf>
    <xf numFmtId="170" fontId="9" fillId="0" borderId="0" xfId="0" applyFont="1" applyAlignment="1">
      <alignment horizontal="centerContinuous" wrapText="1"/>
    </xf>
    <xf numFmtId="170" fontId="10" fillId="0" borderId="15" xfId="0" applyFont="1" applyBorder="1"/>
    <xf numFmtId="170" fontId="9" fillId="6" borderId="18" xfId="0" applyFont="1" applyFill="1" applyBorder="1" applyAlignment="1">
      <alignment horizontal="centerContinuous"/>
    </xf>
    <xf numFmtId="170" fontId="10" fillId="6" borderId="19" xfId="0" applyFont="1" applyFill="1" applyBorder="1" applyAlignment="1">
      <alignment horizontal="centerContinuous"/>
    </xf>
    <xf numFmtId="170" fontId="0" fillId="0" borderId="0" xfId="0" applyAlignment="1">
      <alignment horizontal="right"/>
    </xf>
    <xf numFmtId="167" fontId="31" fillId="0" borderId="0" xfId="12" applyNumberFormat="1" applyFont="1" applyFill="1"/>
    <xf numFmtId="1" fontId="31" fillId="0" borderId="0" xfId="9" applyNumberFormat="1" applyFont="1" applyAlignment="1" applyProtection="1">
      <alignment horizontal="center"/>
      <protection locked="0"/>
    </xf>
    <xf numFmtId="170" fontId="11" fillId="0" borderId="0" xfId="8" applyFont="1" applyAlignment="1">
      <alignment horizontal="center"/>
    </xf>
    <xf numFmtId="167" fontId="33" fillId="0" borderId="0" xfId="12" applyNumberFormat="1" applyFont="1" applyFill="1"/>
    <xf numFmtId="170" fontId="0" fillId="0" borderId="0" xfId="8" applyFont="1" applyAlignment="1">
      <alignment horizontal="centerContinuous" wrapText="1"/>
    </xf>
    <xf numFmtId="9" fontId="10" fillId="0" borderId="0" xfId="12" applyFont="1" applyFill="1"/>
    <xf numFmtId="178" fontId="31" fillId="0" borderId="6" xfId="21" applyNumberFormat="1" applyFont="1" applyFill="1" applyBorder="1" applyAlignment="1">
      <alignment horizontal="center"/>
    </xf>
    <xf numFmtId="178" fontId="31" fillId="0" borderId="12" xfId="21" applyNumberFormat="1" applyFont="1" applyFill="1" applyBorder="1" applyAlignment="1">
      <alignment horizontal="center"/>
    </xf>
    <xf numFmtId="2" fontId="31" fillId="0" borderId="9" xfId="21" applyNumberFormat="1" applyFont="1" applyFill="1" applyBorder="1" applyAlignment="1">
      <alignment horizontal="center"/>
    </xf>
    <xf numFmtId="178" fontId="31" fillId="0" borderId="20" xfId="21" applyNumberFormat="1" applyFont="1" applyFill="1" applyBorder="1" applyAlignment="1">
      <alignment horizontal="center"/>
    </xf>
    <xf numFmtId="170" fontId="32" fillId="0" borderId="0" xfId="17" applyFont="1" applyAlignment="1">
      <alignment horizontal="centerContinuous"/>
    </xf>
    <xf numFmtId="170" fontId="31" fillId="0" borderId="0" xfId="17" applyFont="1" applyAlignment="1">
      <alignment horizontal="centerContinuous"/>
    </xf>
    <xf numFmtId="170" fontId="31" fillId="0" borderId="0" xfId="17" applyFont="1"/>
    <xf numFmtId="170" fontId="32" fillId="0" borderId="14" xfId="17" applyFont="1" applyBorder="1" applyAlignment="1">
      <alignment horizontal="center"/>
    </xf>
    <xf numFmtId="170" fontId="32" fillId="0" borderId="14" xfId="17" applyFont="1" applyBorder="1" applyAlignment="1">
      <alignment horizontal="center" wrapText="1"/>
    </xf>
    <xf numFmtId="170" fontId="32" fillId="0" borderId="8" xfId="17" applyFont="1" applyBorder="1" applyAlignment="1">
      <alignment horizontal="centerContinuous"/>
    </xf>
    <xf numFmtId="170" fontId="32" fillId="0" borderId="8" xfId="17" quotePrefix="1" applyFont="1" applyBorder="1" applyAlignment="1">
      <alignment horizontal="center" wrapText="1"/>
    </xf>
    <xf numFmtId="170" fontId="31" fillId="0" borderId="0" xfId="17" quotePrefix="1" applyFont="1" applyAlignment="1">
      <alignment horizontal="center"/>
    </xf>
    <xf numFmtId="0" fontId="31" fillId="0" borderId="0" xfId="17" applyNumberFormat="1" applyFont="1" applyAlignment="1">
      <alignment horizontal="center"/>
    </xf>
    <xf numFmtId="170" fontId="35" fillId="0" borderId="0" xfId="16" applyFont="1" applyAlignment="1">
      <alignment vertical="center"/>
    </xf>
    <xf numFmtId="170" fontId="34" fillId="0" borderId="0" xfId="32"/>
    <xf numFmtId="44" fontId="31" fillId="0" borderId="0" xfId="2" applyFont="1" applyFill="1"/>
    <xf numFmtId="0" fontId="31" fillId="0" borderId="0" xfId="17" applyNumberFormat="1" applyFont="1"/>
    <xf numFmtId="8" fontId="31" fillId="0" borderId="0" xfId="17" applyNumberFormat="1" applyFont="1" applyAlignment="1">
      <alignment horizontal="right"/>
    </xf>
    <xf numFmtId="170" fontId="9" fillId="0" borderId="9" xfId="0" quotePrefix="1" applyFont="1" applyBorder="1" applyAlignment="1">
      <alignment horizontal="center"/>
    </xf>
    <xf numFmtId="170" fontId="10" fillId="0" borderId="9" xfId="0" applyFont="1" applyBorder="1"/>
    <xf numFmtId="170" fontId="9" fillId="0" borderId="9" xfId="0" applyFont="1" applyBorder="1" applyAlignment="1">
      <alignment horizontal="centerContinuous"/>
    </xf>
    <xf numFmtId="170" fontId="9" fillId="0" borderId="9" xfId="0" applyFont="1" applyBorder="1" applyAlignment="1">
      <alignment horizontal="center"/>
    </xf>
    <xf numFmtId="0" fontId="8" fillId="0" borderId="0" xfId="33"/>
    <xf numFmtId="17" fontId="36" fillId="0" borderId="0" xfId="33" applyNumberFormat="1" applyFont="1"/>
    <xf numFmtId="0" fontId="8" fillId="8" borderId="0" xfId="33" applyFill="1"/>
    <xf numFmtId="170" fontId="8" fillId="0" borderId="0" xfId="34"/>
    <xf numFmtId="9" fontId="0" fillId="0" borderId="0" xfId="29" applyFont="1"/>
    <xf numFmtId="164" fontId="0" fillId="0" borderId="0" xfId="35" applyNumberFormat="1" applyFont="1"/>
    <xf numFmtId="165" fontId="0" fillId="0" borderId="0" xfId="0" applyNumberFormat="1"/>
    <xf numFmtId="170" fontId="10" fillId="0" borderId="9" xfId="0" applyFont="1" applyBorder="1" applyAlignment="1">
      <alignment horizontal="center" wrapText="1"/>
    </xf>
    <xf numFmtId="170" fontId="10" fillId="0" borderId="9" xfId="0" applyFont="1" applyBorder="1" applyAlignment="1">
      <alignment horizontal="center"/>
    </xf>
    <xf numFmtId="17" fontId="10" fillId="0" borderId="9" xfId="0" applyNumberFormat="1" applyFont="1" applyBorder="1" applyAlignment="1">
      <alignment horizontal="centerContinuous"/>
    </xf>
    <xf numFmtId="17" fontId="10" fillId="0" borderId="9" xfId="0" applyNumberFormat="1" applyFont="1" applyBorder="1" applyAlignment="1">
      <alignment horizontal="center"/>
    </xf>
    <xf numFmtId="170" fontId="0" fillId="0" borderId="0" xfId="0" quotePrefix="1" applyAlignment="1">
      <alignment horizontal="center"/>
    </xf>
    <xf numFmtId="170" fontId="0" fillId="0" borderId="10" xfId="0" quotePrefix="1" applyBorder="1" applyAlignment="1">
      <alignment horizontal="center"/>
    </xf>
    <xf numFmtId="170" fontId="10" fillId="0" borderId="10" xfId="0" applyFont="1" applyBorder="1"/>
    <xf numFmtId="170" fontId="0" fillId="0" borderId="10" xfId="0" applyBorder="1"/>
    <xf numFmtId="0" fontId="10" fillId="0" borderId="10" xfId="0" applyNumberFormat="1" applyFont="1" applyBorder="1" applyAlignment="1">
      <alignment horizontal="center"/>
    </xf>
    <xf numFmtId="8" fontId="0" fillId="0" borderId="0" xfId="0" applyNumberFormat="1" applyAlignment="1">
      <alignment horizontal="center"/>
    </xf>
    <xf numFmtId="0" fontId="10" fillId="0" borderId="11" xfId="0" applyNumberFormat="1" applyFont="1" applyBorder="1" applyAlignment="1">
      <alignment horizontal="center"/>
    </xf>
    <xf numFmtId="166" fontId="10" fillId="0" borderId="7" xfId="0" applyNumberFormat="1" applyFont="1" applyBorder="1" applyAlignment="1">
      <alignment horizontal="center"/>
    </xf>
    <xf numFmtId="8" fontId="10" fillId="0" borderId="7" xfId="0" applyNumberFormat="1" applyFont="1" applyBorder="1" applyAlignment="1">
      <alignment horizontal="center"/>
    </xf>
    <xf numFmtId="166" fontId="10" fillId="0" borderId="11" xfId="0" applyNumberFormat="1" applyFont="1" applyBorder="1" applyAlignment="1">
      <alignment horizontal="center"/>
    </xf>
    <xf numFmtId="170" fontId="10" fillId="0" borderId="18" xfId="0" quotePrefix="1" applyFont="1" applyBorder="1" applyAlignment="1">
      <alignment horizontal="centerContinuous"/>
    </xf>
    <xf numFmtId="170" fontId="10" fillId="0" borderId="18" xfId="0" applyFont="1" applyBorder="1"/>
    <xf numFmtId="170" fontId="10" fillId="0" borderId="19" xfId="0" quotePrefix="1" applyFont="1" applyBorder="1" applyAlignment="1">
      <alignment horizontal="centerContinuous"/>
    </xf>
    <xf numFmtId="170" fontId="10" fillId="0" borderId="19" xfId="0" quotePrefix="1" applyFont="1" applyBorder="1" applyAlignment="1">
      <alignment horizontal="center"/>
    </xf>
    <xf numFmtId="170" fontId="26" fillId="7" borderId="0" xfId="0" applyFont="1" applyFill="1" applyAlignment="1">
      <alignment horizontal="center"/>
    </xf>
    <xf numFmtId="170" fontId="26" fillId="7" borderId="0" xfId="0" applyFont="1" applyFill="1"/>
    <xf numFmtId="10" fontId="26" fillId="7" borderId="0" xfId="12" applyNumberFormat="1" applyFont="1" applyFill="1" applyAlignment="1">
      <alignment horizontal="center"/>
    </xf>
    <xf numFmtId="9" fontId="26" fillId="7" borderId="0" xfId="12" applyFont="1" applyFill="1"/>
    <xf numFmtId="170" fontId="27" fillId="7" borderId="0" xfId="0" applyFont="1" applyFill="1" applyAlignment="1">
      <alignment horizontal="centerContinuous"/>
    </xf>
    <xf numFmtId="170" fontId="26" fillId="7" borderId="7" xfId="0" applyFont="1" applyFill="1" applyBorder="1"/>
    <xf numFmtId="170" fontId="28" fillId="7" borderId="0" xfId="0" applyFont="1" applyFill="1" applyAlignment="1">
      <alignment horizontal="center"/>
    </xf>
    <xf numFmtId="170" fontId="28" fillId="7" borderId="0" xfId="0" applyFont="1" applyFill="1" applyAlignment="1">
      <alignment horizontal="left" vertical="top"/>
    </xf>
    <xf numFmtId="175" fontId="26" fillId="7" borderId="0" xfId="0" applyNumberFormat="1" applyFont="1" applyFill="1"/>
    <xf numFmtId="174" fontId="26" fillId="7" borderId="0" xfId="0" applyNumberFormat="1" applyFont="1" applyFill="1"/>
    <xf numFmtId="169" fontId="26" fillId="7" borderId="0" xfId="2" applyNumberFormat="1" applyFont="1" applyFill="1"/>
    <xf numFmtId="170" fontId="26" fillId="7" borderId="0" xfId="0" applyFont="1" applyFill="1" applyAlignment="1">
      <alignment horizontal="right"/>
    </xf>
    <xf numFmtId="164" fontId="26" fillId="7" borderId="0" xfId="1" applyNumberFormat="1" applyFont="1" applyFill="1" applyAlignment="1">
      <alignment horizontal="right"/>
    </xf>
    <xf numFmtId="173" fontId="26" fillId="7" borderId="0" xfId="0" applyNumberFormat="1" applyFont="1" applyFill="1" applyAlignment="1">
      <alignment horizontal="right"/>
    </xf>
    <xf numFmtId="164" fontId="26" fillId="7" borderId="0" xfId="1" applyNumberFormat="1" applyFont="1" applyFill="1" applyBorder="1" applyAlignment="1">
      <alignment horizontal="right"/>
    </xf>
    <xf numFmtId="176" fontId="26" fillId="7" borderId="0" xfId="1" applyNumberFormat="1" applyFont="1" applyFill="1" applyBorder="1" applyAlignment="1">
      <alignment horizontal="left" vertical="top"/>
    </xf>
    <xf numFmtId="169" fontId="26" fillId="7" borderId="0" xfId="2" applyNumberFormat="1" applyFont="1" applyFill="1" applyBorder="1" applyAlignment="1">
      <alignment horizontal="left" vertical="top"/>
    </xf>
    <xf numFmtId="170" fontId="26" fillId="7" borderId="0" xfId="0" applyFont="1" applyFill="1" applyAlignment="1">
      <alignment horizontal="left" vertical="top"/>
    </xf>
    <xf numFmtId="173" fontId="26" fillId="7" borderId="0" xfId="0" applyNumberFormat="1" applyFont="1" applyFill="1" applyAlignment="1">
      <alignment horizontal="left" vertical="top"/>
    </xf>
    <xf numFmtId="179" fontId="26" fillId="7" borderId="0" xfId="1" applyNumberFormat="1" applyFont="1" applyFill="1" applyAlignment="1">
      <alignment horizontal="left" vertical="top"/>
    </xf>
    <xf numFmtId="10" fontId="26" fillId="7" borderId="0" xfId="12" applyNumberFormat="1" applyFont="1" applyFill="1" applyAlignment="1">
      <alignment horizontal="right"/>
    </xf>
    <xf numFmtId="164" fontId="26" fillId="7" borderId="0" xfId="1" applyNumberFormat="1" applyFont="1" applyFill="1" applyBorder="1" applyAlignment="1">
      <alignment horizontal="right" vertical="center"/>
    </xf>
    <xf numFmtId="176" fontId="26" fillId="7" borderId="0" xfId="1" applyNumberFormat="1" applyFont="1" applyFill="1" applyBorder="1" applyAlignment="1">
      <alignment horizontal="left" vertical="center"/>
    </xf>
    <xf numFmtId="176" fontId="26" fillId="7" borderId="0" xfId="1" applyNumberFormat="1" applyFont="1" applyFill="1" applyBorder="1" applyAlignment="1">
      <alignment horizontal="right" vertical="center"/>
    </xf>
    <xf numFmtId="180" fontId="26" fillId="7" borderId="0" xfId="2" applyNumberFormat="1" applyFont="1" applyFill="1"/>
    <xf numFmtId="176" fontId="26" fillId="7" borderId="0" xfId="0" applyNumberFormat="1" applyFont="1" applyFill="1"/>
    <xf numFmtId="170" fontId="0" fillId="0" borderId="0" xfId="0" applyAlignment="1">
      <alignment horizontal="left"/>
    </xf>
    <xf numFmtId="4" fontId="8" fillId="0" borderId="14" xfId="2" applyNumberFormat="1" applyFont="1" applyFill="1" applyBorder="1" applyAlignment="1">
      <alignment horizontal="center"/>
    </xf>
    <xf numFmtId="4" fontId="8" fillId="0" borderId="15" xfId="2" applyNumberFormat="1" applyFont="1" applyFill="1" applyBorder="1" applyAlignment="1">
      <alignment horizontal="center"/>
    </xf>
    <xf numFmtId="0" fontId="10" fillId="0" borderId="16" xfId="0" applyNumberFormat="1" applyFont="1" applyBorder="1" applyAlignment="1">
      <alignment horizontal="center"/>
    </xf>
    <xf numFmtId="17" fontId="10" fillId="0" borderId="15" xfId="0" applyNumberFormat="1" applyFont="1" applyBorder="1" applyAlignment="1">
      <alignment horizontal="center"/>
    </xf>
    <xf numFmtId="0" fontId="30" fillId="0" borderId="18" xfId="20" applyFont="1" applyBorder="1" applyAlignment="1">
      <alignment horizontal="center"/>
    </xf>
    <xf numFmtId="170" fontId="9" fillId="0" borderId="20" xfId="0" applyFont="1" applyBorder="1" applyAlignment="1">
      <alignment horizontal="center"/>
    </xf>
    <xf numFmtId="170" fontId="9" fillId="0" borderId="19" xfId="0" applyFont="1" applyBorder="1" applyAlignment="1">
      <alignment horizontal="center"/>
    </xf>
    <xf numFmtId="170" fontId="9" fillId="0" borderId="18" xfId="0" applyFont="1" applyBorder="1" applyAlignment="1">
      <alignment horizontal="center"/>
    </xf>
    <xf numFmtId="0" fontId="29" fillId="0" borderId="15" xfId="20" applyFont="1" applyBorder="1" applyAlignment="1">
      <alignment horizontal="center"/>
    </xf>
    <xf numFmtId="170" fontId="17" fillId="0" borderId="16" xfId="0" applyFont="1" applyBorder="1" applyAlignment="1">
      <alignment horizontal="centerContinuous"/>
    </xf>
    <xf numFmtId="170" fontId="17" fillId="0" borderId="17" xfId="0" applyFont="1" applyBorder="1" applyAlignment="1">
      <alignment horizontal="centerContinuous"/>
    </xf>
    <xf numFmtId="170" fontId="10" fillId="0" borderId="9" xfId="0" quotePrefix="1" applyFont="1" applyBorder="1" applyAlignment="1">
      <alignment horizontal="centerContinuous"/>
    </xf>
    <xf numFmtId="8" fontId="0" fillId="0" borderId="6" xfId="0" applyNumberFormat="1" applyBorder="1" applyAlignment="1">
      <alignment horizontal="center"/>
    </xf>
    <xf numFmtId="170" fontId="10" fillId="0" borderId="6" xfId="0" quotePrefix="1" applyFont="1" applyBorder="1" applyAlignment="1">
      <alignment horizontal="center"/>
    </xf>
    <xf numFmtId="8" fontId="10" fillId="0" borderId="6" xfId="0" applyNumberFormat="1" applyFont="1" applyBorder="1" applyAlignment="1">
      <alignment horizontal="center"/>
    </xf>
    <xf numFmtId="8" fontId="10" fillId="0" borderId="12" xfId="0" applyNumberFormat="1" applyFont="1" applyBorder="1" applyAlignment="1">
      <alignment horizontal="center"/>
    </xf>
    <xf numFmtId="9" fontId="0" fillId="0" borderId="0" xfId="41" applyFont="1"/>
    <xf numFmtId="170" fontId="38" fillId="0" borderId="0" xfId="17" applyFont="1"/>
    <xf numFmtId="170" fontId="9" fillId="0" borderId="0" xfId="17" applyFont="1"/>
    <xf numFmtId="181" fontId="10" fillId="0" borderId="7" xfId="0" applyNumberFormat="1" applyFont="1" applyBorder="1" applyAlignment="1">
      <alignment horizontal="center"/>
    </xf>
    <xf numFmtId="0" fontId="32" fillId="0" borderId="8" xfId="27" applyNumberFormat="1" applyFont="1" applyBorder="1" applyAlignment="1">
      <alignment horizontal="centerContinuous" wrapText="1"/>
    </xf>
    <xf numFmtId="170" fontId="32" fillId="0" borderId="21" xfId="27" applyFont="1" applyBorder="1" applyAlignment="1">
      <alignment horizontal="centerContinuous" wrapText="1"/>
    </xf>
    <xf numFmtId="170" fontId="32" fillId="0" borderId="8" xfId="27" applyFont="1" applyBorder="1" applyAlignment="1">
      <alignment horizontal="centerContinuous" wrapText="1"/>
    </xf>
    <xf numFmtId="172" fontId="32" fillId="0" borderId="8" xfId="27" applyNumberFormat="1" applyFont="1" applyBorder="1" applyAlignment="1">
      <alignment horizontal="centerContinuous" wrapText="1"/>
    </xf>
    <xf numFmtId="178" fontId="31" fillId="0" borderId="16" xfId="27" applyNumberFormat="1" applyFont="1" applyBorder="1"/>
    <xf numFmtId="0" fontId="31" fillId="0" borderId="21" xfId="27" applyNumberFormat="1" applyFont="1" applyBorder="1" applyAlignment="1">
      <alignment horizontal="center"/>
    </xf>
    <xf numFmtId="43" fontId="31" fillId="0" borderId="21" xfId="21" applyFont="1" applyFill="1" applyBorder="1"/>
    <xf numFmtId="2" fontId="31" fillId="0" borderId="21" xfId="27" applyNumberFormat="1" applyFont="1" applyBorder="1" applyAlignment="1">
      <alignment horizontal="center"/>
    </xf>
    <xf numFmtId="167" fontId="1" fillId="0" borderId="21" xfId="12" applyNumberFormat="1" applyFont="1" applyFill="1" applyBorder="1" applyAlignment="1">
      <alignment horizontal="center"/>
    </xf>
    <xf numFmtId="0" fontId="31" fillId="0" borderId="8" xfId="27" applyNumberFormat="1" applyFont="1" applyBorder="1" applyAlignment="1">
      <alignment horizontal="center"/>
    </xf>
    <xf numFmtId="2" fontId="31" fillId="0" borderId="8" xfId="27" applyNumberFormat="1" applyFont="1" applyBorder="1" applyAlignment="1">
      <alignment horizontal="center"/>
    </xf>
    <xf numFmtId="170" fontId="31" fillId="0" borderId="0" xfId="0" applyFont="1"/>
    <xf numFmtId="170" fontId="31" fillId="0" borderId="0" xfId="27" applyFont="1"/>
    <xf numFmtId="172" fontId="31" fillId="0" borderId="0" xfId="0" applyNumberFormat="1" applyFont="1"/>
    <xf numFmtId="172" fontId="31" fillId="0" borderId="20" xfId="0" applyNumberFormat="1" applyFont="1" applyBorder="1" applyAlignment="1">
      <alignment horizontal="center"/>
    </xf>
    <xf numFmtId="170" fontId="39" fillId="0" borderId="0" xfId="0" applyFont="1"/>
    <xf numFmtId="8" fontId="10" fillId="0" borderId="0" xfId="17" applyNumberFormat="1" applyAlignment="1">
      <alignment horizontal="center"/>
    </xf>
    <xf numFmtId="172" fontId="10" fillId="0" borderId="0" xfId="12" applyNumberFormat="1" applyFont="1" applyFill="1"/>
    <xf numFmtId="170" fontId="0" fillId="0" borderId="0" xfId="0" applyAlignment="1">
      <alignment horizontal="center"/>
    </xf>
    <xf numFmtId="183" fontId="26" fillId="0" borderId="0" xfId="0" applyNumberFormat="1" applyFont="1" applyAlignment="1">
      <alignment horizontal="center"/>
    </xf>
    <xf numFmtId="184" fontId="26" fillId="0" borderId="0" xfId="0" applyNumberFormat="1" applyFont="1" applyAlignment="1">
      <alignment horizontal="center"/>
    </xf>
    <xf numFmtId="170" fontId="0" fillId="0" borderId="0" xfId="0" quotePrefix="1"/>
    <xf numFmtId="0" fontId="0" fillId="0" borderId="0" xfId="17" applyNumberFormat="1" applyFont="1"/>
    <xf numFmtId="7" fontId="10" fillId="0" borderId="0" xfId="2" applyNumberFormat="1" applyFont="1" applyFill="1"/>
    <xf numFmtId="170" fontId="10" fillId="0" borderId="0" xfId="0" quotePrefix="1" applyFont="1"/>
    <xf numFmtId="0" fontId="10" fillId="0" borderId="0" xfId="17" applyNumberFormat="1"/>
    <xf numFmtId="170" fontId="12" fillId="12" borderId="21" xfId="0" applyFont="1" applyFill="1" applyBorder="1" applyAlignment="1">
      <alignment horizontal="center"/>
    </xf>
    <xf numFmtId="170" fontId="39" fillId="0" borderId="0" xfId="0" applyFont="1" applyAlignment="1">
      <alignment horizontal="left" indent="1"/>
    </xf>
    <xf numFmtId="170" fontId="40" fillId="0" borderId="0" xfId="0" applyFont="1" applyAlignment="1">
      <alignment horizontal="left" indent="2"/>
    </xf>
    <xf numFmtId="170" fontId="39" fillId="0" borderId="13" xfId="0" applyFont="1" applyBorder="1" applyAlignment="1">
      <alignment horizontal="left" indent="1"/>
    </xf>
    <xf numFmtId="170" fontId="39" fillId="10" borderId="22" xfId="0" applyFont="1" applyFill="1" applyBorder="1" applyAlignment="1">
      <alignment horizontal="left"/>
    </xf>
    <xf numFmtId="170" fontId="39" fillId="0" borderId="0" xfId="0" applyFont="1" applyAlignment="1">
      <alignment horizontal="left"/>
    </xf>
    <xf numFmtId="170" fontId="41" fillId="11" borderId="24" xfId="0" applyFont="1" applyFill="1" applyBorder="1"/>
    <xf numFmtId="170" fontId="41" fillId="9" borderId="9" xfId="0" applyFont="1" applyFill="1" applyBorder="1"/>
    <xf numFmtId="170" fontId="41" fillId="11" borderId="0" xfId="0" applyFont="1" applyFill="1"/>
    <xf numFmtId="170" fontId="39" fillId="9" borderId="0" xfId="0" applyFont="1" applyFill="1"/>
    <xf numFmtId="170" fontId="39" fillId="0" borderId="27" xfId="0" applyFont="1" applyBorder="1" applyAlignment="1">
      <alignment horizontal="left"/>
    </xf>
    <xf numFmtId="170" fontId="39" fillId="0" borderId="27" xfId="0" applyFont="1" applyBorder="1"/>
    <xf numFmtId="0" fontId="41" fillId="9" borderId="0" xfId="0" applyNumberFormat="1" applyFont="1" applyFill="1" applyAlignment="1">
      <alignment horizontal="center"/>
    </xf>
    <xf numFmtId="182" fontId="39" fillId="14" borderId="25" xfId="0" applyNumberFormat="1" applyFont="1" applyFill="1" applyBorder="1"/>
    <xf numFmtId="182" fontId="39" fillId="14" borderId="0" xfId="0" applyNumberFormat="1" applyFont="1" applyFill="1"/>
    <xf numFmtId="182" fontId="39" fillId="0" borderId="25" xfId="0" applyNumberFormat="1" applyFont="1" applyBorder="1"/>
    <xf numFmtId="182" fontId="39" fillId="0" borderId="0" xfId="0" applyNumberFormat="1" applyFont="1"/>
    <xf numFmtId="182" fontId="40" fillId="0" borderId="25" xfId="0" applyNumberFormat="1" applyFont="1" applyBorder="1"/>
    <xf numFmtId="182" fontId="40" fillId="0" borderId="0" xfId="0" applyNumberFormat="1" applyFont="1"/>
    <xf numFmtId="182" fontId="39" fillId="0" borderId="13" xfId="0" applyNumberFormat="1" applyFont="1" applyBorder="1"/>
    <xf numFmtId="182" fontId="39" fillId="10" borderId="26" xfId="0" applyNumberFormat="1" applyFont="1" applyFill="1" applyBorder="1"/>
    <xf numFmtId="182" fontId="39" fillId="10" borderId="23" xfId="0" applyNumberFormat="1" applyFont="1" applyFill="1" applyBorder="1"/>
    <xf numFmtId="182" fontId="39" fillId="0" borderId="28" xfId="0" applyNumberFormat="1" applyFont="1" applyBorder="1"/>
    <xf numFmtId="182" fontId="0" fillId="0" borderId="0" xfId="0" applyNumberFormat="1"/>
    <xf numFmtId="185" fontId="40" fillId="0" borderId="0" xfId="0" applyNumberFormat="1" applyFont="1"/>
    <xf numFmtId="186" fontId="40" fillId="0" borderId="25" xfId="0" applyNumberFormat="1" applyFont="1" applyBorder="1"/>
    <xf numFmtId="170" fontId="41" fillId="13" borderId="24" xfId="0" applyFont="1" applyFill="1" applyBorder="1"/>
    <xf numFmtId="170" fontId="42" fillId="13" borderId="24" xfId="0" applyFont="1" applyFill="1" applyBorder="1"/>
    <xf numFmtId="187" fontId="39" fillId="14" borderId="25" xfId="0" applyNumberFormat="1" applyFont="1" applyFill="1" applyBorder="1"/>
    <xf numFmtId="187" fontId="39" fillId="14" borderId="0" xfId="0" applyNumberFormat="1" applyFont="1" applyFill="1"/>
    <xf numFmtId="187" fontId="39" fillId="0" borderId="25" xfId="0" applyNumberFormat="1" applyFont="1" applyBorder="1"/>
    <xf numFmtId="187" fontId="39" fillId="0" borderId="0" xfId="0" applyNumberFormat="1" applyFont="1"/>
    <xf numFmtId="187" fontId="40" fillId="0" borderId="25" xfId="0" applyNumberFormat="1" applyFont="1" applyBorder="1"/>
    <xf numFmtId="187" fontId="40" fillId="0" borderId="0" xfId="0" applyNumberFormat="1" applyFont="1"/>
    <xf numFmtId="170" fontId="12" fillId="12" borderId="10" xfId="0" applyFont="1" applyFill="1" applyBorder="1" applyAlignment="1">
      <alignment horizontal="center"/>
    </xf>
    <xf numFmtId="170" fontId="12" fillId="12" borderId="0" xfId="0" applyFont="1" applyFill="1" applyAlignment="1">
      <alignment horizontal="center"/>
    </xf>
    <xf numFmtId="182" fontId="39" fillId="10" borderId="22" xfId="0" applyNumberFormat="1" applyFont="1" applyFill="1" applyBorder="1"/>
    <xf numFmtId="4" fontId="8" fillId="6" borderId="0" xfId="2" applyNumberFormat="1" applyFont="1" applyFill="1" applyBorder="1" applyAlignment="1">
      <alignment horizontal="center"/>
    </xf>
    <xf numFmtId="188" fontId="40" fillId="6" borderId="25" xfId="0" applyNumberFormat="1" applyFont="1" applyFill="1" applyBorder="1"/>
    <xf numFmtId="186" fontId="40" fillId="6" borderId="25" xfId="0" applyNumberFormat="1" applyFont="1" applyFill="1" applyBorder="1"/>
    <xf numFmtId="167" fontId="0" fillId="0" borderId="0" xfId="0" applyNumberFormat="1"/>
    <xf numFmtId="0" fontId="31" fillId="0" borderId="14" xfId="27" applyNumberFormat="1" applyFont="1" applyBorder="1" applyAlignment="1">
      <alignment horizontal="left" vertical="top"/>
    </xf>
    <xf numFmtId="43" fontId="31" fillId="0" borderId="15" xfId="21" applyFont="1" applyFill="1" applyBorder="1" applyAlignment="1">
      <alignment horizontal="left" wrapText="1"/>
    </xf>
    <xf numFmtId="43" fontId="31" fillId="0" borderId="11" xfId="21" applyFont="1" applyFill="1" applyBorder="1" applyAlignment="1">
      <alignment wrapText="1"/>
    </xf>
    <xf numFmtId="9" fontId="31" fillId="0" borderId="8" xfId="42" applyFont="1" applyFill="1" applyBorder="1" applyAlignment="1">
      <alignment horizontal="center"/>
    </xf>
    <xf numFmtId="170" fontId="12" fillId="0" borderId="0" xfId="0" applyFont="1"/>
    <xf numFmtId="170" fontId="15" fillId="0" borderId="12" xfId="0" applyFont="1" applyBorder="1"/>
    <xf numFmtId="170" fontId="9" fillId="0" borderId="8" xfId="0" applyFont="1" applyBorder="1"/>
    <xf numFmtId="1" fontId="9" fillId="0" borderId="8" xfId="0" applyNumberFormat="1" applyFont="1" applyBorder="1" applyAlignment="1">
      <alignment horizontal="center"/>
    </xf>
    <xf numFmtId="170" fontId="10" fillId="0" borderId="29" xfId="0" applyFont="1" applyBorder="1"/>
    <xf numFmtId="164" fontId="10" fillId="0" borderId="9" xfId="1" applyNumberFormat="1" applyFont="1" applyFill="1" applyBorder="1" applyAlignment="1">
      <alignment horizontal="center"/>
    </xf>
    <xf numFmtId="170" fontId="10" fillId="0" borderId="30" xfId="0" applyFont="1" applyBorder="1"/>
    <xf numFmtId="164" fontId="10" fillId="0" borderId="31" xfId="1" applyNumberFormat="1" applyFont="1" applyFill="1" applyBorder="1" applyAlignment="1">
      <alignment horizontal="center"/>
    </xf>
    <xf numFmtId="170" fontId="10" fillId="0" borderId="32" xfId="0" applyFont="1" applyBorder="1"/>
    <xf numFmtId="170" fontId="10" fillId="0" borderId="33" xfId="0" applyFont="1" applyBorder="1"/>
    <xf numFmtId="170" fontId="9" fillId="0" borderId="34" xfId="0" applyFont="1" applyBorder="1"/>
    <xf numFmtId="170" fontId="9" fillId="0" borderId="35" xfId="0" applyFont="1" applyBorder="1"/>
    <xf numFmtId="170" fontId="15" fillId="0" borderId="31" xfId="0" applyFont="1" applyBorder="1"/>
    <xf numFmtId="164" fontId="10" fillId="0" borderId="0" xfId="1" applyNumberFormat="1" applyFont="1" applyFill="1" applyBorder="1" applyAlignment="1">
      <alignment horizontal="center"/>
    </xf>
    <xf numFmtId="170" fontId="43" fillId="0" borderId="0" xfId="43"/>
    <xf numFmtId="170" fontId="15" fillId="0" borderId="36" xfId="0" applyFont="1" applyBorder="1"/>
    <xf numFmtId="170" fontId="9" fillId="0" borderId="36" xfId="0" applyFont="1" applyBorder="1"/>
    <xf numFmtId="170" fontId="9" fillId="0" borderId="31" xfId="0" applyFont="1" applyBorder="1" applyAlignment="1">
      <alignment horizontal="centerContinuous"/>
    </xf>
    <xf numFmtId="170" fontId="9" fillId="0" borderId="37" xfId="0" applyFont="1" applyBorder="1" applyAlignment="1">
      <alignment horizontal="centerContinuous"/>
    </xf>
    <xf numFmtId="170" fontId="9" fillId="0" borderId="37" xfId="0" applyFont="1" applyBorder="1"/>
    <xf numFmtId="170" fontId="9" fillId="0" borderId="7" xfId="0" applyFont="1" applyBorder="1" applyAlignment="1">
      <alignment horizontal="center"/>
    </xf>
    <xf numFmtId="170" fontId="11" fillId="0" borderId="0" xfId="10" applyFont="1" applyAlignment="1">
      <alignment horizontal="center" vertical="top"/>
    </xf>
    <xf numFmtId="0" fontId="32" fillId="0" borderId="18" xfId="28" applyFont="1" applyBorder="1" applyAlignment="1">
      <alignment horizontal="center"/>
    </xf>
    <xf numFmtId="0" fontId="32" fillId="0" borderId="19" xfId="28" applyFont="1" applyBorder="1" applyAlignment="1">
      <alignment horizontal="center"/>
    </xf>
    <xf numFmtId="43" fontId="31" fillId="0" borderId="18" xfId="21" applyFont="1" applyFill="1" applyBorder="1" applyAlignment="1">
      <alignment horizontal="left"/>
    </xf>
    <xf numFmtId="43" fontId="31" fillId="0" borderId="20" xfId="21" applyFont="1" applyFill="1" applyBorder="1" applyAlignment="1">
      <alignment horizontal="left"/>
    </xf>
    <xf numFmtId="170" fontId="9" fillId="0" borderId="7" xfId="0" applyFont="1" applyBorder="1" applyAlignment="1">
      <alignment horizontal="center"/>
    </xf>
    <xf numFmtId="170" fontId="0" fillId="0" borderId="0" xfId="8" applyFont="1" applyAlignment="1">
      <alignment horizontal="left" wrapText="1"/>
    </xf>
    <xf numFmtId="170" fontId="11" fillId="0" borderId="0" xfId="8" applyFont="1" applyAlignment="1">
      <alignment horizontal="center"/>
    </xf>
  </cellXfs>
  <cellStyles count="44">
    <cellStyle name="_x0013_" xfId="19" xr:uid="{00000000-0005-0000-0000-000000000000}"/>
    <cellStyle name="Comma" xfId="1" builtinId="3"/>
    <cellStyle name="Comma 10" xfId="35" xr:uid="{00000000-0005-0000-0000-000002000000}"/>
    <cellStyle name="Comma 2" xfId="40" xr:uid="{00000000-0005-0000-0000-000003000000}"/>
    <cellStyle name="Comma 2 2" xfId="21" xr:uid="{00000000-0005-0000-0000-000004000000}"/>
    <cellStyle name="Currency" xfId="2" builtinId="4"/>
    <cellStyle name="Currency 2" xfId="23" xr:uid="{00000000-0005-0000-0000-000006000000}"/>
    <cellStyle name="Currency No Comma" xfId="3" xr:uid="{00000000-0005-0000-0000-000007000000}"/>
    <cellStyle name="Hyperlink" xfId="43" builtinId="8"/>
    <cellStyle name="Hyperlink 2" xfId="32" xr:uid="{00000000-0005-0000-0000-000008000000}"/>
    <cellStyle name="Hyperlink 3" xfId="37" xr:uid="{00000000-0005-0000-0000-000009000000}"/>
    <cellStyle name="Input" xfId="4" builtinId="20" customBuiltin="1"/>
    <cellStyle name="MCP" xfId="5" xr:uid="{00000000-0005-0000-0000-00000B000000}"/>
    <cellStyle name="noninput" xfId="6" xr:uid="{00000000-0005-0000-0000-00000C000000}"/>
    <cellStyle name="Normal" xfId="0" builtinId="0" customBuiltin="1"/>
    <cellStyle name="Normal 176" xfId="18" xr:uid="{00000000-0005-0000-0000-00000E000000}"/>
    <cellStyle name="Normal 176 2" xfId="22" xr:uid="{00000000-0005-0000-0000-00000F000000}"/>
    <cellStyle name="Normal 2" xfId="16" xr:uid="{00000000-0005-0000-0000-000010000000}"/>
    <cellStyle name="Normal 2 2" xfId="25" xr:uid="{00000000-0005-0000-0000-000011000000}"/>
    <cellStyle name="Normal 3" xfId="26" xr:uid="{00000000-0005-0000-0000-000012000000}"/>
    <cellStyle name="Normal 3 2" xfId="36" xr:uid="{00000000-0005-0000-0000-000013000000}"/>
    <cellStyle name="Normal 4" xfId="39" xr:uid="{00000000-0005-0000-0000-000014000000}"/>
    <cellStyle name="Normal 5" xfId="24" xr:uid="{00000000-0005-0000-0000-000015000000}"/>
    <cellStyle name="Normal 5 2" xfId="34" xr:uid="{00000000-0005-0000-0000-000016000000}"/>
    <cellStyle name="Normal_CG27 Official Base Case 03-31-05" xfId="20" xr:uid="{00000000-0005-0000-0000-000017000000}"/>
    <cellStyle name="Normal_on off peak hours_1" xfId="33" xr:uid="{00000000-0005-0000-0000-000018000000}"/>
    <cellStyle name="Normal_Or AC 2003 - AC Study - Fuel Indexed Avoided Costs" xfId="7" xr:uid="{00000000-0005-0000-0000-000019000000}"/>
    <cellStyle name="Normal_OR AC Sch 37 - AC  Study (Gold) _2009 06 19" xfId="8" xr:uid="{00000000-0005-0000-0000-00001A000000}"/>
    <cellStyle name="Normal_Thermal Attributes" xfId="28" xr:uid="{00000000-0005-0000-0000-00001B000000}"/>
    <cellStyle name="Normal_T-INF-10-15-04-TEMPLATE" xfId="9" xr:uid="{00000000-0005-0000-0000-00001C000000}"/>
    <cellStyle name="Normal_UT AC Sch 37 - L&amp;R  Study (Gold) _2009 06 19" xfId="10" xr:uid="{00000000-0005-0000-0000-00001D000000}"/>
    <cellStyle name="Normal_WY AC 2009 - AC Study (Wind Study)_2009 08 11" xfId="17" xr:uid="{00000000-0005-0000-0000-00001E000000}"/>
    <cellStyle name="Normal_xAC_Demand (Avoided Cost)" xfId="27" xr:uid="{00000000-0005-0000-0000-00001F000000}"/>
    <cellStyle name="Password" xfId="11" xr:uid="{00000000-0005-0000-0000-000020000000}"/>
    <cellStyle name="Percent" xfId="12" builtinId="5"/>
    <cellStyle name="Percent 2" xfId="29" xr:uid="{00000000-0005-0000-0000-000022000000}"/>
    <cellStyle name="Percent 3" xfId="30" xr:uid="{00000000-0005-0000-0000-000023000000}"/>
    <cellStyle name="Percent 3 2" xfId="38" xr:uid="{00000000-0005-0000-0000-000024000000}"/>
    <cellStyle name="Percent 3 2 2 2" xfId="31" xr:uid="{00000000-0005-0000-0000-000025000000}"/>
    <cellStyle name="Percent 3 2 2 2 2" xfId="42" xr:uid="{EEAE8F7D-CDF5-4847-AA27-9B34016CCF4D}"/>
    <cellStyle name="Percent 3 3" xfId="41" xr:uid="{00000000-0005-0000-0000-000026000000}"/>
    <cellStyle name="Unprot" xfId="13" xr:uid="{00000000-0005-0000-0000-000027000000}"/>
    <cellStyle name="Unprot$" xfId="14" xr:uid="{00000000-0005-0000-0000-000028000000}"/>
    <cellStyle name="Unprotect" xfId="15" xr:uid="{00000000-0005-0000-0000-000029000000}"/>
  </cellStyles>
  <dxfs count="6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x%20Commission%20Approved\UT_24-035-T06%20RMP%20Appendix%201%20-%20AC%20Study%20Summary%2005-15-24%20(w%20levelization).xlsx" TargetMode="External"/><Relationship Id="rId1" Type="http://schemas.openxmlformats.org/officeDocument/2006/relationships/externalLinkPath" Target="file:///Z:\x%20Commission%20Approved\UT_24-035-T06%20RMP%20Appendix%201%20-%20AC%20Study%20Summary%2005-15-24%20(w%20levelization)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Avoided%20Cost%20-%202025\08%20-%20UTSch37%20IRP2025DrafIRPDec\Report\Sch%2037%20filing%20Package\25-035-T03%20RMP%20Wkpr%20-%20QF%20Pricing%20Detail-Thermal%2004-30-25.xlsx" TargetMode="External"/><Relationship Id="rId1" Type="http://schemas.openxmlformats.org/officeDocument/2006/relationships/externalLinkPath" Target="file:///Z:\Avoided%20Cost%20-%202025\08%20-%20UTSch37%20IRP2025DrafIRPDec\Report\Sch%2037%20filing%20Package\25-035-T03%20RMP%20Wkpr%20-%20QF%20Pricing%20Detail-Thermal%2004-30-25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Avoided%20Cost%20-%202025\08%20-%20UTSch37%20IRP2025DrafIRPDec\Report\Sch%2037%20filing%20Package\25-035-T03%20RMP%20Wkpr%20-%20QF%20Pricing%20Detail-Solar%20F%2004-30-25%20.xlsx" TargetMode="External"/><Relationship Id="rId1" Type="http://schemas.openxmlformats.org/officeDocument/2006/relationships/externalLinkPath" Target="file:///Z:\Avoided%20Cost%20-%202025\08%20-%20UTSch37%20IRP2025DrafIRPDec\Report\Sch%2037%20filing%20Package\25-035-T03%20RMP%20Wkpr%20-%20QF%20Pricing%20Detail-Solar%20F%2004-30-25%20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Avoided%20Cost%20-%202025\08%20-%20UTSch37%20IRP2025DrafIRPDec\Report\Sch%2037%20filing%20Package\25-035-T03%20RMP%20Wkpr%20-%20QF%20Pricing%20Detail-Solar%20T%2004-30-25.xlsx" TargetMode="External"/><Relationship Id="rId1" Type="http://schemas.openxmlformats.org/officeDocument/2006/relationships/externalLinkPath" Target="file:///Z:\Avoided%20Cost%20-%202025\08%20-%20UTSch37%20IRP2025DrafIRPDec\Report\Sch%2037%20filing%20Package\25-035-T03%20RMP%20Wkpr%20-%20QF%20Pricing%20Detail-Solar%20T%2004-30-25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Avoided%20Cost%20-%202025\08%20-%20UTSch37%20IRP2025DrafIRPDec\Report\Sch%2037%20filing%20Package\25-035-T03%20RMP%20Wkpr%20-%20QF%20Pricing%20Detail-Wind%2004-30-25.xlsx" TargetMode="External"/><Relationship Id="rId1" Type="http://schemas.openxmlformats.org/officeDocument/2006/relationships/externalLinkPath" Target="file:///Z:\Avoided%20Cost%20-%202025\08%20-%20UTSch37%20IRP2025DrafIRPDec\Report\Sch%2037%20filing%20Package\25-035-T03%20RMP%20Wkpr%20-%20QF%20Pricing%20Detail-Wind%2004-30-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 1 Preferred Portfolio"/>
      <sheetName val="Table 2 QF Signed Queue"/>
      <sheetName val="Table 3 Comparison"/>
      <sheetName val="Table 4 Gas Price"/>
      <sheetName val=" Table 5 Electric Price"/>
      <sheetName val="Table6 Integration"/>
      <sheetName val="--- Do Not Print ---&gt;"/>
      <sheetName val="Tariff Page"/>
      <sheetName val="Tariff Page Solar Fixed"/>
      <sheetName val="Tariff Page Solar Tracking"/>
      <sheetName val="Tariff Page Wind"/>
      <sheetName val="OFPC Sour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0">
          <cell r="B10">
            <v>2024</v>
          </cell>
          <cell r="C10">
            <v>3.6070916158259463</v>
          </cell>
          <cell r="D10">
            <v>8.3795663919807772</v>
          </cell>
          <cell r="E10">
            <v>3.7421767414339961</v>
          </cell>
          <cell r="F10">
            <v>4.7990494935156738</v>
          </cell>
        </row>
        <row r="11">
          <cell r="B11">
            <v>2025</v>
          </cell>
          <cell r="C11">
            <v>3.3380947354392552</v>
          </cell>
          <cell r="D11">
            <v>8.5884106522545274</v>
          </cell>
          <cell r="E11">
            <v>3.8345001208598277</v>
          </cell>
          <cell r="F11">
            <v>4.9394860734663171</v>
          </cell>
        </row>
        <row r="12">
          <cell r="B12">
            <v>2026</v>
          </cell>
          <cell r="C12">
            <v>3.3570483508401274</v>
          </cell>
          <cell r="D12">
            <v>8.2244174925931848</v>
          </cell>
          <cell r="E12">
            <v>3.9848882470928553</v>
          </cell>
          <cell r="F12">
            <v>5.4869925282328476</v>
          </cell>
        </row>
        <row r="13">
          <cell r="B13">
            <v>2027</v>
          </cell>
          <cell r="C13">
            <v>3.8536237047259592</v>
          </cell>
          <cell r="D13">
            <v>7.1844122800954633</v>
          </cell>
          <cell r="E13">
            <v>4.63561660082238</v>
          </cell>
          <cell r="F13">
            <v>5.6005947176201065</v>
          </cell>
        </row>
        <row r="14">
          <cell r="B14">
            <v>2028</v>
          </cell>
          <cell r="C14">
            <v>4.4057718263560561</v>
          </cell>
          <cell r="D14">
            <v>6.0358678135492294</v>
          </cell>
          <cell r="E14">
            <v>5.2558070435765618</v>
          </cell>
          <cell r="F14">
            <v>6.0047742506658981</v>
          </cell>
        </row>
        <row r="15">
          <cell r="B15">
            <v>2029</v>
          </cell>
          <cell r="C15">
            <v>4.9311021975437086</v>
          </cell>
          <cell r="D15">
            <v>6.9703112152358147</v>
          </cell>
          <cell r="E15">
            <v>5.8605252710108529</v>
          </cell>
          <cell r="F15">
            <v>7.0884413232676975</v>
          </cell>
        </row>
        <row r="16">
          <cell r="B16">
            <v>2030</v>
          </cell>
          <cell r="C16">
            <v>4.8349767034159541</v>
          </cell>
          <cell r="D16">
            <v>6.4989614832052807</v>
          </cell>
          <cell r="E16">
            <v>5.9760030214047957</v>
          </cell>
          <cell r="F16">
            <v>7.0318237640202934</v>
          </cell>
        </row>
        <row r="17">
          <cell r="B17">
            <v>2031</v>
          </cell>
          <cell r="C17">
            <v>4.8535887482600728</v>
          </cell>
          <cell r="D17">
            <v>6.5248289454041455</v>
          </cell>
          <cell r="E17">
            <v>6.0651193015920333</v>
          </cell>
          <cell r="F17">
            <v>7.2171984423880344</v>
          </cell>
        </row>
        <row r="18">
          <cell r="B18">
            <v>2032</v>
          </cell>
          <cell r="C18">
            <v>4.3396855028307364</v>
          </cell>
          <cell r="D18">
            <v>5.887028968641876</v>
          </cell>
          <cell r="E18">
            <v>5.5698352895167176</v>
          </cell>
          <cell r="F18">
            <v>6.8830911767966381</v>
          </cell>
        </row>
        <row r="19">
          <cell r="B19">
            <v>2033</v>
          </cell>
          <cell r="C19">
            <v>3.7687198558455934</v>
          </cell>
          <cell r="D19">
            <v>5.0434475684966484</v>
          </cell>
          <cell r="E19">
            <v>5.0379704607926197</v>
          </cell>
          <cell r="F19">
            <v>6.1968835972902649</v>
          </cell>
        </row>
        <row r="20">
          <cell r="B20">
            <v>2034</v>
          </cell>
          <cell r="C20">
            <v>3.7673323957067084</v>
          </cell>
          <cell r="D20">
            <v>5.1273558147616249</v>
          </cell>
          <cell r="E20">
            <v>5.1019177525468526</v>
          </cell>
          <cell r="F20">
            <v>6.4999106849874391</v>
          </cell>
        </row>
        <row r="21">
          <cell r="B21">
            <v>2035</v>
          </cell>
          <cell r="C21">
            <v>4.0548071266038495</v>
          </cell>
          <cell r="D21">
            <v>5.5608168757200405</v>
          </cell>
          <cell r="E21">
            <v>5.4763134794202823</v>
          </cell>
          <cell r="F21">
            <v>7.038719867806873</v>
          </cell>
        </row>
        <row r="22">
          <cell r="B22">
            <v>2036</v>
          </cell>
          <cell r="C22">
            <v>4.1683878833667762</v>
          </cell>
          <cell r="D22">
            <v>5.5650585198851603</v>
          </cell>
          <cell r="E22">
            <v>5.7451838891954088</v>
          </cell>
          <cell r="F22">
            <v>7.3287395884820778</v>
          </cell>
        </row>
        <row r="23">
          <cell r="B23">
            <v>2037</v>
          </cell>
          <cell r="C23">
            <v>4.3452822826134891</v>
          </cell>
          <cell r="D23">
            <v>5.5671687640065022</v>
          </cell>
          <cell r="E23">
            <v>5.8580840812268997</v>
          </cell>
          <cell r="F23">
            <v>7.6056781519721666</v>
          </cell>
        </row>
        <row r="24">
          <cell r="B24">
            <v>2038</v>
          </cell>
          <cell r="C24">
            <v>4.4394791129616937</v>
          </cell>
          <cell r="D24">
            <v>5.8083766190790422</v>
          </cell>
          <cell r="E24">
            <v>6.0335641554536386</v>
          </cell>
          <cell r="F24">
            <v>7.9186954319456744</v>
          </cell>
        </row>
        <row r="25">
          <cell r="B25">
            <v>2039</v>
          </cell>
          <cell r="C25">
            <v>4.5698126138873718</v>
          </cell>
          <cell r="D25">
            <v>5.8865561913088547</v>
          </cell>
          <cell r="E25">
            <v>6.3283397397910157</v>
          </cell>
          <cell r="F25">
            <v>8.204170441048106</v>
          </cell>
        </row>
        <row r="26">
          <cell r="B26">
            <v>2040</v>
          </cell>
          <cell r="C26">
            <v>4.978868926832285</v>
          </cell>
          <cell r="D26">
            <v>6.4446994020522483</v>
          </cell>
          <cell r="E26">
            <v>7.0610901249860856</v>
          </cell>
          <cell r="F26">
            <v>9.4918377464522568</v>
          </cell>
        </row>
        <row r="27">
          <cell r="B27">
            <v>2041</v>
          </cell>
          <cell r="C27">
            <v>5.1324518497038785</v>
          </cell>
          <cell r="D27">
            <v>6.6271073875857693</v>
          </cell>
          <cell r="E27">
            <v>7.532260453478159</v>
          </cell>
          <cell r="F27">
            <v>10.454208390945666</v>
          </cell>
        </row>
        <row r="28">
          <cell r="B28">
            <v>2042</v>
          </cell>
          <cell r="C28">
            <v>5.1105120212650439</v>
          </cell>
          <cell r="D28">
            <v>7.0059231990596889</v>
          </cell>
          <cell r="E28">
            <v>7.3523649622532474</v>
          </cell>
          <cell r="F28">
            <v>11.039830494625141</v>
          </cell>
        </row>
        <row r="29">
          <cell r="B29">
            <v>2043</v>
          </cell>
          <cell r="C29">
            <v>5.1986647715749594</v>
          </cell>
          <cell r="D29">
            <v>7.3061280082963265</v>
          </cell>
          <cell r="E29">
            <v>7.3614006197324473</v>
          </cell>
          <cell r="F29">
            <v>11.528523838276097</v>
          </cell>
        </row>
        <row r="30">
          <cell r="B30">
            <v>2044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</row>
      </sheetData>
      <sheetData sheetId="8">
        <row r="10">
          <cell r="B10">
            <v>2024</v>
          </cell>
          <cell r="C10">
            <v>2.4121866696162653</v>
          </cell>
          <cell r="D10">
            <v>5.8946219902125359</v>
          </cell>
          <cell r="E10">
            <v>2.4980248723162179</v>
          </cell>
          <cell r="F10">
            <v>3.3869485494763296</v>
          </cell>
        </row>
        <row r="11">
          <cell r="B11">
            <v>2025</v>
          </cell>
          <cell r="C11">
            <v>2.2446932284596568</v>
          </cell>
          <cell r="D11">
            <v>6.0503027625878421</v>
          </cell>
          <cell r="E11">
            <v>2.6027872890095876</v>
          </cell>
          <cell r="F11">
            <v>3.4922554938340462</v>
          </cell>
        </row>
        <row r="12">
          <cell r="B12">
            <v>2026</v>
          </cell>
          <cell r="C12">
            <v>2.023964054666112</v>
          </cell>
          <cell r="D12">
            <v>5.2476273861540799</v>
          </cell>
          <cell r="E12">
            <v>2.4523341807829846</v>
          </cell>
          <cell r="F12">
            <v>3.5163774493206397</v>
          </cell>
        </row>
        <row r="13">
          <cell r="B13">
            <v>2027</v>
          </cell>
          <cell r="C13">
            <v>1.7165282252457377</v>
          </cell>
          <cell r="D13">
            <v>3.3287117100650834</v>
          </cell>
          <cell r="E13">
            <v>2.0888000871461396</v>
          </cell>
          <cell r="F13">
            <v>2.6035058436248031</v>
          </cell>
        </row>
        <row r="14">
          <cell r="B14">
            <v>2028</v>
          </cell>
          <cell r="C14">
            <v>3.6080409510679425</v>
          </cell>
          <cell r="D14">
            <v>5.1019715537502339</v>
          </cell>
          <cell r="E14">
            <v>4.3600828358962449</v>
          </cell>
          <cell r="F14">
            <v>5.0819904801570708</v>
          </cell>
        </row>
        <row r="15">
          <cell r="B15">
            <v>2029</v>
          </cell>
          <cell r="C15">
            <v>2.6403500741818688</v>
          </cell>
          <cell r="D15">
            <v>3.8565489921093894</v>
          </cell>
          <cell r="E15">
            <v>3.2000123128775586</v>
          </cell>
          <cell r="F15">
            <v>3.9276530082551746</v>
          </cell>
        </row>
        <row r="16">
          <cell r="B16">
            <v>2030</v>
          </cell>
          <cell r="C16">
            <v>2.7926432962875061</v>
          </cell>
          <cell r="D16">
            <v>3.906009464101357</v>
          </cell>
          <cell r="E16">
            <v>3.5406404029798884</v>
          </cell>
          <cell r="F16">
            <v>4.2310163222316408</v>
          </cell>
        </row>
        <row r="17">
          <cell r="B17">
            <v>2031</v>
          </cell>
          <cell r="C17">
            <v>2.7267193066356037</v>
          </cell>
          <cell r="D17">
            <v>3.8204311516941041</v>
          </cell>
          <cell r="E17">
            <v>3.5093370649957536</v>
          </cell>
          <cell r="F17">
            <v>4.2317938885676023</v>
          </cell>
        </row>
        <row r="18">
          <cell r="B18">
            <v>2032</v>
          </cell>
          <cell r="C18">
            <v>2.9792491395711052</v>
          </cell>
          <cell r="D18">
            <v>4.2038736675687591</v>
          </cell>
          <cell r="E18">
            <v>3.9406906864916365</v>
          </cell>
          <cell r="F18">
            <v>4.9234081319900715</v>
          </cell>
        </row>
        <row r="19">
          <cell r="B19">
            <v>2033</v>
          </cell>
          <cell r="C19">
            <v>3.5109286602423806</v>
          </cell>
          <cell r="D19">
            <v>4.902691498747382</v>
          </cell>
          <cell r="E19">
            <v>4.837518967643156</v>
          </cell>
          <cell r="F19">
            <v>6.03690999973891</v>
          </cell>
        </row>
        <row r="20">
          <cell r="B20">
            <v>2034</v>
          </cell>
          <cell r="C20">
            <v>2.9806032680855088</v>
          </cell>
          <cell r="D20">
            <v>4.2313975658056666</v>
          </cell>
          <cell r="E20">
            <v>4.1609602983369047</v>
          </cell>
          <cell r="F20">
            <v>5.3762294547690859</v>
          </cell>
        </row>
        <row r="21">
          <cell r="B21">
            <v>2035</v>
          </cell>
          <cell r="C21">
            <v>3.1482409910673739</v>
          </cell>
          <cell r="D21">
            <v>4.5074345705868613</v>
          </cell>
          <cell r="E21">
            <v>4.3669968943127042</v>
          </cell>
          <cell r="F21">
            <v>5.7123884064298247</v>
          </cell>
        </row>
        <row r="22">
          <cell r="B22">
            <v>2036</v>
          </cell>
          <cell r="C22">
            <v>3.3846317720482011</v>
          </cell>
          <cell r="D22">
            <v>4.7423334583855787</v>
          </cell>
          <cell r="E22">
            <v>4.8290772675226634</v>
          </cell>
          <cell r="F22">
            <v>6.2550992055330479</v>
          </cell>
        </row>
        <row r="23">
          <cell r="B23">
            <v>2037</v>
          </cell>
          <cell r="C23">
            <v>6.7884871205740893</v>
          </cell>
          <cell r="D23">
            <v>9.0746527552419654</v>
          </cell>
          <cell r="E23">
            <v>9.4668887032572293</v>
          </cell>
          <cell r="F23">
            <v>12.424713178186717</v>
          </cell>
        </row>
        <row r="24">
          <cell r="B24">
            <v>2038</v>
          </cell>
          <cell r="C24">
            <v>6.9549795599886348</v>
          </cell>
          <cell r="D24">
            <v>9.4921485104379268</v>
          </cell>
          <cell r="E24">
            <v>9.7840374016220117</v>
          </cell>
          <cell r="F24">
            <v>12.958538007088459</v>
          </cell>
        </row>
        <row r="25">
          <cell r="B25">
            <v>2039</v>
          </cell>
          <cell r="C25">
            <v>7.0157778803474597</v>
          </cell>
          <cell r="D25">
            <v>9.429851427043447</v>
          </cell>
          <cell r="E25">
            <v>10.042315106258686</v>
          </cell>
          <cell r="F25">
            <v>13.165533588060461</v>
          </cell>
        </row>
        <row r="26">
          <cell r="B26">
            <v>2040</v>
          </cell>
          <cell r="C26">
            <v>7.2591710279098267</v>
          </cell>
          <cell r="D26">
            <v>9.780928178905139</v>
          </cell>
          <cell r="E26">
            <v>10.620831230854462</v>
          </cell>
          <cell r="F26">
            <v>14.433976463396993</v>
          </cell>
        </row>
        <row r="27">
          <cell r="B27">
            <v>2041</v>
          </cell>
          <cell r="C27">
            <v>7.2594708463971021</v>
          </cell>
          <cell r="D27">
            <v>9.7832963451097115</v>
          </cell>
          <cell r="E27">
            <v>10.998618198922861</v>
          </cell>
          <cell r="F27">
            <v>15.443603940976038</v>
          </cell>
        </row>
        <row r="28">
          <cell r="B28">
            <v>2042</v>
          </cell>
          <cell r="C28">
            <v>7.2012139632237266</v>
          </cell>
          <cell r="D28">
            <v>10.322199722710174</v>
          </cell>
          <cell r="E28">
            <v>10.73254993776011</v>
          </cell>
          <cell r="F28">
            <v>16.289007543667068</v>
          </cell>
        </row>
        <row r="29">
          <cell r="B29">
            <v>2043</v>
          </cell>
          <cell r="C29">
            <v>7.3236429858659111</v>
          </cell>
          <cell r="D29">
            <v>10.746570811760098</v>
          </cell>
          <cell r="E29">
            <v>10.723229633983104</v>
          </cell>
          <cell r="F29">
            <v>16.976974513571069</v>
          </cell>
        </row>
        <row r="30">
          <cell r="B30">
            <v>2044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</row>
      </sheetData>
      <sheetData sheetId="9">
        <row r="10">
          <cell r="B10">
            <v>2024</v>
          </cell>
          <cell r="C10">
            <v>2.4013460212377788</v>
          </cell>
          <cell r="D10">
            <v>6.2726825589584738</v>
          </cell>
          <cell r="E10">
            <v>2.475837571775116</v>
          </cell>
          <cell r="F10">
            <v>3.6016757350311375</v>
          </cell>
        </row>
        <row r="11">
          <cell r="B11">
            <v>2025</v>
          </cell>
          <cell r="C11">
            <v>2.0536793404880687</v>
          </cell>
          <cell r="D11">
            <v>5.7708261526140046</v>
          </cell>
          <cell r="E11">
            <v>2.3965546230325443</v>
          </cell>
          <cell r="F11">
            <v>3.3276355584568336</v>
          </cell>
        </row>
        <row r="12">
          <cell r="B12">
            <v>2026</v>
          </cell>
          <cell r="C12">
            <v>1.8013171916482693</v>
          </cell>
          <cell r="D12">
            <v>4.9210426809804719</v>
          </cell>
          <cell r="E12">
            <v>2.2205226233514619</v>
          </cell>
          <cell r="F12">
            <v>3.2912230543886496</v>
          </cell>
        </row>
        <row r="13">
          <cell r="B13">
            <v>2027</v>
          </cell>
          <cell r="C13">
            <v>1.65282705385451</v>
          </cell>
          <cell r="D13">
            <v>3.3343424391243111</v>
          </cell>
          <cell r="E13">
            <v>2.0340349202523837</v>
          </cell>
          <cell r="F13">
            <v>2.6093784847591079</v>
          </cell>
        </row>
        <row r="14">
          <cell r="B14">
            <v>2028</v>
          </cell>
          <cell r="C14">
            <v>3.1651569117328968</v>
          </cell>
          <cell r="D14">
            <v>4.628952548098284</v>
          </cell>
          <cell r="E14">
            <v>3.8829609070448621</v>
          </cell>
          <cell r="F14">
            <v>4.6223075331362526</v>
          </cell>
        </row>
        <row r="15">
          <cell r="B15">
            <v>2029</v>
          </cell>
          <cell r="C15">
            <v>2.5034536379425423</v>
          </cell>
          <cell r="D15">
            <v>3.7842837257453574</v>
          </cell>
          <cell r="E15">
            <v>3.102959473777235</v>
          </cell>
          <cell r="F15">
            <v>3.8700053069094329</v>
          </cell>
        </row>
        <row r="16">
          <cell r="B16">
            <v>2030</v>
          </cell>
          <cell r="C16">
            <v>2.4525758611513013</v>
          </cell>
          <cell r="D16">
            <v>3.5724888890460229</v>
          </cell>
          <cell r="E16">
            <v>3.1932252232566976</v>
          </cell>
          <cell r="F16">
            <v>3.8867222020537264</v>
          </cell>
        </row>
        <row r="17">
          <cell r="B17">
            <v>2031</v>
          </cell>
          <cell r="C17">
            <v>2.4773782875791346</v>
          </cell>
          <cell r="D17">
            <v>3.6220223486533896</v>
          </cell>
          <cell r="E17">
            <v>3.2844807373417688</v>
          </cell>
          <cell r="F17">
            <v>4.0256129557419573</v>
          </cell>
        </row>
        <row r="18">
          <cell r="B18">
            <v>2032</v>
          </cell>
          <cell r="C18">
            <v>2.5469589701211932</v>
          </cell>
          <cell r="D18">
            <v>3.7419322306619747</v>
          </cell>
          <cell r="E18">
            <v>3.4660401319314658</v>
          </cell>
          <cell r="F18">
            <v>4.4027834389440006</v>
          </cell>
        </row>
        <row r="19">
          <cell r="B19">
            <v>2033</v>
          </cell>
          <cell r="C19">
            <v>2.7208211371772899</v>
          </cell>
          <cell r="D19">
            <v>3.9598078388684721</v>
          </cell>
          <cell r="E19">
            <v>3.8554666459655023</v>
          </cell>
          <cell r="F19">
            <v>4.8942249270176719</v>
          </cell>
        </row>
        <row r="20">
          <cell r="B20">
            <v>2034</v>
          </cell>
          <cell r="C20">
            <v>2.334835358192032</v>
          </cell>
          <cell r="D20">
            <v>3.472875627617777</v>
          </cell>
          <cell r="E20">
            <v>3.3628279392594087</v>
          </cell>
          <cell r="F20">
            <v>4.4245276705908152</v>
          </cell>
        </row>
        <row r="21">
          <cell r="B21">
            <v>2035</v>
          </cell>
          <cell r="C21">
            <v>2.6012708931627513</v>
          </cell>
          <cell r="D21">
            <v>3.8840906382167004</v>
          </cell>
          <cell r="E21">
            <v>3.7134328908859047</v>
          </cell>
          <cell r="F21">
            <v>4.9487514525558529</v>
          </cell>
        </row>
        <row r="22">
          <cell r="B22">
            <v>2036</v>
          </cell>
          <cell r="C22">
            <v>2.7570689761931324</v>
          </cell>
          <cell r="D22">
            <v>4.0418162439080927</v>
          </cell>
          <cell r="E22">
            <v>4.0710740861925574</v>
          </cell>
          <cell r="F22">
            <v>5.3534178646248822</v>
          </cell>
        </row>
        <row r="23">
          <cell r="B23">
            <v>2037</v>
          </cell>
          <cell r="C23">
            <v>5.5666182226652472</v>
          </cell>
          <cell r="D23">
            <v>7.7582183428167522</v>
          </cell>
          <cell r="E23">
            <v>8.0233338092088307</v>
          </cell>
          <cell r="F23">
            <v>10.671254864226519</v>
          </cell>
        </row>
        <row r="24">
          <cell r="B24">
            <v>2038</v>
          </cell>
          <cell r="C24">
            <v>5.7123996235124341</v>
          </cell>
          <cell r="D24">
            <v>8.1338439927334534</v>
          </cell>
          <cell r="E24">
            <v>8.3054129266944212</v>
          </cell>
          <cell r="F24">
            <v>11.164297261809656</v>
          </cell>
        </row>
        <row r="25">
          <cell r="B25">
            <v>2039</v>
          </cell>
          <cell r="C25">
            <v>5.6170512292898431</v>
          </cell>
          <cell r="D25">
            <v>7.8723931216912746</v>
          </cell>
          <cell r="E25">
            <v>8.2929617980989292</v>
          </cell>
          <cell r="F25">
            <v>11.047812415952409</v>
          </cell>
        </row>
        <row r="26">
          <cell r="B26">
            <v>2040</v>
          </cell>
          <cell r="C26">
            <v>5.9719175599077854</v>
          </cell>
          <cell r="D26">
            <v>8.3696225314395303</v>
          </cell>
          <cell r="E26">
            <v>9.0164188005617287</v>
          </cell>
          <cell r="F26">
            <v>12.396864395601572</v>
          </cell>
        </row>
        <row r="27">
          <cell r="B27">
            <v>2041</v>
          </cell>
          <cell r="C27">
            <v>5.9464543654169439</v>
          </cell>
          <cell r="D27">
            <v>8.3345567196248194</v>
          </cell>
          <cell r="E27">
            <v>9.3090385044404904</v>
          </cell>
          <cell r="F27">
            <v>13.248195587423481</v>
          </cell>
        </row>
        <row r="28">
          <cell r="B28">
            <v>2042</v>
          </cell>
          <cell r="C28">
            <v>5.9949041008415191</v>
          </cell>
          <cell r="D28">
            <v>8.9508030537797456</v>
          </cell>
          <cell r="E28">
            <v>9.2592175591331571</v>
          </cell>
          <cell r="F28">
            <v>14.210550076863152</v>
          </cell>
        </row>
        <row r="29">
          <cell r="B29">
            <v>2043</v>
          </cell>
          <cell r="C29">
            <v>6.0931123014241244</v>
          </cell>
          <cell r="D29">
            <v>9.2919849705330311</v>
          </cell>
          <cell r="E29">
            <v>9.2289199660348018</v>
          </cell>
          <cell r="F29">
            <v>14.786197255877275</v>
          </cell>
        </row>
      </sheetData>
      <sheetData sheetId="10">
        <row r="10">
          <cell r="B10">
            <v>2024</v>
          </cell>
          <cell r="C10">
            <v>3.5712578589788655</v>
          </cell>
          <cell r="D10">
            <v>8.0654029442467365</v>
          </cell>
          <cell r="E10">
            <v>3.6990927722711442</v>
          </cell>
          <cell r="F10">
            <v>4.7731336211913575</v>
          </cell>
        </row>
        <row r="11">
          <cell r="B11">
            <v>2025</v>
          </cell>
          <cell r="C11">
            <v>3.3269886114875389</v>
          </cell>
          <cell r="D11">
            <v>8.2957244155824483</v>
          </cell>
          <cell r="E11">
            <v>3.8480173821983441</v>
          </cell>
          <cell r="F11">
            <v>4.8998153586036732</v>
          </cell>
        </row>
        <row r="12">
          <cell r="B12">
            <v>2026</v>
          </cell>
          <cell r="C12">
            <v>3.0949413757575952</v>
          </cell>
          <cell r="D12">
            <v>7.2721755445700627</v>
          </cell>
          <cell r="E12">
            <v>3.7432475173517132</v>
          </cell>
          <cell r="F12">
            <v>4.9907101167745891</v>
          </cell>
        </row>
        <row r="13">
          <cell r="B13">
            <v>2027</v>
          </cell>
          <cell r="C13">
            <v>1.1749970359865858</v>
          </cell>
          <cell r="D13">
            <v>2.1007825634874737</v>
          </cell>
          <cell r="E13">
            <v>1.4422066439940311</v>
          </cell>
          <cell r="F13">
            <v>1.6838503468106125</v>
          </cell>
        </row>
        <row r="14">
          <cell r="B14">
            <v>2028</v>
          </cell>
          <cell r="C14">
            <v>1.4720209701347096</v>
          </cell>
          <cell r="D14">
            <v>1.9672268292075408</v>
          </cell>
          <cell r="E14">
            <v>1.7823412629236812</v>
          </cell>
          <cell r="F14">
            <v>1.9934420522834309</v>
          </cell>
        </row>
        <row r="15">
          <cell r="B15">
            <v>2029</v>
          </cell>
          <cell r="C15">
            <v>1.2563154557191523</v>
          </cell>
          <cell r="D15">
            <v>1.7263486076008312</v>
          </cell>
          <cell r="E15">
            <v>1.5093393470754211</v>
          </cell>
          <cell r="F15">
            <v>1.7968066641765161</v>
          </cell>
        </row>
        <row r="16">
          <cell r="B16">
            <v>2030</v>
          </cell>
          <cell r="C16">
            <v>1.3533092165058664</v>
          </cell>
          <cell r="D16">
            <v>1.7759991933395611</v>
          </cell>
          <cell r="E16">
            <v>1.6924843854259426</v>
          </cell>
          <cell r="F16">
            <v>1.965616273535759</v>
          </cell>
        </row>
        <row r="17">
          <cell r="B17">
            <v>2031</v>
          </cell>
          <cell r="C17">
            <v>1.1844948937065554</v>
          </cell>
          <cell r="D17">
            <v>1.5576165596339129</v>
          </cell>
          <cell r="E17">
            <v>1.4977840150730775</v>
          </cell>
          <cell r="F17">
            <v>1.7588342362304767</v>
          </cell>
        </row>
        <row r="18">
          <cell r="B18">
            <v>2032</v>
          </cell>
          <cell r="C18">
            <v>1.3068514566496083</v>
          </cell>
          <cell r="D18">
            <v>1.7221785190593728</v>
          </cell>
          <cell r="E18">
            <v>1.6968174092285806</v>
          </cell>
          <cell r="F18">
            <v>2.0707182878159118</v>
          </cell>
        </row>
        <row r="19">
          <cell r="B19">
            <v>2033</v>
          </cell>
          <cell r="C19">
            <v>1.9847718091358424</v>
          </cell>
          <cell r="D19">
            <v>2.5877231652898249</v>
          </cell>
          <cell r="E19">
            <v>2.6937239363315255</v>
          </cell>
          <cell r="F19">
            <v>3.2820457100687164</v>
          </cell>
        </row>
        <row r="20">
          <cell r="B20">
            <v>2034</v>
          </cell>
          <cell r="C20">
            <v>1.3589749669660138</v>
          </cell>
          <cell r="D20">
            <v>1.8095126296618325</v>
          </cell>
          <cell r="E20">
            <v>1.8690428901449667</v>
          </cell>
          <cell r="F20">
            <v>2.3627433257521671</v>
          </cell>
        </row>
        <row r="21">
          <cell r="B21">
            <v>2035</v>
          </cell>
          <cell r="C21">
            <v>1.2402007302282547</v>
          </cell>
          <cell r="D21">
            <v>1.6704386940329534</v>
          </cell>
          <cell r="E21">
            <v>1.6968026211247356</v>
          </cell>
          <cell r="F21">
            <v>2.1708708357739614</v>
          </cell>
        </row>
        <row r="22">
          <cell r="B22">
            <v>2036</v>
          </cell>
          <cell r="C22">
            <v>1.3685916804162628</v>
          </cell>
          <cell r="D22">
            <v>1.7890503501351553</v>
          </cell>
          <cell r="E22">
            <v>1.9077615098933598</v>
          </cell>
          <cell r="F22">
            <v>2.4127423398733034</v>
          </cell>
        </row>
        <row r="23">
          <cell r="B23">
            <v>2037</v>
          </cell>
          <cell r="C23">
            <v>5.0302620266109548</v>
          </cell>
          <cell r="D23">
            <v>6.2735577018346698</v>
          </cell>
          <cell r="E23">
            <v>6.860107526647548</v>
          </cell>
          <cell r="F23">
            <v>8.8345773793540125</v>
          </cell>
        </row>
        <row r="24">
          <cell r="B24">
            <v>2038</v>
          </cell>
          <cell r="C24">
            <v>5.2236817575804988</v>
          </cell>
          <cell r="D24">
            <v>6.6807350631942999</v>
          </cell>
          <cell r="E24">
            <v>7.207805741912642</v>
          </cell>
          <cell r="F24">
            <v>9.3804002723054936</v>
          </cell>
        </row>
        <row r="25">
          <cell r="B25">
            <v>2039</v>
          </cell>
          <cell r="C25">
            <v>5.0650642867747209</v>
          </cell>
          <cell r="D25">
            <v>6.3543476067511495</v>
          </cell>
          <cell r="E25">
            <v>7.1188993052739491</v>
          </cell>
          <cell r="F25">
            <v>9.1564974504815773</v>
          </cell>
        </row>
        <row r="26">
          <cell r="B26">
            <v>2040</v>
          </cell>
          <cell r="C26">
            <v>5.2516217329696042</v>
          </cell>
          <cell r="D26">
            <v>6.6357587612490692</v>
          </cell>
          <cell r="E26">
            <v>7.5339253110568407</v>
          </cell>
          <cell r="F26">
            <v>10.038444895770514</v>
          </cell>
        </row>
        <row r="27">
          <cell r="B27">
            <v>2041</v>
          </cell>
          <cell r="C27">
            <v>5.3177669880667402</v>
          </cell>
          <cell r="D27">
            <v>6.6844951017570313</v>
          </cell>
          <cell r="E27">
            <v>7.8899569740477062</v>
          </cell>
          <cell r="F27">
            <v>10.815043522747285</v>
          </cell>
        </row>
        <row r="28">
          <cell r="B28">
            <v>2042</v>
          </cell>
          <cell r="C28">
            <v>5.2590418561531189</v>
          </cell>
          <cell r="D28">
            <v>7.0490942102721492</v>
          </cell>
          <cell r="E28">
            <v>7.6526850257447974</v>
          </cell>
          <cell r="F28">
            <v>11.40284584352767</v>
          </cell>
        </row>
        <row r="29">
          <cell r="B29">
            <v>2043</v>
          </cell>
          <cell r="C29">
            <v>5.3757786558475775</v>
          </cell>
          <cell r="D29">
            <v>7.3415210538426834</v>
          </cell>
          <cell r="E29">
            <v>7.6943988901302989</v>
          </cell>
          <cell r="F29">
            <v>11.949413241905688</v>
          </cell>
        </row>
        <row r="30">
          <cell r="B30">
            <v>2044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</row>
      </sheetData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ary (Energy PMT)"/>
      <sheetName val="SourceEnergy"/>
      <sheetName val="MWH-Split"/>
      <sheetName val="Monthly Levelized"/>
      <sheetName val="Monthly Energy Prices"/>
      <sheetName val="Security"/>
      <sheetName val="SecurityCalc"/>
      <sheetName val="HLH_LLH_MWHS"/>
      <sheetName val="HLH-LLH hours"/>
    </sheetNames>
    <sheetDataSet>
      <sheetData sheetId="0"/>
      <sheetData sheetId="1">
        <row r="12">
          <cell r="S12" t="str">
            <v>Winter</v>
          </cell>
          <cell r="T12" t="str">
            <v>Summer</v>
          </cell>
          <cell r="U12" t="str">
            <v>Winter</v>
          </cell>
          <cell r="V12" t="str">
            <v>Summer</v>
          </cell>
        </row>
        <row r="20">
          <cell r="R20">
            <v>2025</v>
          </cell>
          <cell r="S20">
            <v>22.575902811314542</v>
          </cell>
          <cell r="T20">
            <v>48.703204191369792</v>
          </cell>
          <cell r="U20">
            <v>26.27862138355184</v>
          </cell>
          <cell r="V20">
            <v>32.584566192282423</v>
          </cell>
        </row>
        <row r="21">
          <cell r="R21">
            <v>2026</v>
          </cell>
          <cell r="S21">
            <v>23.249747702258837</v>
          </cell>
          <cell r="T21">
            <v>44.623877073607062</v>
          </cell>
          <cell r="U21">
            <v>28.677236455863458</v>
          </cell>
          <cell r="V21">
            <v>33.583070752832739</v>
          </cell>
        </row>
        <row r="22">
          <cell r="R22">
            <v>2027</v>
          </cell>
          <cell r="S22">
            <v>21.006473673661485</v>
          </cell>
          <cell r="T22">
            <v>40.765700256099848</v>
          </cell>
          <cell r="U22">
            <v>27.082322849946326</v>
          </cell>
          <cell r="V22">
            <v>32.74537687841962</v>
          </cell>
        </row>
        <row r="23">
          <cell r="R23">
            <v>2028</v>
          </cell>
          <cell r="S23">
            <v>26.175757588114816</v>
          </cell>
          <cell r="T23">
            <v>44.096379046561914</v>
          </cell>
          <cell r="U23">
            <v>32.796999420011481</v>
          </cell>
          <cell r="V23">
            <v>39.123449792482624</v>
          </cell>
        </row>
        <row r="24">
          <cell r="R24">
            <v>2029</v>
          </cell>
          <cell r="S24">
            <v>34.897227461913843</v>
          </cell>
          <cell r="T24">
            <v>43.418213796208725</v>
          </cell>
          <cell r="U24">
            <v>38.350847488333024</v>
          </cell>
          <cell r="V24">
            <v>42.616194954292375</v>
          </cell>
        </row>
        <row r="25">
          <cell r="R25">
            <v>2030</v>
          </cell>
          <cell r="S25">
            <v>35.176482946621505</v>
          </cell>
          <cell r="T25">
            <v>36.98840152052172</v>
          </cell>
          <cell r="U25">
            <v>36.316650590741233</v>
          </cell>
          <cell r="V25">
            <v>36.484474707606346</v>
          </cell>
        </row>
        <row r="26">
          <cell r="R26">
            <v>2031</v>
          </cell>
          <cell r="S26">
            <v>36.262437003014625</v>
          </cell>
          <cell r="T26">
            <v>38.136696796886504</v>
          </cell>
          <cell r="U26">
            <v>37.745810934194672</v>
          </cell>
          <cell r="V26">
            <v>37.623984928636382</v>
          </cell>
        </row>
        <row r="27">
          <cell r="R27">
            <v>2032</v>
          </cell>
          <cell r="S27">
            <v>31.756930461850924</v>
          </cell>
          <cell r="T27">
            <v>34.188754526929749</v>
          </cell>
          <cell r="U27">
            <v>34.200848299280828</v>
          </cell>
          <cell r="V27">
            <v>34.309088663388046</v>
          </cell>
        </row>
        <row r="28">
          <cell r="R28">
            <v>2033</v>
          </cell>
          <cell r="S28">
            <v>29.426926087930028</v>
          </cell>
          <cell r="T28">
            <v>30.714016598730844</v>
          </cell>
          <cell r="U28">
            <v>33.164287621321748</v>
          </cell>
          <cell r="V28">
            <v>31.80492631978478</v>
          </cell>
        </row>
        <row r="29">
          <cell r="R29">
            <v>2034</v>
          </cell>
          <cell r="S29">
            <v>29.95100118007775</v>
          </cell>
          <cell r="T29">
            <v>30.406233465756102</v>
          </cell>
          <cell r="U29">
            <v>33.55590801532545</v>
          </cell>
          <cell r="V29">
            <v>32.552785256403787</v>
          </cell>
        </row>
        <row r="30">
          <cell r="R30">
            <v>2035</v>
          </cell>
          <cell r="S30">
            <v>31.386817463843361</v>
          </cell>
          <cell r="T30">
            <v>30.859835286401509</v>
          </cell>
          <cell r="U30">
            <v>34.486320388000777</v>
          </cell>
          <cell r="V30">
            <v>34.116202597874185</v>
          </cell>
        </row>
        <row r="31">
          <cell r="R31">
            <v>2036</v>
          </cell>
          <cell r="S31">
            <v>18.599803588582549</v>
          </cell>
          <cell r="T31">
            <v>17.352419744165292</v>
          </cell>
          <cell r="U31">
            <v>19.594398089506779</v>
          </cell>
          <cell r="V31">
            <v>19.003399413297892</v>
          </cell>
        </row>
        <row r="32">
          <cell r="R32">
            <v>2037</v>
          </cell>
          <cell r="S32">
            <v>22.736126236496869</v>
          </cell>
          <cell r="T32">
            <v>21.051731406078648</v>
          </cell>
          <cell r="U32">
            <v>23.089511864454977</v>
          </cell>
          <cell r="V32">
            <v>22.647197868855784</v>
          </cell>
        </row>
        <row r="33">
          <cell r="R33">
            <v>2038</v>
          </cell>
          <cell r="S33">
            <v>24.459617589643376</v>
          </cell>
          <cell r="T33">
            <v>22.76893244526503</v>
          </cell>
          <cell r="U33">
            <v>24.606261695063864</v>
          </cell>
          <cell r="V33">
            <v>22.602359721802607</v>
          </cell>
        </row>
        <row r="34">
          <cell r="R34">
            <v>2039</v>
          </cell>
          <cell r="S34">
            <v>26.58802078768591</v>
          </cell>
          <cell r="T34">
            <v>24.945283768601637</v>
          </cell>
          <cell r="U34">
            <v>27.380144299666757</v>
          </cell>
          <cell r="V34">
            <v>24.798989180379365</v>
          </cell>
        </row>
        <row r="35">
          <cell r="R35">
            <v>2040</v>
          </cell>
          <cell r="S35">
            <v>28.926944079547113</v>
          </cell>
          <cell r="T35">
            <v>27.831819243145503</v>
          </cell>
          <cell r="U35">
            <v>30.677397118764087</v>
          </cell>
          <cell r="V35">
            <v>27.135678301781397</v>
          </cell>
        </row>
        <row r="36">
          <cell r="R36">
            <v>2041</v>
          </cell>
          <cell r="S36">
            <v>34.112070834836651</v>
          </cell>
          <cell r="T36">
            <v>32.167965756599358</v>
          </cell>
          <cell r="U36">
            <v>34.583480300917422</v>
          </cell>
          <cell r="V36">
            <v>31.812341313234818</v>
          </cell>
        </row>
        <row r="37">
          <cell r="R37">
            <v>2042</v>
          </cell>
          <cell r="S37">
            <v>42.365060941198621</v>
          </cell>
          <cell r="T37">
            <v>39.439438101401379</v>
          </cell>
          <cell r="U37">
            <v>40.429007232567571</v>
          </cell>
          <cell r="V37">
            <v>37.827119347229015</v>
          </cell>
        </row>
        <row r="38">
          <cell r="R38">
            <v>2043</v>
          </cell>
          <cell r="S38">
            <v>44.165776865648965</v>
          </cell>
          <cell r="T38">
            <v>40.536225594158545</v>
          </cell>
          <cell r="U38">
            <v>41.805223250709957</v>
          </cell>
          <cell r="V38">
            <v>40.052450652463165</v>
          </cell>
        </row>
        <row r="39">
          <cell r="R39">
            <v>2044</v>
          </cell>
          <cell r="S39">
            <v>42.860343493216774</v>
          </cell>
          <cell r="T39">
            <v>38.783376867202129</v>
          </cell>
          <cell r="U39">
            <v>43.20464395996359</v>
          </cell>
          <cell r="V39">
            <v>37.844486210436031</v>
          </cell>
        </row>
        <row r="40">
          <cell r="R40">
            <v>2045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</row>
        <row r="41">
          <cell r="R41">
            <v>2046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</row>
        <row r="42">
          <cell r="R42">
            <v>2047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</row>
        <row r="43">
          <cell r="R43">
            <v>2048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</row>
        <row r="44">
          <cell r="R44">
            <v>2049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ary (Energy PMT)"/>
      <sheetName val="SourceEnergy"/>
      <sheetName val="MWH-Split"/>
      <sheetName val="Monthly Levelized"/>
      <sheetName val="Monthly Energy Prices"/>
      <sheetName val="Security"/>
      <sheetName val="SecurityCalc"/>
      <sheetName val="HLH_LLH_MWHS"/>
      <sheetName val="HLH-LLH hours"/>
    </sheetNames>
    <sheetDataSet>
      <sheetData sheetId="0"/>
      <sheetData sheetId="1">
        <row r="12">
          <cell r="S12" t="str">
            <v>Winter</v>
          </cell>
          <cell r="T12" t="str">
            <v>Summer</v>
          </cell>
          <cell r="U12" t="str">
            <v>Winter</v>
          </cell>
          <cell r="V12" t="str">
            <v>Summer</v>
          </cell>
        </row>
        <row r="20">
          <cell r="R20">
            <v>2025</v>
          </cell>
          <cell r="S20">
            <v>11.194889271822989</v>
          </cell>
          <cell r="T20">
            <v>26.354020539524679</v>
          </cell>
          <cell r="U20">
            <v>13.565278431205753</v>
          </cell>
          <cell r="V20">
            <v>17.335124093270746</v>
          </cell>
        </row>
        <row r="21">
          <cell r="R21">
            <v>2026</v>
          </cell>
          <cell r="S21">
            <v>10.977322328038614</v>
          </cell>
          <cell r="T21">
            <v>23.631903528761608</v>
          </cell>
          <cell r="U21">
            <v>14.147478377799619</v>
          </cell>
          <cell r="V21">
            <v>17.606824303712546</v>
          </cell>
        </row>
        <row r="22">
          <cell r="R22">
            <v>2027</v>
          </cell>
          <cell r="S22">
            <v>11.967812385380382</v>
          </cell>
          <cell r="T22">
            <v>26.386242429895713</v>
          </cell>
          <cell r="U22">
            <v>16.161375511698655</v>
          </cell>
          <cell r="V22">
            <v>20.992258962607195</v>
          </cell>
        </row>
        <row r="23">
          <cell r="R23">
            <v>2028</v>
          </cell>
          <cell r="S23">
            <v>15.360031214021749</v>
          </cell>
          <cell r="T23">
            <v>28.11551594707554</v>
          </cell>
          <cell r="U23">
            <v>19.572796878894295</v>
          </cell>
          <cell r="V23">
            <v>24.825159213035246</v>
          </cell>
        </row>
        <row r="24">
          <cell r="R24">
            <v>2029</v>
          </cell>
          <cell r="S24">
            <v>23.874754996584539</v>
          </cell>
          <cell r="T24">
            <v>31.454608852698925</v>
          </cell>
          <cell r="U24">
            <v>25.801956924700796</v>
          </cell>
          <cell r="V24">
            <v>30.941073027020778</v>
          </cell>
        </row>
        <row r="25">
          <cell r="R25">
            <v>2030</v>
          </cell>
          <cell r="S25">
            <v>22.289853935342119</v>
          </cell>
          <cell r="T25">
            <v>24.791671574096789</v>
          </cell>
          <cell r="U25">
            <v>22.78735637347701</v>
          </cell>
          <cell r="V25">
            <v>24.560172796271647</v>
          </cell>
        </row>
        <row r="26">
          <cell r="R26">
            <v>2031</v>
          </cell>
          <cell r="S26">
            <v>21.760909253894543</v>
          </cell>
          <cell r="T26">
            <v>24.51773633241126</v>
          </cell>
          <cell r="U26">
            <v>22.892769944666828</v>
          </cell>
          <cell r="V26">
            <v>23.813985126531215</v>
          </cell>
        </row>
        <row r="27">
          <cell r="R27">
            <v>2032</v>
          </cell>
          <cell r="S27">
            <v>17.282242175440441</v>
          </cell>
          <cell r="T27">
            <v>20.162232178819686</v>
          </cell>
          <cell r="U27">
            <v>18.416828396614218</v>
          </cell>
          <cell r="V27">
            <v>20.015758298530503</v>
          </cell>
        </row>
        <row r="28">
          <cell r="R28">
            <v>2033</v>
          </cell>
          <cell r="S28">
            <v>17.285204834676346</v>
          </cell>
          <cell r="T28">
            <v>19.795195191038644</v>
          </cell>
          <cell r="U28">
            <v>19.246390436170007</v>
          </cell>
          <cell r="V28">
            <v>20.420487104963467</v>
          </cell>
        </row>
        <row r="29">
          <cell r="R29">
            <v>2034</v>
          </cell>
          <cell r="S29">
            <v>19.580611816383524</v>
          </cell>
          <cell r="T29">
            <v>22.097743880580605</v>
          </cell>
          <cell r="U29">
            <v>22.011601632129217</v>
          </cell>
          <cell r="V29">
            <v>23.644685443292662</v>
          </cell>
        </row>
        <row r="30">
          <cell r="R30">
            <v>2035</v>
          </cell>
          <cell r="S30">
            <v>18.414589481908198</v>
          </cell>
          <cell r="T30">
            <v>20.192072034998599</v>
          </cell>
          <cell r="U30">
            <v>19.560186530875587</v>
          </cell>
          <cell r="V30">
            <v>22.45733185202716</v>
          </cell>
        </row>
        <row r="31">
          <cell r="R31">
            <v>2036</v>
          </cell>
          <cell r="S31">
            <v>11.521446528250804</v>
          </cell>
          <cell r="T31">
            <v>12.168350994567744</v>
          </cell>
          <cell r="U31">
            <v>11.977002701879417</v>
          </cell>
          <cell r="V31">
            <v>13.374913636556578</v>
          </cell>
        </row>
        <row r="32">
          <cell r="R32">
            <v>2037</v>
          </cell>
          <cell r="S32">
            <v>11.266261085814252</v>
          </cell>
          <cell r="T32">
            <v>11.615385379029979</v>
          </cell>
          <cell r="U32">
            <v>11.224938593989471</v>
          </cell>
          <cell r="V32">
            <v>12.313372571743312</v>
          </cell>
        </row>
        <row r="33">
          <cell r="R33">
            <v>2038</v>
          </cell>
          <cell r="S33">
            <v>11.308235858950288</v>
          </cell>
          <cell r="T33">
            <v>11.712302416822226</v>
          </cell>
          <cell r="U33">
            <v>10.959852841066438</v>
          </cell>
          <cell r="V33">
            <v>11.502084040607947</v>
          </cell>
        </row>
        <row r="34">
          <cell r="R34">
            <v>2039</v>
          </cell>
          <cell r="S34">
            <v>10.985374045270122</v>
          </cell>
          <cell r="T34">
            <v>11.322237401001898</v>
          </cell>
          <cell r="U34">
            <v>10.839173213146113</v>
          </cell>
          <cell r="V34">
            <v>11.257394980760003</v>
          </cell>
        </row>
        <row r="35">
          <cell r="R35">
            <v>2040</v>
          </cell>
          <cell r="S35">
            <v>15.886190920882619</v>
          </cell>
          <cell r="T35">
            <v>17.042404684632711</v>
          </cell>
          <cell r="U35">
            <v>16.476900509346439</v>
          </cell>
          <cell r="V35">
            <v>16.744159075614039</v>
          </cell>
        </row>
        <row r="36">
          <cell r="R36">
            <v>2041</v>
          </cell>
          <cell r="S36">
            <v>18.193796361860006</v>
          </cell>
          <cell r="T36">
            <v>18.9480332383405</v>
          </cell>
          <cell r="U36">
            <v>17.892350905365717</v>
          </cell>
          <cell r="V36">
            <v>19.146452561259501</v>
          </cell>
        </row>
        <row r="37">
          <cell r="R37">
            <v>2042</v>
          </cell>
          <cell r="S37">
            <v>37.622691393656886</v>
          </cell>
          <cell r="T37">
            <v>38.987932183423638</v>
          </cell>
          <cell r="U37">
            <v>36.061690129153767</v>
          </cell>
          <cell r="V37">
            <v>36.709687143226311</v>
          </cell>
        </row>
        <row r="38">
          <cell r="R38">
            <v>2043</v>
          </cell>
          <cell r="S38">
            <v>36.842402805790798</v>
          </cell>
          <cell r="T38">
            <v>37.423275393895139</v>
          </cell>
          <cell r="U38">
            <v>33.893720115875247</v>
          </cell>
          <cell r="V38">
            <v>36.564028129558658</v>
          </cell>
        </row>
        <row r="39">
          <cell r="R39">
            <v>2044</v>
          </cell>
          <cell r="S39">
            <v>38.749994732041714</v>
          </cell>
          <cell r="T39">
            <v>39.546628004852487</v>
          </cell>
          <cell r="U39">
            <v>37.952598152418595</v>
          </cell>
          <cell r="V39">
            <v>38.504324212784475</v>
          </cell>
        </row>
        <row r="40">
          <cell r="R40">
            <v>2045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</row>
        <row r="41">
          <cell r="R41">
            <v>2046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</row>
        <row r="42">
          <cell r="R42">
            <v>2047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</row>
        <row r="43">
          <cell r="R43">
            <v>2048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</row>
        <row r="44">
          <cell r="R44">
            <v>2049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ary (Energy PMT)"/>
      <sheetName val="SourceEnergy"/>
      <sheetName val="MWH-Split"/>
      <sheetName val="Monthly Levelized"/>
      <sheetName val="Monthly Energy Prices"/>
      <sheetName val="Security"/>
      <sheetName val="SecurityCalc"/>
      <sheetName val="HLH_LLH_MWHS"/>
      <sheetName val="HLH-LLH hours"/>
    </sheetNames>
    <sheetDataSet>
      <sheetData sheetId="0"/>
      <sheetData sheetId="1">
        <row r="12">
          <cell r="S12" t="str">
            <v>Winter</v>
          </cell>
          <cell r="T12" t="str">
            <v>Summer</v>
          </cell>
          <cell r="U12" t="str">
            <v>Winter</v>
          </cell>
          <cell r="V12" t="str">
            <v>Summer</v>
          </cell>
        </row>
        <row r="20">
          <cell r="R20">
            <v>2025</v>
          </cell>
          <cell r="S20">
            <v>14.226513089195466</v>
          </cell>
          <cell r="T20">
            <v>34.349729996227552</v>
          </cell>
          <cell r="U20">
            <v>17.383503438417168</v>
          </cell>
          <cell r="V20">
            <v>22.762337695595722</v>
          </cell>
        </row>
        <row r="21">
          <cell r="R21">
            <v>2026</v>
          </cell>
          <cell r="S21">
            <v>12.61726441231583</v>
          </cell>
          <cell r="T21">
            <v>27.626201776360503</v>
          </cell>
          <cell r="U21">
            <v>16.521849946694729</v>
          </cell>
          <cell r="V21">
            <v>20.955661623357798</v>
          </cell>
        </row>
        <row r="22">
          <cell r="R22">
            <v>2027</v>
          </cell>
          <cell r="S22">
            <v>12.611828125619287</v>
          </cell>
          <cell r="T22">
            <v>28.057037413490903</v>
          </cell>
          <cell r="U22">
            <v>17.306151779554895</v>
          </cell>
          <cell r="V22">
            <v>22.702434146050607</v>
          </cell>
        </row>
        <row r="23">
          <cell r="R23">
            <v>2028</v>
          </cell>
          <cell r="S23">
            <v>16.956496234055656</v>
          </cell>
          <cell r="T23">
            <v>31.928278988664928</v>
          </cell>
          <cell r="U23">
            <v>21.955071213251546</v>
          </cell>
          <cell r="V23">
            <v>28.43278427615023</v>
          </cell>
        </row>
        <row r="24">
          <cell r="R24">
            <v>2029</v>
          </cell>
          <cell r="S24">
            <v>26.093258497943836</v>
          </cell>
          <cell r="T24">
            <v>35.054019220038327</v>
          </cell>
          <cell r="U24">
            <v>28.744172191654069</v>
          </cell>
          <cell r="V24">
            <v>34.853861076479937</v>
          </cell>
        </row>
        <row r="25">
          <cell r="R25">
            <v>2030</v>
          </cell>
          <cell r="S25">
            <v>24.182235439994454</v>
          </cell>
          <cell r="T25">
            <v>27.327047389839922</v>
          </cell>
          <cell r="U25">
            <v>25.175945605857741</v>
          </cell>
          <cell r="V25">
            <v>26.982489777449857</v>
          </cell>
        </row>
        <row r="26">
          <cell r="R26">
            <v>2031</v>
          </cell>
          <cell r="S26">
            <v>22.8096928369159</v>
          </cell>
          <cell r="T26">
            <v>26.027046589725547</v>
          </cell>
          <cell r="U26">
            <v>24.033952320138432</v>
          </cell>
          <cell r="V26">
            <v>25.41269286822347</v>
          </cell>
        </row>
        <row r="27">
          <cell r="R27">
            <v>2032</v>
          </cell>
          <cell r="S27">
            <v>26.104855892280661</v>
          </cell>
          <cell r="T27">
            <v>30.755056467930896</v>
          </cell>
          <cell r="U27">
            <v>28.376933120481265</v>
          </cell>
          <cell r="V27">
            <v>30.860225983928238</v>
          </cell>
        </row>
        <row r="28">
          <cell r="R28">
            <v>2033</v>
          </cell>
          <cell r="S28">
            <v>25.297423848637902</v>
          </cell>
          <cell r="T28">
            <v>29.561178201405607</v>
          </cell>
          <cell r="U28">
            <v>28.697327907952488</v>
          </cell>
          <cell r="V28">
            <v>30.96333863234829</v>
          </cell>
        </row>
        <row r="29">
          <cell r="R29">
            <v>2034</v>
          </cell>
          <cell r="S29">
            <v>26.518058698301974</v>
          </cell>
          <cell r="T29">
            <v>30.676101358581157</v>
          </cell>
          <cell r="U29">
            <v>30.735086008164014</v>
          </cell>
          <cell r="V29">
            <v>33.253337796070085</v>
          </cell>
        </row>
        <row r="30">
          <cell r="R30">
            <v>2035</v>
          </cell>
          <cell r="S30">
            <v>24.427637385198185</v>
          </cell>
          <cell r="T30">
            <v>27.177087256884754</v>
          </cell>
          <cell r="U30">
            <v>26.724958768092481</v>
          </cell>
          <cell r="V30">
            <v>30.778951092928306</v>
          </cell>
        </row>
        <row r="31">
          <cell r="R31">
            <v>2036</v>
          </cell>
          <cell r="S31">
            <v>23.917328239423256</v>
          </cell>
          <cell r="T31">
            <v>26.045412432397516</v>
          </cell>
          <cell r="U31">
            <v>25.74246799049703</v>
          </cell>
          <cell r="V31">
            <v>28.605375541618027</v>
          </cell>
        </row>
        <row r="32">
          <cell r="R32">
            <v>2037</v>
          </cell>
          <cell r="S32">
            <v>23.206443189316442</v>
          </cell>
          <cell r="T32">
            <v>24.445462345231821</v>
          </cell>
          <cell r="U32">
            <v>23.121111654283578</v>
          </cell>
          <cell r="V32">
            <v>26.554429989800152</v>
          </cell>
        </row>
        <row r="33">
          <cell r="R33">
            <v>2038</v>
          </cell>
          <cell r="S33">
            <v>17.448250139141869</v>
          </cell>
          <cell r="T33">
            <v>18.413349528687029</v>
          </cell>
          <cell r="U33">
            <v>17.314879968188624</v>
          </cell>
          <cell r="V33">
            <v>18.441438312633299</v>
          </cell>
        </row>
        <row r="34">
          <cell r="R34">
            <v>2039</v>
          </cell>
          <cell r="S34">
            <v>13.737746981331291</v>
          </cell>
          <cell r="T34">
            <v>14.584818405901684</v>
          </cell>
          <cell r="U34">
            <v>13.879140960094396</v>
          </cell>
          <cell r="V34">
            <v>14.730397746316534</v>
          </cell>
        </row>
        <row r="35">
          <cell r="R35">
            <v>2040</v>
          </cell>
          <cell r="S35">
            <v>15.780278088175343</v>
          </cell>
          <cell r="T35">
            <v>17.259062205628002</v>
          </cell>
          <cell r="U35">
            <v>16.718017679857109</v>
          </cell>
          <cell r="V35">
            <v>17.226591326730077</v>
          </cell>
        </row>
        <row r="36">
          <cell r="R36">
            <v>2041</v>
          </cell>
          <cell r="S36">
            <v>18.03742313343081</v>
          </cell>
          <cell r="T36">
            <v>19.571901387096155</v>
          </cell>
          <cell r="U36">
            <v>18.360661504180392</v>
          </cell>
          <cell r="V36">
            <v>19.619457322700612</v>
          </cell>
        </row>
        <row r="37">
          <cell r="R37">
            <v>2042</v>
          </cell>
          <cell r="S37">
            <v>64.397040626675519</v>
          </cell>
          <cell r="T37">
            <v>68.256949955223917</v>
          </cell>
          <cell r="U37">
            <v>61.510664517513078</v>
          </cell>
          <cell r="V37">
            <v>64.432999122302334</v>
          </cell>
        </row>
        <row r="38">
          <cell r="R38">
            <v>2043</v>
          </cell>
          <cell r="S38">
            <v>70.263665047587708</v>
          </cell>
          <cell r="T38">
            <v>73.342249634116271</v>
          </cell>
          <cell r="U38">
            <v>65.095473000946981</v>
          </cell>
          <cell r="V38">
            <v>73.339680445897741</v>
          </cell>
        </row>
        <row r="39">
          <cell r="R39">
            <v>2044</v>
          </cell>
          <cell r="S39">
            <v>61.06028837098242</v>
          </cell>
          <cell r="T39">
            <v>64.546189753988727</v>
          </cell>
          <cell r="U39">
            <v>61.187473699925945</v>
          </cell>
          <cell r="V39">
            <v>64.021225762863025</v>
          </cell>
        </row>
        <row r="40">
          <cell r="R40">
            <v>2045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</row>
        <row r="41">
          <cell r="R41">
            <v>2046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</row>
        <row r="42">
          <cell r="R42">
            <v>2047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</row>
        <row r="43">
          <cell r="R43">
            <v>2048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</row>
        <row r="44">
          <cell r="R44">
            <v>2049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ary (Energy PMT)"/>
      <sheetName val="2032-2035 adjustment"/>
      <sheetName val="SourceEnergy"/>
      <sheetName val="MWH-Split"/>
      <sheetName val="Monthly Levelized"/>
      <sheetName val="Monthly Energy Prices"/>
      <sheetName val="Security"/>
      <sheetName val="SecurityCalc"/>
      <sheetName val="HLH_LLH_MWHS"/>
      <sheetName val="HLH-LLH hours"/>
    </sheetNames>
    <sheetDataSet>
      <sheetData sheetId="0"/>
      <sheetData sheetId="1"/>
      <sheetData sheetId="2">
        <row r="12">
          <cell r="S12" t="str">
            <v>Winter</v>
          </cell>
          <cell r="T12" t="str">
            <v>Summer</v>
          </cell>
          <cell r="U12" t="str">
            <v>Winter</v>
          </cell>
          <cell r="V12" t="str">
            <v>Summer</v>
          </cell>
        </row>
        <row r="20">
          <cell r="R20">
            <v>2025</v>
          </cell>
          <cell r="S20">
            <v>29.578723930246777</v>
          </cell>
          <cell r="T20">
            <v>61.405874298484697</v>
          </cell>
          <cell r="U20">
            <v>35.002146028689822</v>
          </cell>
          <cell r="V20">
            <v>42.152288970481301</v>
          </cell>
        </row>
        <row r="21">
          <cell r="R21">
            <v>2026</v>
          </cell>
          <cell r="S21">
            <v>16.376389694650502</v>
          </cell>
          <cell r="T21">
            <v>30.804778334942675</v>
          </cell>
          <cell r="U21">
            <v>20.858341360605401</v>
          </cell>
          <cell r="V21">
            <v>23.603675259820218</v>
          </cell>
        </row>
        <row r="22">
          <cell r="R22">
            <v>2027</v>
          </cell>
          <cell r="S22">
            <v>16.559908944985676</v>
          </cell>
          <cell r="T22">
            <v>30.795732795795786</v>
          </cell>
          <cell r="U22">
            <v>21.611213910201592</v>
          </cell>
          <cell r="V22">
            <v>25.426801874014348</v>
          </cell>
        </row>
        <row r="23">
          <cell r="R23">
            <v>2028</v>
          </cell>
          <cell r="S23">
            <v>9.2629199355952956</v>
          </cell>
          <cell r="T23">
            <v>15.256371525302471</v>
          </cell>
          <cell r="U23">
            <v>11.783767218690821</v>
          </cell>
          <cell r="V23">
            <v>13.877348139413535</v>
          </cell>
        </row>
        <row r="24">
          <cell r="R24">
            <v>2029</v>
          </cell>
          <cell r="S24">
            <v>21.65329793052322</v>
          </cell>
          <cell r="T24">
            <v>26.804314588657654</v>
          </cell>
          <cell r="U24">
            <v>24.113509180396832</v>
          </cell>
          <cell r="V24">
            <v>26.503795008997759</v>
          </cell>
        </row>
        <row r="25">
          <cell r="R25">
            <v>2030</v>
          </cell>
          <cell r="S25">
            <v>23.808415978801889</v>
          </cell>
          <cell r="T25">
            <v>25.196914379652483</v>
          </cell>
          <cell r="U25">
            <v>25.106243255300992</v>
          </cell>
          <cell r="V25">
            <v>24.555531640870434</v>
          </cell>
        </row>
        <row r="26">
          <cell r="R26">
            <v>2031</v>
          </cell>
          <cell r="S26">
            <v>1.2622277507000015</v>
          </cell>
          <cell r="T26">
            <v>1.3324763453769157</v>
          </cell>
          <cell r="U26">
            <v>1.3680519151475468</v>
          </cell>
          <cell r="V26">
            <v>1.3180874086643435</v>
          </cell>
        </row>
        <row r="27">
          <cell r="R27">
            <v>2032</v>
          </cell>
          <cell r="S27">
            <v>1.3944501248787622</v>
          </cell>
          <cell r="T27">
            <v>1.51486384730774</v>
          </cell>
          <cell r="U27">
            <v>1.544042600783837</v>
          </cell>
          <cell r="V27">
            <v>1.5067362920486254</v>
          </cell>
        </row>
        <row r="28">
          <cell r="R28">
            <v>2033</v>
          </cell>
          <cell r="S28">
            <v>1.3772773450357849</v>
          </cell>
          <cell r="T28">
            <v>1.4529738196657391</v>
          </cell>
          <cell r="U28">
            <v>1.6088408220309822</v>
          </cell>
          <cell r="V28">
            <v>1.5087329010225248</v>
          </cell>
        </row>
        <row r="29">
          <cell r="R29">
            <v>2034</v>
          </cell>
          <cell r="S29">
            <v>1.3810863901287485</v>
          </cell>
          <cell r="T29">
            <v>1.4215221987621349</v>
          </cell>
          <cell r="U29">
            <v>1.614090190011342</v>
          </cell>
          <cell r="V29">
            <v>1.5453964015979327</v>
          </cell>
        </row>
        <row r="30">
          <cell r="R30">
            <v>2035</v>
          </cell>
          <cell r="S30">
            <v>1.4051781876754199</v>
          </cell>
          <cell r="T30">
            <v>1.3890821565031077</v>
          </cell>
          <cell r="U30">
            <v>1.5989652460316</v>
          </cell>
          <cell r="V30">
            <v>1.5615021519647532</v>
          </cell>
        </row>
        <row r="31">
          <cell r="R31">
            <v>2036</v>
          </cell>
          <cell r="S31">
            <v>14.258908041797229</v>
          </cell>
          <cell r="T31">
            <v>13.578791652525798</v>
          </cell>
          <cell r="U31">
            <v>15.762258389097889</v>
          </cell>
          <cell r="V31">
            <v>14.31945141985098</v>
          </cell>
        </row>
        <row r="32">
          <cell r="R32">
            <v>2037</v>
          </cell>
          <cell r="S32">
            <v>9.8027789775577716</v>
          </cell>
          <cell r="T32">
            <v>9.1553172433110657</v>
          </cell>
          <cell r="U32">
            <v>10.479469554845402</v>
          </cell>
          <cell r="V32">
            <v>9.9432841706334223</v>
          </cell>
        </row>
        <row r="33">
          <cell r="R33">
            <v>2038</v>
          </cell>
          <cell r="S33">
            <v>52.266482228960236</v>
          </cell>
          <cell r="T33">
            <v>48.710508795587074</v>
          </cell>
          <cell r="U33">
            <v>54.205470516677295</v>
          </cell>
          <cell r="V33">
            <v>47.652773787852411</v>
          </cell>
        </row>
        <row r="34">
          <cell r="R34">
            <v>2039</v>
          </cell>
          <cell r="S34">
            <v>56.351033907860952</v>
          </cell>
          <cell r="T34">
            <v>53.022270814098711</v>
          </cell>
          <cell r="U34">
            <v>60.054789675520659</v>
          </cell>
          <cell r="V34">
            <v>52.241268628894844</v>
          </cell>
        </row>
        <row r="35">
          <cell r="R35">
            <v>2040</v>
          </cell>
          <cell r="S35">
            <v>59.045575454723384</v>
          </cell>
          <cell r="T35">
            <v>56.81024893996711</v>
          </cell>
          <cell r="U35">
            <v>64.50013446236629</v>
          </cell>
          <cell r="V35">
            <v>55.996964544223502</v>
          </cell>
        </row>
        <row r="36">
          <cell r="R36">
            <v>2041</v>
          </cell>
          <cell r="S36">
            <v>59.276346307018684</v>
          </cell>
          <cell r="T36">
            <v>56.901553363705595</v>
          </cell>
          <cell r="U36">
            <v>62.679940499641617</v>
          </cell>
          <cell r="V36">
            <v>54.909197624801479</v>
          </cell>
        </row>
        <row r="37">
          <cell r="R37">
            <v>2042</v>
          </cell>
          <cell r="S37">
            <v>59.30280415867287</v>
          </cell>
          <cell r="T37">
            <v>55.319443222115083</v>
          </cell>
          <cell r="U37">
            <v>59.898692373949132</v>
          </cell>
          <cell r="V37">
            <v>52.913302685501066</v>
          </cell>
        </row>
        <row r="38">
          <cell r="R38">
            <v>2043</v>
          </cell>
          <cell r="S38">
            <v>67.766659957167789</v>
          </cell>
          <cell r="T38">
            <v>62.439127308270237</v>
          </cell>
          <cell r="U38">
            <v>67.340851746153859</v>
          </cell>
          <cell r="V38">
            <v>62.201797303581195</v>
          </cell>
        </row>
        <row r="39">
          <cell r="R39">
            <v>2044</v>
          </cell>
          <cell r="S39">
            <v>66.920337401835297</v>
          </cell>
          <cell r="T39">
            <v>60.605111870632079</v>
          </cell>
          <cell r="U39">
            <v>69.196375363797344</v>
          </cell>
          <cell r="V39">
            <v>58.471279177677381</v>
          </cell>
        </row>
        <row r="40">
          <cell r="R40">
            <v>2045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</row>
        <row r="41">
          <cell r="R41">
            <v>2046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</row>
        <row r="42">
          <cell r="R42">
            <v>2047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</row>
        <row r="43">
          <cell r="R43">
            <v>2048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</row>
        <row r="44">
          <cell r="R44">
            <v>2049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pacificorp.com/content/dam/pcorp/documents/en/pacificorp/energy/integrated-resource-plan/2025-irp/2025_IRP_Vol_1_Utah.pdf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ADDF6-D3DF-414D-83DA-AF2E5DDF75AC}">
  <sheetPr>
    <pageSetUpPr fitToPage="1"/>
  </sheetPr>
  <dimension ref="B1:Y25"/>
  <sheetViews>
    <sheetView tabSelected="1" view="pageBreakPreview" zoomScale="60" zoomScaleNormal="100" workbookViewId="0">
      <selection activeCell="O53" sqref="O53"/>
    </sheetView>
  </sheetViews>
  <sheetFormatPr defaultRowHeight="12.75" x14ac:dyDescent="0.2"/>
  <cols>
    <col min="2" max="2" width="27.6640625" customWidth="1"/>
    <col min="24" max="24" width="0.83203125" customWidth="1"/>
  </cols>
  <sheetData>
    <row r="1" spans="2:25" ht="15.75" x14ac:dyDescent="0.2">
      <c r="B1" s="313" t="s">
        <v>268</v>
      </c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  <c r="U1" s="313"/>
      <c r="V1" s="313"/>
      <c r="W1" s="313"/>
    </row>
    <row r="2" spans="2:25" ht="15.75" x14ac:dyDescent="0.2">
      <c r="B2" s="313" t="s">
        <v>265</v>
      </c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</row>
    <row r="3" spans="2:25" ht="15.75" x14ac:dyDescent="0.2"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13"/>
      <c r="R3" s="313"/>
      <c r="S3" s="313"/>
      <c r="T3" s="313"/>
      <c r="U3" s="313"/>
      <c r="V3" s="313"/>
      <c r="W3" s="313"/>
    </row>
    <row r="4" spans="2:25" ht="15" x14ac:dyDescent="0.25">
      <c r="B4" s="292" t="s">
        <v>254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293"/>
      <c r="X4" s="6"/>
      <c r="Y4" s="307"/>
    </row>
    <row r="5" spans="2:25" ht="15" x14ac:dyDescent="0.25">
      <c r="B5" s="308"/>
      <c r="C5" s="309" t="s">
        <v>255</v>
      </c>
      <c r="D5" s="309"/>
      <c r="E5" s="309"/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310"/>
      <c r="V5" s="310"/>
      <c r="W5" s="309"/>
      <c r="X5" s="6"/>
      <c r="Y5" s="309"/>
    </row>
    <row r="6" spans="2:25" ht="15" x14ac:dyDescent="0.25">
      <c r="B6" s="294" t="s">
        <v>256</v>
      </c>
      <c r="C6" s="295">
        <v>2025</v>
      </c>
      <c r="D6" s="295">
        <v>2026</v>
      </c>
      <c r="E6" s="295">
        <v>2027</v>
      </c>
      <c r="F6" s="295">
        <v>2028</v>
      </c>
      <c r="G6" s="295">
        <v>2029</v>
      </c>
      <c r="H6" s="295">
        <v>2030</v>
      </c>
      <c r="I6" s="295">
        <v>2031</v>
      </c>
      <c r="J6" s="295">
        <v>2032</v>
      </c>
      <c r="K6" s="295">
        <v>2033</v>
      </c>
      <c r="L6" s="295">
        <v>2034</v>
      </c>
      <c r="M6" s="295">
        <v>2035</v>
      </c>
      <c r="N6" s="295">
        <v>2036</v>
      </c>
      <c r="O6" s="295">
        <v>2037</v>
      </c>
      <c r="P6" s="295">
        <v>2038</v>
      </c>
      <c r="Q6" s="295">
        <v>2039</v>
      </c>
      <c r="R6" s="295">
        <v>2040</v>
      </c>
      <c r="S6" s="295">
        <v>2041</v>
      </c>
      <c r="T6" s="295">
        <v>2042</v>
      </c>
      <c r="U6" s="295">
        <v>2043</v>
      </c>
      <c r="V6" s="295">
        <v>2044</v>
      </c>
      <c r="W6" s="295">
        <v>2045</v>
      </c>
      <c r="X6" s="6"/>
      <c r="Y6" s="295" t="s">
        <v>257</v>
      </c>
    </row>
    <row r="7" spans="2:25" ht="15" x14ac:dyDescent="0.25">
      <c r="B7" s="311" t="s">
        <v>258</v>
      </c>
      <c r="C7" s="302"/>
      <c r="D7" s="302"/>
      <c r="E7" s="302"/>
      <c r="F7" s="302"/>
      <c r="G7" s="302"/>
      <c r="H7" s="302"/>
      <c r="I7" s="302"/>
      <c r="J7" s="302"/>
      <c r="K7" s="302"/>
      <c r="L7" s="302"/>
      <c r="M7" s="302"/>
      <c r="N7" s="302"/>
      <c r="O7" s="302"/>
      <c r="P7" s="302"/>
      <c r="Q7" s="302"/>
      <c r="R7" s="302"/>
      <c r="S7" s="302"/>
      <c r="T7" s="302"/>
      <c r="U7" s="302"/>
      <c r="V7" s="302"/>
      <c r="W7" s="303"/>
      <c r="X7" s="6"/>
      <c r="Y7" s="304"/>
    </row>
    <row r="8" spans="2:25" ht="15" x14ac:dyDescent="0.25">
      <c r="B8" s="296" t="s">
        <v>134</v>
      </c>
      <c r="C8" s="299">
        <v>50</v>
      </c>
      <c r="D8" s="299">
        <v>57</v>
      </c>
      <c r="E8" s="299">
        <v>145.44631769599994</v>
      </c>
      <c r="F8" s="299">
        <v>166.79736987099983</v>
      </c>
      <c r="G8" s="299">
        <v>171.91584887200014</v>
      </c>
      <c r="H8" s="299">
        <v>182.4955617989998</v>
      </c>
      <c r="I8" s="299">
        <v>232.87492332399972</v>
      </c>
      <c r="J8" s="299">
        <v>218.99371752700006</v>
      </c>
      <c r="K8" s="299">
        <v>197.39883715700034</v>
      </c>
      <c r="L8" s="299">
        <v>173.87680819099933</v>
      </c>
      <c r="M8" s="299">
        <v>157.00005665700041</v>
      </c>
      <c r="N8" s="299">
        <v>159.41550493600039</v>
      </c>
      <c r="O8" s="299">
        <v>149.3136869729999</v>
      </c>
      <c r="P8" s="299">
        <v>133.73309751099941</v>
      </c>
      <c r="Q8" s="299">
        <v>123.35410126700026</v>
      </c>
      <c r="R8" s="299">
        <v>109.04927849000387</v>
      </c>
      <c r="S8" s="299">
        <v>102.08376634499973</v>
      </c>
      <c r="T8" s="299">
        <v>123.08281613000008</v>
      </c>
      <c r="U8" s="299">
        <v>107.01871990149948</v>
      </c>
      <c r="V8" s="299">
        <v>102.50594202850061</v>
      </c>
      <c r="W8" s="299">
        <v>83.955814179599656</v>
      </c>
      <c r="X8" s="6"/>
      <c r="Y8" s="299">
        <v>2947.312168855603</v>
      </c>
    </row>
    <row r="9" spans="2:25" x14ac:dyDescent="0.2">
      <c r="B9" s="298" t="s">
        <v>126</v>
      </c>
      <c r="C9" s="299">
        <v>14</v>
      </c>
      <c r="D9" s="299">
        <v>1</v>
      </c>
      <c r="E9" s="299">
        <v>0.7853740000000009</v>
      </c>
      <c r="F9" s="299">
        <v>97.916518589000233</v>
      </c>
      <c r="G9" s="299">
        <v>26.228285502999995</v>
      </c>
      <c r="H9" s="299">
        <v>20.931512004999377</v>
      </c>
      <c r="I9" s="299">
        <v>0</v>
      </c>
      <c r="J9" s="299">
        <v>30.837123531000003</v>
      </c>
      <c r="K9" s="299">
        <v>0</v>
      </c>
      <c r="L9" s="299">
        <v>41.660081629000047</v>
      </c>
      <c r="M9" s="299">
        <v>22.910010154999981</v>
      </c>
      <c r="N9" s="299">
        <v>12.189072379999971</v>
      </c>
      <c r="O9" s="299">
        <v>12.700880456999926</v>
      </c>
      <c r="P9" s="299">
        <v>13.369311967999863</v>
      </c>
      <c r="Q9" s="299">
        <v>38.332431944999996</v>
      </c>
      <c r="R9" s="299">
        <v>17.922786700000074</v>
      </c>
      <c r="S9" s="299">
        <v>16.10691447399995</v>
      </c>
      <c r="T9" s="299">
        <v>29.532570445000147</v>
      </c>
      <c r="U9" s="299">
        <v>68.208485238999799</v>
      </c>
      <c r="V9" s="299">
        <v>22.086662943000135</v>
      </c>
      <c r="W9" s="299">
        <v>135.43434963200002</v>
      </c>
      <c r="X9" s="299"/>
      <c r="Y9" s="299">
        <v>622.15237159499952</v>
      </c>
    </row>
    <row r="10" spans="2:25" ht="15" x14ac:dyDescent="0.25">
      <c r="B10" s="298" t="s">
        <v>122</v>
      </c>
      <c r="C10" s="299">
        <v>0</v>
      </c>
      <c r="D10" s="299">
        <v>0</v>
      </c>
      <c r="E10" s="299">
        <v>0</v>
      </c>
      <c r="F10" s="299">
        <v>0</v>
      </c>
      <c r="G10" s="299">
        <v>0</v>
      </c>
      <c r="H10" s="299">
        <v>337.75</v>
      </c>
      <c r="I10" s="299">
        <v>0</v>
      </c>
      <c r="J10" s="299">
        <v>0</v>
      </c>
      <c r="K10" s="299">
        <v>0</v>
      </c>
      <c r="L10" s="299">
        <v>0</v>
      </c>
      <c r="M10" s="299">
        <v>0</v>
      </c>
      <c r="N10" s="299">
        <v>0</v>
      </c>
      <c r="O10" s="299">
        <v>0</v>
      </c>
      <c r="P10" s="299">
        <v>0</v>
      </c>
      <c r="Q10" s="299">
        <v>0</v>
      </c>
      <c r="R10" s="299">
        <v>0</v>
      </c>
      <c r="S10" s="299">
        <v>0</v>
      </c>
      <c r="T10" s="299">
        <v>0</v>
      </c>
      <c r="U10" s="299">
        <v>0</v>
      </c>
      <c r="V10" s="299">
        <v>0</v>
      </c>
      <c r="W10" s="299">
        <v>0</v>
      </c>
      <c r="X10" s="6"/>
      <c r="Y10" s="299">
        <v>337.75</v>
      </c>
    </row>
    <row r="11" spans="2:25" ht="15" x14ac:dyDescent="0.25">
      <c r="B11" s="298" t="s">
        <v>259</v>
      </c>
      <c r="C11" s="299">
        <v>0</v>
      </c>
      <c r="D11" s="299">
        <v>0</v>
      </c>
      <c r="E11" s="299">
        <v>0</v>
      </c>
      <c r="F11" s="299">
        <v>403.03573566663653</v>
      </c>
      <c r="G11" s="299">
        <v>210.59213086996357</v>
      </c>
      <c r="H11" s="299">
        <v>0</v>
      </c>
      <c r="I11" s="299">
        <v>0</v>
      </c>
      <c r="J11" s="299">
        <v>450.99999989999992</v>
      </c>
      <c r="K11" s="299">
        <v>0</v>
      </c>
      <c r="L11" s="299">
        <v>0</v>
      </c>
      <c r="M11" s="299">
        <v>0</v>
      </c>
      <c r="N11" s="299">
        <v>338.24052644283461</v>
      </c>
      <c r="O11" s="299">
        <v>0</v>
      </c>
      <c r="P11" s="299">
        <v>0</v>
      </c>
      <c r="Q11" s="299">
        <v>0</v>
      </c>
      <c r="R11" s="299">
        <v>0</v>
      </c>
      <c r="S11" s="299">
        <v>0</v>
      </c>
      <c r="T11" s="299">
        <v>0</v>
      </c>
      <c r="U11" s="299">
        <v>0</v>
      </c>
      <c r="V11" s="299">
        <v>0</v>
      </c>
      <c r="W11" s="299">
        <v>0</v>
      </c>
      <c r="X11" s="6"/>
      <c r="Y11" s="299">
        <v>1402.8683928794346</v>
      </c>
    </row>
    <row r="12" spans="2:25" ht="15" x14ac:dyDescent="0.25">
      <c r="B12" s="298" t="s">
        <v>216</v>
      </c>
      <c r="C12" s="299">
        <v>0</v>
      </c>
      <c r="D12" s="299">
        <v>0</v>
      </c>
      <c r="E12" s="299">
        <v>0</v>
      </c>
      <c r="F12" s="299">
        <v>0</v>
      </c>
      <c r="G12" s="299">
        <v>0</v>
      </c>
      <c r="H12" s="299">
        <v>0</v>
      </c>
      <c r="I12" s="299">
        <v>0</v>
      </c>
      <c r="J12" s="299">
        <v>0</v>
      </c>
      <c r="K12" s="299">
        <v>0</v>
      </c>
      <c r="L12" s="299">
        <v>0</v>
      </c>
      <c r="M12" s="299">
        <v>0</v>
      </c>
      <c r="N12" s="299">
        <v>0</v>
      </c>
      <c r="O12" s="299">
        <v>0</v>
      </c>
      <c r="P12" s="299">
        <v>0</v>
      </c>
      <c r="Q12" s="299">
        <v>0</v>
      </c>
      <c r="R12" s="299">
        <v>0</v>
      </c>
      <c r="S12" s="299">
        <v>0</v>
      </c>
      <c r="T12" s="299">
        <v>236.38172541185776</v>
      </c>
      <c r="U12" s="299">
        <v>802.17809728776524</v>
      </c>
      <c r="V12" s="299">
        <v>0</v>
      </c>
      <c r="W12" s="299">
        <v>0</v>
      </c>
      <c r="X12" s="6"/>
      <c r="Y12" s="299">
        <v>1038.5598226996231</v>
      </c>
    </row>
    <row r="13" spans="2:25" ht="15" x14ac:dyDescent="0.25">
      <c r="B13" s="300" t="s">
        <v>178</v>
      </c>
      <c r="C13" s="297">
        <v>0</v>
      </c>
      <c r="D13" s="297">
        <v>0</v>
      </c>
      <c r="E13" s="297">
        <v>0</v>
      </c>
      <c r="F13" s="297">
        <v>0</v>
      </c>
      <c r="G13" s="297">
        <v>0</v>
      </c>
      <c r="H13" s="297">
        <v>0</v>
      </c>
      <c r="I13" s="297">
        <v>0</v>
      </c>
      <c r="J13" s="297">
        <v>226.18239980669605</v>
      </c>
      <c r="K13" s="297">
        <v>0</v>
      </c>
      <c r="L13" s="297">
        <v>0.44999989500001902</v>
      </c>
      <c r="M13" s="297">
        <v>0</v>
      </c>
      <c r="N13" s="297">
        <v>332.99999986750026</v>
      </c>
      <c r="O13" s="297">
        <v>2.9999998634999656</v>
      </c>
      <c r="P13" s="297">
        <v>0</v>
      </c>
      <c r="Q13" s="297">
        <v>0</v>
      </c>
      <c r="R13" s="297">
        <v>0</v>
      </c>
      <c r="S13" s="297">
        <v>0</v>
      </c>
      <c r="T13" s="297">
        <v>0</v>
      </c>
      <c r="U13" s="297">
        <v>0</v>
      </c>
      <c r="V13" s="297">
        <v>0</v>
      </c>
      <c r="W13" s="297">
        <v>0</v>
      </c>
      <c r="X13" s="6"/>
      <c r="Y13" s="297">
        <v>562.63239943269627</v>
      </c>
    </row>
    <row r="14" spans="2:25" ht="15" x14ac:dyDescent="0.25">
      <c r="B14" s="301" t="s">
        <v>180</v>
      </c>
      <c r="C14" s="297">
        <v>0</v>
      </c>
      <c r="D14" s="297">
        <v>352</v>
      </c>
      <c r="E14" s="297">
        <v>1.874721740197522</v>
      </c>
      <c r="F14" s="297">
        <v>102.59500000000006</v>
      </c>
      <c r="G14" s="297">
        <v>0</v>
      </c>
      <c r="H14" s="297">
        <v>29.562980513610711</v>
      </c>
      <c r="I14" s="297">
        <v>0</v>
      </c>
      <c r="J14" s="297">
        <v>14.229890737609708</v>
      </c>
      <c r="K14" s="297">
        <v>0</v>
      </c>
      <c r="L14" s="297">
        <v>223.6150405473461</v>
      </c>
      <c r="M14" s="297">
        <v>2.4079466319999483</v>
      </c>
      <c r="N14" s="297">
        <v>0</v>
      </c>
      <c r="O14" s="297">
        <v>11.028920000000028</v>
      </c>
      <c r="P14" s="297">
        <v>4.1896724799999561</v>
      </c>
      <c r="Q14" s="297">
        <v>3.918989093889536</v>
      </c>
      <c r="R14" s="297">
        <v>0</v>
      </c>
      <c r="S14" s="297">
        <v>4.1592327000000182</v>
      </c>
      <c r="T14" s="297">
        <v>196.76387632886099</v>
      </c>
      <c r="U14" s="297">
        <v>63.445441895881231</v>
      </c>
      <c r="V14" s="297">
        <v>3.9224846920000118</v>
      </c>
      <c r="W14" s="297">
        <v>4.1163320239999166</v>
      </c>
      <c r="X14" s="6"/>
      <c r="Y14" s="297">
        <v>1017.8305293853955</v>
      </c>
    </row>
    <row r="15" spans="2:25" ht="15" x14ac:dyDescent="0.25">
      <c r="B15" s="301" t="s">
        <v>212</v>
      </c>
      <c r="C15" s="297">
        <v>0</v>
      </c>
      <c r="D15" s="297">
        <v>0</v>
      </c>
      <c r="E15" s="297">
        <v>0</v>
      </c>
      <c r="F15" s="297">
        <v>0</v>
      </c>
      <c r="G15" s="297">
        <v>0</v>
      </c>
      <c r="H15" s="297">
        <v>65.062256497107711</v>
      </c>
      <c r="I15" s="297">
        <v>0</v>
      </c>
      <c r="J15" s="297">
        <v>0</v>
      </c>
      <c r="K15" s="297">
        <v>0</v>
      </c>
      <c r="L15" s="297">
        <v>44.078867296473049</v>
      </c>
      <c r="M15" s="297">
        <v>45.554774215462061</v>
      </c>
      <c r="N15" s="297">
        <v>0</v>
      </c>
      <c r="O15" s="297">
        <v>0</v>
      </c>
      <c r="P15" s="297">
        <v>284.78811661005739</v>
      </c>
      <c r="Q15" s="297">
        <v>405.40957456286026</v>
      </c>
      <c r="R15" s="297">
        <v>199.58396596096429</v>
      </c>
      <c r="S15" s="297">
        <v>179.81441162653527</v>
      </c>
      <c r="T15" s="297">
        <v>0</v>
      </c>
      <c r="U15" s="297">
        <v>35.295588554312872</v>
      </c>
      <c r="V15" s="297">
        <v>186.57276657588773</v>
      </c>
      <c r="W15" s="297">
        <v>35.151696219908217</v>
      </c>
      <c r="X15" s="6"/>
      <c r="Y15" s="297">
        <v>1481.3120181195688</v>
      </c>
    </row>
    <row r="16" spans="2:25" ht="15" hidden="1" x14ac:dyDescent="0.25">
      <c r="B16" s="300" t="s">
        <v>178</v>
      </c>
      <c r="C16" s="297">
        <v>0</v>
      </c>
      <c r="D16" s="297">
        <v>0</v>
      </c>
      <c r="E16" s="297">
        <v>0</v>
      </c>
      <c r="F16" s="297">
        <v>0</v>
      </c>
      <c r="G16" s="297">
        <v>0</v>
      </c>
      <c r="H16" s="297">
        <v>0</v>
      </c>
      <c r="I16" s="297">
        <v>0</v>
      </c>
      <c r="J16" s="297">
        <v>0</v>
      </c>
      <c r="K16" s="297">
        <v>0</v>
      </c>
      <c r="L16" s="297">
        <v>0</v>
      </c>
      <c r="M16" s="297">
        <v>0</v>
      </c>
      <c r="N16" s="297">
        <v>0</v>
      </c>
      <c r="O16" s="297">
        <v>0</v>
      </c>
      <c r="P16" s="297">
        <v>0</v>
      </c>
      <c r="Q16" s="297">
        <v>0</v>
      </c>
      <c r="R16" s="297">
        <v>0</v>
      </c>
      <c r="S16" s="297">
        <v>0</v>
      </c>
      <c r="T16" s="297">
        <v>0</v>
      </c>
      <c r="U16" s="297">
        <v>0</v>
      </c>
      <c r="V16" s="297">
        <v>0</v>
      </c>
      <c r="W16" s="297">
        <v>0</v>
      </c>
      <c r="X16" s="6"/>
      <c r="Y16" s="297">
        <v>0</v>
      </c>
    </row>
    <row r="17" spans="2:25" ht="15" hidden="1" x14ac:dyDescent="0.25">
      <c r="B17" s="301" t="s">
        <v>260</v>
      </c>
      <c r="C17" s="297">
        <v>0</v>
      </c>
      <c r="D17" s="297">
        <v>0</v>
      </c>
      <c r="E17" s="297">
        <v>0</v>
      </c>
      <c r="F17" s="297">
        <v>0</v>
      </c>
      <c r="G17" s="297">
        <v>0</v>
      </c>
      <c r="H17" s="297">
        <v>0</v>
      </c>
      <c r="I17" s="297">
        <v>0</v>
      </c>
      <c r="J17" s="297">
        <v>0</v>
      </c>
      <c r="K17" s="297">
        <v>0</v>
      </c>
      <c r="L17" s="297">
        <v>0</v>
      </c>
      <c r="M17" s="297">
        <v>0</v>
      </c>
      <c r="N17" s="297">
        <v>0</v>
      </c>
      <c r="O17" s="297">
        <v>0</v>
      </c>
      <c r="P17" s="297">
        <v>0</v>
      </c>
      <c r="Q17" s="297">
        <v>0</v>
      </c>
      <c r="R17" s="297">
        <v>0</v>
      </c>
      <c r="S17" s="297">
        <v>0</v>
      </c>
      <c r="T17" s="297">
        <v>0</v>
      </c>
      <c r="U17" s="297">
        <v>0</v>
      </c>
      <c r="V17" s="297">
        <v>0</v>
      </c>
      <c r="W17" s="297">
        <v>0</v>
      </c>
      <c r="X17" s="6"/>
      <c r="Y17" s="297">
        <v>0</v>
      </c>
    </row>
    <row r="18" spans="2:25" ht="15" hidden="1" x14ac:dyDescent="0.25">
      <c r="B18" s="301" t="s">
        <v>261</v>
      </c>
      <c r="C18" s="297">
        <v>0</v>
      </c>
      <c r="D18" s="297">
        <v>0</v>
      </c>
      <c r="E18" s="297">
        <v>0</v>
      </c>
      <c r="F18" s="297">
        <v>0</v>
      </c>
      <c r="G18" s="297">
        <v>0</v>
      </c>
      <c r="H18" s="297">
        <v>0</v>
      </c>
      <c r="I18" s="297">
        <v>0</v>
      </c>
      <c r="J18" s="297">
        <v>0</v>
      </c>
      <c r="K18" s="297">
        <v>0</v>
      </c>
      <c r="L18" s="297">
        <v>0</v>
      </c>
      <c r="M18" s="297">
        <v>0</v>
      </c>
      <c r="N18" s="297">
        <v>0</v>
      </c>
      <c r="O18" s="297">
        <v>0</v>
      </c>
      <c r="P18" s="297">
        <v>0</v>
      </c>
      <c r="Q18" s="297">
        <v>0</v>
      </c>
      <c r="R18" s="297">
        <v>0</v>
      </c>
      <c r="S18" s="297">
        <v>0</v>
      </c>
      <c r="T18" s="297">
        <v>0</v>
      </c>
      <c r="U18" s="297">
        <v>0</v>
      </c>
      <c r="V18" s="297">
        <v>0</v>
      </c>
      <c r="W18" s="297">
        <v>0</v>
      </c>
      <c r="X18" s="6"/>
      <c r="Y18" s="297">
        <v>0</v>
      </c>
    </row>
    <row r="19" spans="2:25" ht="15" hidden="1" x14ac:dyDescent="0.25">
      <c r="B19" s="301" t="s">
        <v>180</v>
      </c>
      <c r="C19" s="297">
        <v>0</v>
      </c>
      <c r="D19" s="297">
        <v>0</v>
      </c>
      <c r="E19" s="297">
        <v>0</v>
      </c>
      <c r="F19" s="297">
        <v>0</v>
      </c>
      <c r="G19" s="297">
        <v>0</v>
      </c>
      <c r="H19" s="297">
        <v>0</v>
      </c>
      <c r="I19" s="297">
        <v>0</v>
      </c>
      <c r="J19" s="297">
        <v>0</v>
      </c>
      <c r="K19" s="297">
        <v>0</v>
      </c>
      <c r="L19" s="297">
        <v>0</v>
      </c>
      <c r="M19" s="297">
        <v>0</v>
      </c>
      <c r="N19" s="297">
        <v>0</v>
      </c>
      <c r="O19" s="297">
        <v>0</v>
      </c>
      <c r="P19" s="297">
        <v>0</v>
      </c>
      <c r="Q19" s="297">
        <v>0</v>
      </c>
      <c r="R19" s="297">
        <v>0</v>
      </c>
      <c r="S19" s="297">
        <v>0</v>
      </c>
      <c r="T19" s="297">
        <v>0</v>
      </c>
      <c r="U19" s="297">
        <v>0</v>
      </c>
      <c r="V19" s="297">
        <v>0</v>
      </c>
      <c r="W19" s="297">
        <v>0</v>
      </c>
      <c r="X19" s="6"/>
      <c r="Y19" s="297">
        <v>0</v>
      </c>
    </row>
    <row r="20" spans="2:25" ht="15" hidden="1" x14ac:dyDescent="0.25">
      <c r="B20" s="301" t="s">
        <v>212</v>
      </c>
      <c r="C20" s="297">
        <v>0</v>
      </c>
      <c r="D20" s="297">
        <v>0</v>
      </c>
      <c r="E20" s="297">
        <v>0</v>
      </c>
      <c r="F20" s="297">
        <v>0</v>
      </c>
      <c r="G20" s="297">
        <v>0</v>
      </c>
      <c r="H20" s="297">
        <v>0</v>
      </c>
      <c r="I20" s="297">
        <v>0</v>
      </c>
      <c r="J20" s="297">
        <v>0</v>
      </c>
      <c r="K20" s="297">
        <v>0</v>
      </c>
      <c r="L20" s="297">
        <v>0</v>
      </c>
      <c r="M20" s="297">
        <v>0</v>
      </c>
      <c r="N20" s="297">
        <v>0</v>
      </c>
      <c r="O20" s="297">
        <v>0</v>
      </c>
      <c r="P20" s="297">
        <v>0</v>
      </c>
      <c r="Q20" s="297">
        <v>0</v>
      </c>
      <c r="R20" s="297">
        <v>0</v>
      </c>
      <c r="S20" s="297">
        <v>0</v>
      </c>
      <c r="T20" s="297">
        <v>0</v>
      </c>
      <c r="U20" s="297">
        <v>0</v>
      </c>
      <c r="V20" s="297">
        <v>0</v>
      </c>
      <c r="W20" s="297">
        <v>0</v>
      </c>
      <c r="X20" s="6"/>
      <c r="Y20" s="297">
        <v>0</v>
      </c>
    </row>
    <row r="21" spans="2:25" ht="15" hidden="1" x14ac:dyDescent="0.25">
      <c r="B21" s="301" t="s">
        <v>262</v>
      </c>
      <c r="C21" s="297">
        <v>0</v>
      </c>
      <c r="D21" s="297">
        <v>0</v>
      </c>
      <c r="E21" s="297">
        <v>0</v>
      </c>
      <c r="F21" s="297">
        <v>0</v>
      </c>
      <c r="G21" s="297">
        <v>0</v>
      </c>
      <c r="H21" s="297">
        <v>0</v>
      </c>
      <c r="I21" s="297">
        <v>0</v>
      </c>
      <c r="J21" s="297">
        <v>0</v>
      </c>
      <c r="K21" s="297">
        <v>0</v>
      </c>
      <c r="L21" s="297">
        <v>0</v>
      </c>
      <c r="M21" s="297">
        <v>0</v>
      </c>
      <c r="N21" s="297">
        <v>0</v>
      </c>
      <c r="O21" s="297">
        <v>0</v>
      </c>
      <c r="P21" s="297">
        <v>0</v>
      </c>
      <c r="Q21" s="297">
        <v>0</v>
      </c>
      <c r="R21" s="297">
        <v>0</v>
      </c>
      <c r="S21" s="297">
        <v>0</v>
      </c>
      <c r="T21" s="297">
        <v>0</v>
      </c>
      <c r="U21" s="297">
        <v>0</v>
      </c>
      <c r="V21" s="297">
        <v>0</v>
      </c>
      <c r="W21" s="297">
        <v>0</v>
      </c>
      <c r="X21" s="6"/>
      <c r="Y21" s="297">
        <v>0</v>
      </c>
    </row>
    <row r="22" spans="2:25" ht="15" hidden="1" x14ac:dyDescent="0.25">
      <c r="B22" s="300" t="s">
        <v>263</v>
      </c>
      <c r="C22" s="297">
        <v>0</v>
      </c>
      <c r="D22" s="297">
        <v>0</v>
      </c>
      <c r="E22" s="297">
        <v>0</v>
      </c>
      <c r="F22" s="297">
        <v>0</v>
      </c>
      <c r="G22" s="297">
        <v>0</v>
      </c>
      <c r="H22" s="297">
        <v>0</v>
      </c>
      <c r="I22" s="297">
        <v>0</v>
      </c>
      <c r="J22" s="297">
        <v>0</v>
      </c>
      <c r="K22" s="297">
        <v>0</v>
      </c>
      <c r="L22" s="297">
        <v>0</v>
      </c>
      <c r="M22" s="297">
        <v>0</v>
      </c>
      <c r="N22" s="297">
        <v>0</v>
      </c>
      <c r="O22" s="297">
        <v>0</v>
      </c>
      <c r="P22" s="297">
        <v>0</v>
      </c>
      <c r="Q22" s="297">
        <v>0</v>
      </c>
      <c r="R22" s="297">
        <v>0</v>
      </c>
      <c r="S22" s="297">
        <v>0</v>
      </c>
      <c r="T22" s="297">
        <v>0</v>
      </c>
      <c r="U22" s="297">
        <v>0</v>
      </c>
      <c r="V22" s="297">
        <v>0</v>
      </c>
      <c r="W22" s="297">
        <v>0</v>
      </c>
      <c r="X22" s="6"/>
      <c r="Y22" s="297">
        <v>0</v>
      </c>
    </row>
    <row r="23" spans="2:25" ht="15" x14ac:dyDescent="0.25">
      <c r="B23" s="40"/>
      <c r="C23" s="305"/>
      <c r="D23" s="305"/>
      <c r="E23" s="305"/>
      <c r="F23" s="305"/>
      <c r="G23" s="305"/>
      <c r="H23" s="305"/>
      <c r="I23" s="305"/>
      <c r="J23" s="305"/>
      <c r="K23" s="305"/>
      <c r="L23" s="305"/>
      <c r="M23" s="305"/>
      <c r="N23" s="305"/>
      <c r="O23" s="305"/>
      <c r="P23" s="305"/>
      <c r="Q23" s="305"/>
      <c r="R23" s="305"/>
      <c r="S23" s="305"/>
      <c r="T23" s="305"/>
      <c r="U23" s="305"/>
      <c r="V23" s="305"/>
      <c r="W23" s="305"/>
      <c r="X23" s="6"/>
      <c r="Y23" s="305"/>
    </row>
    <row r="24" spans="2:25" x14ac:dyDescent="0.2">
      <c r="B24" t="s">
        <v>266</v>
      </c>
    </row>
    <row r="25" spans="2:25" x14ac:dyDescent="0.2">
      <c r="B25" s="306" t="s">
        <v>264</v>
      </c>
    </row>
  </sheetData>
  <mergeCells count="3">
    <mergeCell ref="B1:W1"/>
    <mergeCell ref="B2:W2"/>
    <mergeCell ref="B3:W3"/>
  </mergeCells>
  <hyperlinks>
    <hyperlink ref="B25" r:id="rId1" xr:uid="{B8B75469-2308-48A8-AA25-89234F24A9CA}"/>
  </hyperlinks>
  <pageMargins left="0.7" right="0.7" top="0.75" bottom="0.75" header="0.3" footer="0.3"/>
  <pageSetup scale="56" orientation="landscape" horizontalDpi="1200" verticalDpi="1200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3">
    <tabColor rgb="FFFF0000"/>
  </sheetPr>
  <dimension ref="A1:V43"/>
  <sheetViews>
    <sheetView showGridLines="0" zoomScale="80" zoomScaleNormal="80" zoomScaleSheetLayoutView="85" workbookViewId="0">
      <pane xSplit="2" ySplit="7" topLeftCell="C18" activePane="bottomRight" state="frozen"/>
      <selection pane="topRight" activeCell="C1" sqref="C1"/>
      <selection pane="bottomLeft" activeCell="A8" sqref="A8"/>
      <selection pane="bottomRight" activeCell="G22" sqref="G22"/>
    </sheetView>
  </sheetViews>
  <sheetFormatPr defaultColWidth="9.33203125" defaultRowHeight="12" x14ac:dyDescent="0.2"/>
  <cols>
    <col min="1" max="1" width="2.83203125" style="25" customWidth="1"/>
    <col min="2" max="2" width="22.6640625" style="25" customWidth="1"/>
    <col min="3" max="6" width="18.83203125" style="25" customWidth="1"/>
    <col min="7" max="7" width="17" style="25" customWidth="1"/>
    <col min="8" max="8" width="9.33203125" style="25"/>
    <col min="9" max="9" width="11.6640625" style="175" customWidth="1"/>
    <col min="10" max="10" width="3.5" style="175" customWidth="1"/>
    <col min="11" max="11" width="17.1640625" style="175" customWidth="1"/>
    <col min="12" max="12" width="12.5" style="175" customWidth="1"/>
    <col min="13" max="13" width="11" style="175" customWidth="1"/>
    <col min="14" max="14" width="3.83203125" style="175" customWidth="1"/>
    <col min="15" max="16" width="12.5" style="175" customWidth="1"/>
    <col min="17" max="17" width="3.83203125" style="175" customWidth="1"/>
    <col min="18" max="19" width="12.5" style="175" customWidth="1"/>
    <col min="20" max="20" width="3.33203125" style="175" customWidth="1"/>
    <col min="21" max="22" width="12.5" style="175" customWidth="1"/>
    <col min="23" max="16384" width="9.33203125" style="25"/>
  </cols>
  <sheetData>
    <row r="1" spans="1:22" x14ac:dyDescent="0.2">
      <c r="A1" s="2"/>
      <c r="B1" s="2"/>
      <c r="C1" s="2"/>
      <c r="D1" s="2"/>
      <c r="E1" s="2"/>
      <c r="F1" s="2"/>
      <c r="G1" s="2"/>
      <c r="I1" s="174"/>
      <c r="J1" s="174"/>
    </row>
    <row r="2" spans="1:22" x14ac:dyDescent="0.2">
      <c r="A2" s="2"/>
      <c r="B2" s="2" t="s">
        <v>15</v>
      </c>
      <c r="C2" s="2"/>
      <c r="D2" s="2"/>
      <c r="E2" s="2"/>
      <c r="F2" s="2"/>
      <c r="G2" s="2"/>
      <c r="I2" s="174"/>
      <c r="J2" s="174"/>
    </row>
    <row r="3" spans="1:22" x14ac:dyDescent="0.2">
      <c r="B3" s="44"/>
      <c r="I3" s="174"/>
      <c r="J3" s="174"/>
    </row>
    <row r="4" spans="1:22" x14ac:dyDescent="0.2">
      <c r="A4" s="26"/>
      <c r="B4" s="25" t="s">
        <v>34</v>
      </c>
      <c r="C4" s="26"/>
      <c r="D4" s="26"/>
      <c r="E4" s="26"/>
      <c r="F4" s="26"/>
      <c r="G4" s="26"/>
      <c r="I4" s="176"/>
      <c r="J4" s="176"/>
      <c r="L4" s="177"/>
      <c r="O4" s="177"/>
      <c r="R4" s="177"/>
      <c r="U4" s="177"/>
    </row>
    <row r="5" spans="1:22" x14ac:dyDescent="0.2">
      <c r="A5" s="26"/>
      <c r="B5" s="26"/>
    </row>
    <row r="6" spans="1:22" x14ac:dyDescent="0.2">
      <c r="A6" s="26"/>
      <c r="B6" s="26" t="s">
        <v>26</v>
      </c>
      <c r="C6" s="27" t="s">
        <v>151</v>
      </c>
      <c r="D6" s="27"/>
      <c r="E6" s="45" t="s">
        <v>71</v>
      </c>
      <c r="F6" s="27"/>
      <c r="G6" s="27"/>
      <c r="J6" s="178"/>
      <c r="L6" s="175" t="s">
        <v>95</v>
      </c>
      <c r="O6" s="175" t="s">
        <v>96</v>
      </c>
      <c r="R6" s="175" t="s">
        <v>97</v>
      </c>
      <c r="U6" s="175" t="s">
        <v>98</v>
      </c>
    </row>
    <row r="7" spans="1:22" ht="14.25" x14ac:dyDescent="0.35">
      <c r="A7" s="26"/>
      <c r="B7" s="26" t="s">
        <v>24</v>
      </c>
      <c r="C7" s="28" t="s">
        <v>7</v>
      </c>
      <c r="D7" s="28" t="s">
        <v>8</v>
      </c>
      <c r="E7" s="28" t="s">
        <v>7</v>
      </c>
      <c r="F7" s="28" t="s">
        <v>8</v>
      </c>
      <c r="G7" s="28"/>
      <c r="I7" s="179" t="s">
        <v>100</v>
      </c>
      <c r="J7" s="180"/>
      <c r="K7" s="181"/>
      <c r="L7" s="181" t="s">
        <v>99</v>
      </c>
      <c r="M7" s="181"/>
      <c r="O7" s="181" t="s">
        <v>99</v>
      </c>
      <c r="R7" s="181" t="s">
        <v>99</v>
      </c>
      <c r="U7" s="181" t="s">
        <v>99</v>
      </c>
    </row>
    <row r="8" spans="1:22" x14ac:dyDescent="0.2">
      <c r="A8" s="29"/>
      <c r="B8" s="30"/>
      <c r="C8" s="31"/>
      <c r="D8" s="31"/>
      <c r="E8" s="31"/>
      <c r="F8" s="31"/>
      <c r="G8" s="31"/>
      <c r="I8" s="182"/>
      <c r="J8" s="183"/>
      <c r="L8" s="184"/>
      <c r="O8" s="184"/>
      <c r="R8" s="184"/>
      <c r="U8" s="184"/>
    </row>
    <row r="9" spans="1:22" hidden="1" x14ac:dyDescent="0.2">
      <c r="A9" s="29"/>
      <c r="B9" s="30"/>
      <c r="C9" s="31"/>
      <c r="D9" s="31"/>
      <c r="E9" s="31"/>
      <c r="F9" s="31"/>
      <c r="G9" s="31"/>
      <c r="H9" s="51"/>
      <c r="I9" s="182"/>
      <c r="J9" s="183"/>
      <c r="L9" s="184"/>
      <c r="O9" s="184"/>
      <c r="R9" s="184"/>
      <c r="U9" s="184"/>
    </row>
    <row r="10" spans="1:22" x14ac:dyDescent="0.2">
      <c r="A10" s="29"/>
      <c r="B10" s="30">
        <f>[3]SourceEnergy!$R$20</f>
        <v>2025</v>
      </c>
      <c r="C10" s="31">
        <f>INDEX([3]SourceEnergy!$S$20:$T$40,MATCH($B10,[3]SourceEnergy!$R$20:$R$40,0),MATCH(C$7,[3]SourceEnergy!$S$12:$T$12,0))/10</f>
        <v>1.119488927182299</v>
      </c>
      <c r="D10" s="31">
        <f>INDEX([3]SourceEnergy!$S$20:$T$40,MATCH($B10,[3]SourceEnergy!$R$20:$R$40,0),MATCH(D$7,[3]SourceEnergy!$S$12:$T$12,0))/10</f>
        <v>2.6354020539524678</v>
      </c>
      <c r="E10" s="31">
        <f>INDEX([3]SourceEnergy!$U$20:$V$40,MATCH($B10,[3]SourceEnergy!$R$20:$R$40,0),MATCH(E$7,[3]SourceEnergy!$U$12:$V$12,0))/10</f>
        <v>1.3565278431205754</v>
      </c>
      <c r="F10" s="31">
        <f>INDEX([3]SourceEnergy!$U$20:$V$40,MATCH($B10,[3]SourceEnergy!$R$20:$R$40,0),MATCH(F$7,[3]SourceEnergy!$U$12:$V$12,0))/10</f>
        <v>1.7335124093270746</v>
      </c>
      <c r="G10" s="31"/>
      <c r="H10" s="51"/>
      <c r="I10" s="182">
        <v>1</v>
      </c>
      <c r="J10" s="183"/>
      <c r="L10" s="198">
        <f>C10*1*$I10</f>
        <v>1.119488927182299</v>
      </c>
      <c r="M10" s="199">
        <f t="shared" ref="M10" si="0">M$34*$I10</f>
        <v>1.6235616392734566</v>
      </c>
      <c r="O10" s="198">
        <f>D10*1*$I10</f>
        <v>2.6354020539524678</v>
      </c>
      <c r="P10" s="199">
        <f t="shared" ref="P10" si="1">P$34*$I10</f>
        <v>2.1816825314012429</v>
      </c>
      <c r="R10" s="198">
        <f>E10*1*$I10</f>
        <v>1.3565278431205754</v>
      </c>
      <c r="S10" s="199">
        <f t="shared" ref="S10" si="2">S$34*$I10</f>
        <v>1.8055905825326646</v>
      </c>
      <c r="U10" s="198">
        <f>F10*1*$I10</f>
        <v>1.7335124093270746</v>
      </c>
      <c r="V10" s="199">
        <f t="shared" ref="V10" si="3">V$34*$I10</f>
        <v>2.0600703784882688</v>
      </c>
    </row>
    <row r="11" spans="1:22" x14ac:dyDescent="0.2">
      <c r="A11" s="29"/>
      <c r="B11" s="30">
        <f t="shared" ref="B11:B27" si="4">B10+1</f>
        <v>2026</v>
      </c>
      <c r="C11" s="31">
        <f>INDEX([3]SourceEnergy!$S$20:$T$45,MATCH($B11,[3]SourceEnergy!$R$20:$R$45,0),MATCH(C$7,[3]SourceEnergy!$S$12:$T$12,0))/10</f>
        <v>1.0977322328038615</v>
      </c>
      <c r="D11" s="31">
        <f>INDEX([3]SourceEnergy!$S$20:$T$45,MATCH($B11,[3]SourceEnergy!$R$20:$R$45,0),MATCH(D$7,[3]SourceEnergy!$S$12:$T$12,0))/10</f>
        <v>2.3631903528761606</v>
      </c>
      <c r="E11" s="31">
        <f>INDEX([3]SourceEnergy!$U$20:$V$45,MATCH($B11,[3]SourceEnergy!$R$20:$R$45,0),MATCH(E$7,[3]SourceEnergy!$U$12:$V$12,0))/10</f>
        <v>1.4147478377799618</v>
      </c>
      <c r="F11" s="31">
        <f>INDEX([3]SourceEnergy!$U$20:$V$45,MATCH($B11,[3]SourceEnergy!$R$20:$R$45,0),MATCH(F$7,[3]SourceEnergy!$U$12:$V$12,0))/10</f>
        <v>1.7606824303712547</v>
      </c>
      <c r="G11" s="31"/>
      <c r="H11" s="51"/>
      <c r="I11" s="183">
        <f>I10-0.005</f>
        <v>0.995</v>
      </c>
      <c r="J11" s="183"/>
      <c r="L11" s="198">
        <f t="shared" ref="L11:L27" si="5">C11*1*$I11</f>
        <v>1.0922435716398422</v>
      </c>
      <c r="M11" s="199">
        <f>M$34*$I11</f>
        <v>1.6154438310770893</v>
      </c>
      <c r="O11" s="198">
        <f t="shared" ref="O11:O27" si="6">D11*1*$I11</f>
        <v>2.3513744011117796</v>
      </c>
      <c r="P11" s="199">
        <f>P$34*$I11</f>
        <v>2.1707741187442369</v>
      </c>
      <c r="R11" s="198">
        <f t="shared" ref="R11:R27" si="7">E11*1*$I11</f>
        <v>1.4076740985910621</v>
      </c>
      <c r="S11" s="199">
        <f>S$34*$I11</f>
        <v>1.7965626296200012</v>
      </c>
      <c r="U11" s="198">
        <f t="shared" ref="U11:U27" si="8">F11*1*$I11</f>
        <v>1.7518790182193984</v>
      </c>
      <c r="V11" s="199">
        <f>V$34*$I11</f>
        <v>2.0497700265958274</v>
      </c>
    </row>
    <row r="12" spans="1:22" x14ac:dyDescent="0.2">
      <c r="A12" s="29"/>
      <c r="B12" s="30">
        <f t="shared" si="4"/>
        <v>2027</v>
      </c>
      <c r="C12" s="31">
        <f>INDEX([3]SourceEnergy!$S$20:$T$45,MATCH($B12,[3]SourceEnergy!$R$20:$R$45,0),MATCH(C$7,[3]SourceEnergy!$S$12:$T$12,0))/10</f>
        <v>1.1967812385380383</v>
      </c>
      <c r="D12" s="31">
        <f>INDEX([3]SourceEnergy!$S$20:$T$45,MATCH($B12,[3]SourceEnergy!$R$20:$R$45,0),MATCH(D$7,[3]SourceEnergy!$S$12:$T$12,0))/10</f>
        <v>2.6386242429895712</v>
      </c>
      <c r="E12" s="31">
        <f>INDEX([3]SourceEnergy!$U$20:$V$45,MATCH($B12,[3]SourceEnergy!$R$20:$R$45,0),MATCH(E$7,[3]SourceEnergy!$U$12:$V$12,0))/10</f>
        <v>1.6161375511698655</v>
      </c>
      <c r="F12" s="31">
        <f>INDEX([3]SourceEnergy!$U$20:$V$45,MATCH($B12,[3]SourceEnergy!$R$20:$R$45,0),MATCH(F$7,[3]SourceEnergy!$U$12:$V$12,0))/10</f>
        <v>2.0992258962607195</v>
      </c>
      <c r="G12" s="31"/>
      <c r="H12" s="51"/>
      <c r="I12" s="183">
        <f t="shared" ref="I12:I27" si="9">I11-0.005</f>
        <v>0.99</v>
      </c>
      <c r="J12" s="183"/>
      <c r="L12" s="198">
        <f t="shared" si="5"/>
        <v>1.1848134261526579</v>
      </c>
      <c r="M12" s="199">
        <f t="shared" ref="M12:M27" si="10">M$34*$I12</f>
        <v>1.607326022880722</v>
      </c>
      <c r="O12" s="198">
        <f t="shared" si="6"/>
        <v>2.6122380005596755</v>
      </c>
      <c r="P12" s="199">
        <f t="shared" ref="P12:P27" si="11">P$34*$I12</f>
        <v>2.1598657060872304</v>
      </c>
      <c r="R12" s="198">
        <f t="shared" si="7"/>
        <v>1.5999761756581667</v>
      </c>
      <c r="S12" s="199">
        <f t="shared" ref="S12:S27" si="12">S$34*$I12</f>
        <v>1.7875346767073379</v>
      </c>
      <c r="U12" s="198">
        <f t="shared" si="8"/>
        <v>2.0782336372981125</v>
      </c>
      <c r="V12" s="199">
        <f t="shared" ref="V12:V27" si="13">V$34*$I12</f>
        <v>2.039469674703386</v>
      </c>
    </row>
    <row r="13" spans="1:22" x14ac:dyDescent="0.2">
      <c r="A13" s="29"/>
      <c r="B13" s="30">
        <f t="shared" si="4"/>
        <v>2028</v>
      </c>
      <c r="C13" s="31">
        <f>INDEX([3]SourceEnergy!$S$20:$T$45,MATCH($B13,[3]SourceEnergy!$R$20:$R$45,0),MATCH(C$7,[3]SourceEnergy!$S$12:$T$12,0))/10</f>
        <v>1.536003121402175</v>
      </c>
      <c r="D13" s="31">
        <f>INDEX([3]SourceEnergy!$S$20:$T$45,MATCH($B13,[3]SourceEnergy!$R$20:$R$45,0),MATCH(D$7,[3]SourceEnergy!$S$12:$T$12,0))/10</f>
        <v>2.811551594707554</v>
      </c>
      <c r="E13" s="31">
        <f>INDEX([3]SourceEnergy!$U$20:$V$45,MATCH($B13,[3]SourceEnergy!$R$20:$R$45,0),MATCH(E$7,[3]SourceEnergy!$U$12:$V$12,0))/10</f>
        <v>1.9572796878894294</v>
      </c>
      <c r="F13" s="31">
        <f>INDEX([3]SourceEnergy!$U$20:$V$45,MATCH($B13,[3]SourceEnergy!$R$20:$R$45,0),MATCH(F$7,[3]SourceEnergy!$U$12:$V$12,0))/10</f>
        <v>2.4825159213035244</v>
      </c>
      <c r="G13" s="31"/>
      <c r="H13" s="51"/>
      <c r="I13" s="183">
        <f t="shared" si="9"/>
        <v>0.98499999999999999</v>
      </c>
      <c r="J13" s="183"/>
      <c r="L13" s="198">
        <f t="shared" si="5"/>
        <v>1.5129630745811424</v>
      </c>
      <c r="M13" s="199">
        <f t="shared" si="10"/>
        <v>1.5992082146843547</v>
      </c>
      <c r="O13" s="198">
        <f t="shared" si="6"/>
        <v>2.7693783207869407</v>
      </c>
      <c r="P13" s="199">
        <f t="shared" si="11"/>
        <v>2.1489572934302243</v>
      </c>
      <c r="R13" s="198">
        <f t="shared" si="7"/>
        <v>1.927920492571088</v>
      </c>
      <c r="S13" s="199">
        <f t="shared" si="12"/>
        <v>1.7785067237946746</v>
      </c>
      <c r="U13" s="198">
        <f t="shared" si="8"/>
        <v>2.4452781824839716</v>
      </c>
      <c r="V13" s="199">
        <f t="shared" si="13"/>
        <v>2.0291693228109446</v>
      </c>
    </row>
    <row r="14" spans="1:22" x14ac:dyDescent="0.2">
      <c r="A14" s="29"/>
      <c r="B14" s="30">
        <f t="shared" si="4"/>
        <v>2029</v>
      </c>
      <c r="C14" s="31">
        <f>INDEX([3]SourceEnergy!$S$20:$T$45,MATCH($B14,[3]SourceEnergy!$R$20:$R$45,0),MATCH(C$7,[3]SourceEnergy!$S$12:$T$12,0))/10</f>
        <v>2.387475499658454</v>
      </c>
      <c r="D14" s="31">
        <f>INDEX([3]SourceEnergy!$S$20:$T$45,MATCH($B14,[3]SourceEnergy!$R$20:$R$45,0),MATCH(D$7,[3]SourceEnergy!$S$12:$T$12,0))/10</f>
        <v>3.1454608852698924</v>
      </c>
      <c r="E14" s="31">
        <f>INDEX([3]SourceEnergy!$U$20:$V$45,MATCH($B14,[3]SourceEnergy!$R$20:$R$45,0),MATCH(E$7,[3]SourceEnergy!$U$12:$V$12,0))/10</f>
        <v>2.5801956924700797</v>
      </c>
      <c r="F14" s="31">
        <f>INDEX([3]SourceEnergy!$U$20:$V$45,MATCH($B14,[3]SourceEnergy!$R$20:$R$45,0),MATCH(F$7,[3]SourceEnergy!$U$12:$V$12,0))/10</f>
        <v>3.0941073027020778</v>
      </c>
      <c r="G14" s="31"/>
      <c r="H14" s="51"/>
      <c r="I14" s="183">
        <f t="shared" si="9"/>
        <v>0.98</v>
      </c>
      <c r="J14" s="183"/>
      <c r="L14" s="198">
        <f t="shared" si="5"/>
        <v>2.3397259896652849</v>
      </c>
      <c r="M14" s="199">
        <f t="shared" si="10"/>
        <v>1.5910904064879874</v>
      </c>
      <c r="O14" s="198">
        <f t="shared" si="6"/>
        <v>3.0825516675644944</v>
      </c>
      <c r="P14" s="199">
        <f t="shared" si="11"/>
        <v>2.1380488807732179</v>
      </c>
      <c r="R14" s="198">
        <f t="shared" si="7"/>
        <v>2.5285917786206782</v>
      </c>
      <c r="S14" s="199">
        <f t="shared" si="12"/>
        <v>1.7694787708820112</v>
      </c>
      <c r="U14" s="198">
        <f t="shared" si="8"/>
        <v>3.0322251566480363</v>
      </c>
      <c r="V14" s="199">
        <f t="shared" si="13"/>
        <v>2.0188689709185033</v>
      </c>
    </row>
    <row r="15" spans="1:22" x14ac:dyDescent="0.2">
      <c r="A15" s="29"/>
      <c r="B15" s="30">
        <f t="shared" si="4"/>
        <v>2030</v>
      </c>
      <c r="C15" s="31">
        <f>INDEX([3]SourceEnergy!$S$20:$T$45,MATCH($B15,[3]SourceEnergy!$R$20:$R$45,0),MATCH(C$7,[3]SourceEnergy!$S$12:$T$12,0))/10</f>
        <v>2.2289853935342121</v>
      </c>
      <c r="D15" s="31">
        <f>INDEX([3]SourceEnergy!$S$20:$T$45,MATCH($B15,[3]SourceEnergy!$R$20:$R$45,0),MATCH(D$7,[3]SourceEnergy!$S$12:$T$12,0))/10</f>
        <v>2.479167157409679</v>
      </c>
      <c r="E15" s="31">
        <f>INDEX([3]SourceEnergy!$U$20:$V$45,MATCH($B15,[3]SourceEnergy!$R$20:$R$45,0),MATCH(E$7,[3]SourceEnergy!$U$12:$V$12,0))/10</f>
        <v>2.278735637347701</v>
      </c>
      <c r="F15" s="31">
        <f>INDEX([3]SourceEnergy!$U$20:$V$45,MATCH($B15,[3]SourceEnergy!$R$20:$R$45,0),MATCH(F$7,[3]SourceEnergy!$U$12:$V$12,0))/10</f>
        <v>2.4560172796271647</v>
      </c>
      <c r="G15" s="31"/>
      <c r="H15" s="51"/>
      <c r="I15" s="183">
        <f t="shared" si="9"/>
        <v>0.97499999999999998</v>
      </c>
      <c r="J15" s="183"/>
      <c r="L15" s="198">
        <f t="shared" si="5"/>
        <v>2.1732607586958568</v>
      </c>
      <c r="M15" s="199">
        <f t="shared" si="10"/>
        <v>1.5829725982916203</v>
      </c>
      <c r="O15" s="198">
        <f t="shared" si="6"/>
        <v>2.4171879784744368</v>
      </c>
      <c r="P15" s="199">
        <f t="shared" si="11"/>
        <v>2.1271404681162118</v>
      </c>
      <c r="R15" s="198">
        <f t="shared" si="7"/>
        <v>2.2217672464140086</v>
      </c>
      <c r="S15" s="199">
        <f t="shared" si="12"/>
        <v>1.7604508179693479</v>
      </c>
      <c r="U15" s="198">
        <f t="shared" si="8"/>
        <v>2.3946168476364855</v>
      </c>
      <c r="V15" s="199">
        <f t="shared" si="13"/>
        <v>2.0085686190260619</v>
      </c>
    </row>
    <row r="16" spans="1:22" x14ac:dyDescent="0.2">
      <c r="A16" s="29"/>
      <c r="B16" s="30">
        <f t="shared" si="4"/>
        <v>2031</v>
      </c>
      <c r="C16" s="31">
        <f>INDEX([3]SourceEnergy!$S$20:$T$45,MATCH($B16,[3]SourceEnergy!$R$20:$R$45,0),MATCH(C$7,[3]SourceEnergy!$S$12:$T$12,0))/10</f>
        <v>2.1760909253894543</v>
      </c>
      <c r="D16" s="31">
        <f>INDEX([3]SourceEnergy!$S$20:$T$45,MATCH($B16,[3]SourceEnergy!$R$20:$R$45,0),MATCH(D$7,[3]SourceEnergy!$S$12:$T$12,0))/10</f>
        <v>2.451773633241126</v>
      </c>
      <c r="E16" s="31">
        <f>INDEX([3]SourceEnergy!$U$20:$V$45,MATCH($B16,[3]SourceEnergy!$R$20:$R$45,0),MATCH(E$7,[3]SourceEnergy!$U$12:$V$12,0))/10</f>
        <v>2.2892769944666829</v>
      </c>
      <c r="F16" s="31">
        <f>INDEX([3]SourceEnergy!$U$20:$V$45,MATCH($B16,[3]SourceEnergy!$R$20:$R$45,0),MATCH(F$7,[3]SourceEnergy!$U$12:$V$12,0))/10</f>
        <v>2.3813985126531216</v>
      </c>
      <c r="G16" s="31"/>
      <c r="H16" s="51"/>
      <c r="I16" s="183">
        <f t="shared" si="9"/>
        <v>0.97</v>
      </c>
      <c r="J16" s="183"/>
      <c r="L16" s="198">
        <f t="shared" si="5"/>
        <v>2.1108081976277706</v>
      </c>
      <c r="M16" s="199">
        <f t="shared" si="10"/>
        <v>1.574854790095253</v>
      </c>
      <c r="O16" s="198">
        <f t="shared" si="6"/>
        <v>2.3782204242438922</v>
      </c>
      <c r="P16" s="199">
        <f t="shared" si="11"/>
        <v>2.1162320554592053</v>
      </c>
      <c r="R16" s="198">
        <f t="shared" si="7"/>
        <v>2.2205986846326824</v>
      </c>
      <c r="S16" s="199">
        <f t="shared" si="12"/>
        <v>1.7514228650566845</v>
      </c>
      <c r="U16" s="198">
        <f t="shared" si="8"/>
        <v>2.3099565572735279</v>
      </c>
      <c r="V16" s="199">
        <f t="shared" si="13"/>
        <v>1.9982682671336207</v>
      </c>
    </row>
    <row r="17" spans="1:22" x14ac:dyDescent="0.2">
      <c r="A17" s="29"/>
      <c r="B17" s="240">
        <f t="shared" si="4"/>
        <v>2032</v>
      </c>
      <c r="C17" s="31">
        <f>INDEX([3]SourceEnergy!$S$20:$T$45,MATCH($B17,[3]SourceEnergy!$R$20:$R$45,0),MATCH(C$7,[3]SourceEnergy!$S$12:$T$12,0))/10</f>
        <v>1.7282242175440441</v>
      </c>
      <c r="D17" s="31">
        <f>INDEX([3]SourceEnergy!$S$20:$T$45,MATCH($B17,[3]SourceEnergy!$R$20:$R$45,0),MATCH(D$7,[3]SourceEnergy!$S$12:$T$12,0))/10</f>
        <v>2.0162232178819686</v>
      </c>
      <c r="E17" s="31">
        <f>INDEX([3]SourceEnergy!$U$20:$V$45,MATCH($B17,[3]SourceEnergy!$R$20:$R$45,0),MATCH(E$7,[3]SourceEnergy!$U$12:$V$12,0))/10</f>
        <v>1.8416828396614218</v>
      </c>
      <c r="F17" s="31">
        <f>INDEX([3]SourceEnergy!$U$20:$V$45,MATCH($B17,[3]SourceEnergy!$R$20:$R$45,0),MATCH(F$7,[3]SourceEnergy!$U$12:$V$12,0))/10</f>
        <v>2.0015758298530502</v>
      </c>
      <c r="G17" s="31"/>
      <c r="H17" s="51"/>
      <c r="I17" s="183">
        <f t="shared" si="9"/>
        <v>0.96499999999999997</v>
      </c>
      <c r="J17" s="183"/>
      <c r="L17" s="198">
        <f t="shared" si="5"/>
        <v>1.6677363699300025</v>
      </c>
      <c r="M17" s="199">
        <f t="shared" si="10"/>
        <v>1.5667369818988857</v>
      </c>
      <c r="O17" s="198">
        <f t="shared" si="6"/>
        <v>1.9456554052560997</v>
      </c>
      <c r="P17" s="199">
        <f t="shared" si="11"/>
        <v>2.1053236428021993</v>
      </c>
      <c r="R17" s="198">
        <f t="shared" si="7"/>
        <v>1.7772239402732719</v>
      </c>
      <c r="S17" s="199">
        <f t="shared" si="12"/>
        <v>1.7423949121440212</v>
      </c>
      <c r="U17" s="198">
        <f t="shared" si="8"/>
        <v>1.9315206758081933</v>
      </c>
      <c r="V17" s="199">
        <f t="shared" si="13"/>
        <v>1.9879679152411793</v>
      </c>
    </row>
    <row r="18" spans="1:22" x14ac:dyDescent="0.2">
      <c r="A18" s="29"/>
      <c r="B18" s="30">
        <f t="shared" si="4"/>
        <v>2033</v>
      </c>
      <c r="C18" s="31">
        <f>INDEX([3]SourceEnergy!$S$20:$T$45,MATCH($B18,[3]SourceEnergy!$R$20:$R$45,0),MATCH(C$7,[3]SourceEnergy!$S$12:$T$12,0))/10</f>
        <v>1.7285204834676346</v>
      </c>
      <c r="D18" s="31">
        <f>INDEX([3]SourceEnergy!$S$20:$T$45,MATCH($B18,[3]SourceEnergy!$R$20:$R$45,0),MATCH(D$7,[3]SourceEnergy!$S$12:$T$12,0))/10</f>
        <v>1.9795195191038644</v>
      </c>
      <c r="E18" s="31">
        <f>INDEX([3]SourceEnergy!$U$20:$V$45,MATCH($B18,[3]SourceEnergy!$R$20:$R$45,0),MATCH(E$7,[3]SourceEnergy!$U$12:$V$12,0))/10</f>
        <v>1.9246390436170007</v>
      </c>
      <c r="F18" s="31">
        <f>INDEX([3]SourceEnergy!$U$20:$V$45,MATCH($B18,[3]SourceEnergy!$R$20:$R$45,0),MATCH(F$7,[3]SourceEnergy!$U$12:$V$12,0))/10</f>
        <v>2.0420487104963465</v>
      </c>
      <c r="G18" s="31"/>
      <c r="H18" s="51"/>
      <c r="I18" s="183">
        <f t="shared" si="9"/>
        <v>0.96</v>
      </c>
      <c r="J18" s="183"/>
      <c r="L18" s="198">
        <f t="shared" si="5"/>
        <v>1.6593796641289291</v>
      </c>
      <c r="M18" s="199">
        <f t="shared" si="10"/>
        <v>1.5586191737025183</v>
      </c>
      <c r="O18" s="198">
        <f t="shared" si="6"/>
        <v>1.9003387383397097</v>
      </c>
      <c r="P18" s="199">
        <f t="shared" si="11"/>
        <v>2.0944152301451933</v>
      </c>
      <c r="R18" s="198">
        <f t="shared" si="7"/>
        <v>1.8476534818723205</v>
      </c>
      <c r="S18" s="199">
        <f t="shared" si="12"/>
        <v>1.7333669592313579</v>
      </c>
      <c r="U18" s="198">
        <f t="shared" si="8"/>
        <v>1.9603667620764926</v>
      </c>
      <c r="V18" s="199">
        <f t="shared" si="13"/>
        <v>1.9776675633487379</v>
      </c>
    </row>
    <row r="19" spans="1:22" x14ac:dyDescent="0.2">
      <c r="A19" s="29"/>
      <c r="B19" s="30">
        <f t="shared" si="4"/>
        <v>2034</v>
      </c>
      <c r="C19" s="31">
        <f>INDEX([3]SourceEnergy!$S$20:$T$45,MATCH($B19,[3]SourceEnergy!$R$20:$R$45,0),MATCH(C$7,[3]SourceEnergy!$S$12:$T$12,0))/10</f>
        <v>1.9580611816383524</v>
      </c>
      <c r="D19" s="31">
        <f>INDEX([3]SourceEnergy!$S$20:$T$45,MATCH($B19,[3]SourceEnergy!$R$20:$R$45,0),MATCH(D$7,[3]SourceEnergy!$S$12:$T$12,0))/10</f>
        <v>2.2097743880580607</v>
      </c>
      <c r="E19" s="31">
        <f>INDEX([3]SourceEnergy!$U$20:$V$45,MATCH($B19,[3]SourceEnergy!$R$20:$R$45,0),MATCH(E$7,[3]SourceEnergy!$U$12:$V$12,0))/10</f>
        <v>2.2011601632129216</v>
      </c>
      <c r="F19" s="31">
        <f>INDEX([3]SourceEnergy!$U$20:$V$45,MATCH($B19,[3]SourceEnergy!$R$20:$R$45,0),MATCH(F$7,[3]SourceEnergy!$U$12:$V$12,0))/10</f>
        <v>2.3644685443292661</v>
      </c>
      <c r="G19" s="31"/>
      <c r="H19" s="51"/>
      <c r="I19" s="183">
        <f t="shared" si="9"/>
        <v>0.95499999999999996</v>
      </c>
      <c r="J19" s="183"/>
      <c r="L19" s="198">
        <f t="shared" si="5"/>
        <v>1.8699484284646264</v>
      </c>
      <c r="M19" s="199">
        <f t="shared" si="10"/>
        <v>1.550501365506151</v>
      </c>
      <c r="O19" s="198">
        <f t="shared" si="6"/>
        <v>2.1103345405954479</v>
      </c>
      <c r="P19" s="199">
        <f t="shared" si="11"/>
        <v>2.0835068174881868</v>
      </c>
      <c r="R19" s="198">
        <f t="shared" si="7"/>
        <v>2.1021079558683402</v>
      </c>
      <c r="S19" s="199">
        <f t="shared" si="12"/>
        <v>1.7243390063186945</v>
      </c>
      <c r="U19" s="198">
        <f t="shared" si="8"/>
        <v>2.2580674598344492</v>
      </c>
      <c r="V19" s="199">
        <f t="shared" si="13"/>
        <v>1.9673672114562966</v>
      </c>
    </row>
    <row r="20" spans="1:22" x14ac:dyDescent="0.2">
      <c r="A20" s="29"/>
      <c r="B20" s="30">
        <f t="shared" si="4"/>
        <v>2035</v>
      </c>
      <c r="C20" s="31">
        <f>INDEX([3]SourceEnergy!$S$20:$T$45,MATCH($B20,[3]SourceEnergy!$R$20:$R$45,0),MATCH(C$7,[3]SourceEnergy!$S$12:$T$12,0))/10</f>
        <v>1.8414589481908199</v>
      </c>
      <c r="D20" s="31">
        <f>INDEX([3]SourceEnergy!$S$20:$T$45,MATCH($B20,[3]SourceEnergy!$R$20:$R$45,0),MATCH(D$7,[3]SourceEnergy!$S$12:$T$12,0))/10</f>
        <v>2.0192072034998598</v>
      </c>
      <c r="E20" s="31">
        <f>INDEX([3]SourceEnergy!$U$20:$V$45,MATCH($B20,[3]SourceEnergy!$R$20:$R$45,0),MATCH(E$7,[3]SourceEnergy!$U$12:$V$12,0))/10</f>
        <v>1.9560186530875587</v>
      </c>
      <c r="F20" s="31">
        <f>INDEX([3]SourceEnergy!$U$20:$V$45,MATCH($B20,[3]SourceEnergy!$R$20:$R$45,0),MATCH(F$7,[3]SourceEnergy!$U$12:$V$12,0))/10</f>
        <v>2.2457331852027158</v>
      </c>
      <c r="G20" s="31"/>
      <c r="H20" s="51"/>
      <c r="I20" s="183">
        <f t="shared" si="9"/>
        <v>0.95</v>
      </c>
      <c r="J20" s="183"/>
      <c r="L20" s="198">
        <f t="shared" si="5"/>
        <v>1.7493860007812789</v>
      </c>
      <c r="M20" s="199">
        <f t="shared" si="10"/>
        <v>1.5423835573097837</v>
      </c>
      <c r="O20" s="198">
        <f t="shared" si="6"/>
        <v>1.9182468433248667</v>
      </c>
      <c r="P20" s="199">
        <f t="shared" si="11"/>
        <v>2.0725984048311807</v>
      </c>
      <c r="R20" s="198">
        <f t="shared" si="7"/>
        <v>1.8582177204331807</v>
      </c>
      <c r="S20" s="199">
        <f t="shared" si="12"/>
        <v>1.7153110534060312</v>
      </c>
      <c r="U20" s="198">
        <f t="shared" si="8"/>
        <v>2.1334465259425799</v>
      </c>
      <c r="V20" s="199">
        <f t="shared" si="13"/>
        <v>1.9570668595638552</v>
      </c>
    </row>
    <row r="21" spans="1:22" x14ac:dyDescent="0.2">
      <c r="A21" s="29"/>
      <c r="B21" s="30">
        <f t="shared" si="4"/>
        <v>2036</v>
      </c>
      <c r="C21" s="31">
        <f>INDEX([3]SourceEnergy!$S$20:$T$45,MATCH($B21,[3]SourceEnergy!$R$20:$R$45,0),MATCH(C$7,[3]SourceEnergy!$S$12:$T$12,0))/10</f>
        <v>1.1521446528250805</v>
      </c>
      <c r="D21" s="31">
        <f>INDEX([3]SourceEnergy!$S$20:$T$45,MATCH($B21,[3]SourceEnergy!$R$20:$R$45,0),MATCH(D$7,[3]SourceEnergy!$S$12:$T$12,0))/10</f>
        <v>1.2168350994567745</v>
      </c>
      <c r="E21" s="31">
        <f>INDEX([3]SourceEnergy!$U$20:$V$45,MATCH($B21,[3]SourceEnergy!$R$20:$R$45,0),MATCH(E$7,[3]SourceEnergy!$U$12:$V$12,0))/10</f>
        <v>1.1977002701879418</v>
      </c>
      <c r="F21" s="31">
        <f>INDEX([3]SourceEnergy!$U$20:$V$45,MATCH($B21,[3]SourceEnergy!$R$20:$R$45,0),MATCH(F$7,[3]SourceEnergy!$U$12:$V$12,0))/10</f>
        <v>1.3374913636556578</v>
      </c>
      <c r="G21" s="31"/>
      <c r="H21" s="51"/>
      <c r="I21" s="183">
        <f t="shared" si="9"/>
        <v>0.94499999999999995</v>
      </c>
      <c r="J21" s="183"/>
      <c r="L21" s="198">
        <f t="shared" si="5"/>
        <v>1.088776696919701</v>
      </c>
      <c r="M21" s="199">
        <f t="shared" si="10"/>
        <v>1.5342657491134164</v>
      </c>
      <c r="O21" s="198">
        <f t="shared" si="6"/>
        <v>1.1499091689866519</v>
      </c>
      <c r="P21" s="199">
        <f t="shared" si="11"/>
        <v>2.0616899921741743</v>
      </c>
      <c r="R21" s="198">
        <f t="shared" si="7"/>
        <v>1.1318267553276049</v>
      </c>
      <c r="S21" s="199">
        <f t="shared" si="12"/>
        <v>1.7062831004933678</v>
      </c>
      <c r="U21" s="198">
        <f t="shared" si="8"/>
        <v>1.2639293386545964</v>
      </c>
      <c r="V21" s="199">
        <f t="shared" si="13"/>
        <v>1.946766507671414</v>
      </c>
    </row>
    <row r="22" spans="1:22" x14ac:dyDescent="0.2">
      <c r="A22" s="29"/>
      <c r="B22" s="30">
        <f t="shared" si="4"/>
        <v>2037</v>
      </c>
      <c r="C22" s="31">
        <f>INDEX([3]SourceEnergy!$S$20:$T$45,MATCH($B22,[3]SourceEnergy!$R$20:$R$45,0),MATCH(C$7,[3]SourceEnergy!$S$12:$T$12,0))/10</f>
        <v>1.1266261085814251</v>
      </c>
      <c r="D22" s="31">
        <f>INDEX([3]SourceEnergy!$S$20:$T$45,MATCH($B22,[3]SourceEnergy!$R$20:$R$45,0),MATCH(D$7,[3]SourceEnergy!$S$12:$T$12,0))/10</f>
        <v>1.1615385379029979</v>
      </c>
      <c r="E22" s="31">
        <f>INDEX([3]SourceEnergy!$U$20:$V$45,MATCH($B22,[3]SourceEnergy!$R$20:$R$45,0),MATCH(E$7,[3]SourceEnergy!$U$12:$V$12,0))/10</f>
        <v>1.1224938593989471</v>
      </c>
      <c r="F22" s="31">
        <f>INDEX([3]SourceEnergy!$U$20:$V$45,MATCH($B22,[3]SourceEnergy!$R$20:$R$45,0),MATCH(F$7,[3]SourceEnergy!$U$12:$V$12,0))/10</f>
        <v>1.2313372571743311</v>
      </c>
      <c r="G22" s="31"/>
      <c r="H22" s="51"/>
      <c r="I22" s="183">
        <f t="shared" si="9"/>
        <v>0.94</v>
      </c>
      <c r="J22" s="183"/>
      <c r="L22" s="198">
        <f t="shared" si="5"/>
        <v>1.0590285420665395</v>
      </c>
      <c r="M22" s="199">
        <f t="shared" si="10"/>
        <v>1.5261479409170491</v>
      </c>
      <c r="O22" s="198">
        <f t="shared" si="6"/>
        <v>1.0918462256288179</v>
      </c>
      <c r="P22" s="199">
        <f t="shared" si="11"/>
        <v>2.0507815795171682</v>
      </c>
      <c r="R22" s="198">
        <f t="shared" si="7"/>
        <v>1.0551442278350103</v>
      </c>
      <c r="S22" s="199">
        <f t="shared" si="12"/>
        <v>1.6972551475807045</v>
      </c>
      <c r="U22" s="198">
        <f t="shared" si="8"/>
        <v>1.1574570217438711</v>
      </c>
      <c r="V22" s="199">
        <f t="shared" si="13"/>
        <v>1.9364661557789726</v>
      </c>
    </row>
    <row r="23" spans="1:22" x14ac:dyDescent="0.2">
      <c r="A23" s="29"/>
      <c r="B23" s="30">
        <f t="shared" si="4"/>
        <v>2038</v>
      </c>
      <c r="C23" s="31">
        <f>INDEX([3]SourceEnergy!$S$20:$T$45,MATCH($B23,[3]SourceEnergy!$R$20:$R$45,0),MATCH(C$7,[3]SourceEnergy!$S$12:$T$12,0))/10</f>
        <v>1.1308235858950288</v>
      </c>
      <c r="D23" s="31">
        <f>INDEX([3]SourceEnergy!$S$20:$T$45,MATCH($B23,[3]SourceEnergy!$R$20:$R$45,0),MATCH(D$7,[3]SourceEnergy!$S$12:$T$12,0))/10</f>
        <v>1.1712302416822227</v>
      </c>
      <c r="E23" s="31">
        <f>INDEX([3]SourceEnergy!$U$20:$V$45,MATCH($B23,[3]SourceEnergy!$R$20:$R$45,0),MATCH(E$7,[3]SourceEnergy!$U$12:$V$12,0))/10</f>
        <v>1.0959852841066438</v>
      </c>
      <c r="F23" s="31">
        <f>INDEX([3]SourceEnergy!$U$20:$V$45,MATCH($B23,[3]SourceEnergy!$R$20:$R$45,0),MATCH(F$7,[3]SourceEnergy!$U$12:$V$12,0))/10</f>
        <v>1.1502084040607947</v>
      </c>
      <c r="G23" s="31"/>
      <c r="H23" s="51"/>
      <c r="I23" s="183">
        <f t="shared" si="9"/>
        <v>0.93499999999999994</v>
      </c>
      <c r="J23" s="183"/>
      <c r="L23" s="198">
        <f t="shared" si="5"/>
        <v>1.0573200528118518</v>
      </c>
      <c r="M23" s="199">
        <f t="shared" si="10"/>
        <v>1.5180301327206818</v>
      </c>
      <c r="O23" s="198">
        <f t="shared" si="6"/>
        <v>1.0951002759728781</v>
      </c>
      <c r="P23" s="199">
        <f t="shared" si="11"/>
        <v>2.0398731668601622</v>
      </c>
      <c r="R23" s="198">
        <f t="shared" si="7"/>
        <v>1.0247462406397119</v>
      </c>
      <c r="S23" s="199">
        <f t="shared" si="12"/>
        <v>1.6882271946680414</v>
      </c>
      <c r="U23" s="198">
        <f t="shared" si="8"/>
        <v>1.075444857796843</v>
      </c>
      <c r="V23" s="199">
        <f t="shared" si="13"/>
        <v>1.9261658038865312</v>
      </c>
    </row>
    <row r="24" spans="1:22" x14ac:dyDescent="0.2">
      <c r="A24" s="29"/>
      <c r="B24" s="30">
        <f t="shared" si="4"/>
        <v>2039</v>
      </c>
      <c r="C24" s="31">
        <f>INDEX([3]SourceEnergy!$S$20:$T$45,MATCH($B24,[3]SourceEnergy!$R$20:$R$45,0),MATCH(C$7,[3]SourceEnergy!$S$12:$T$12,0))/10</f>
        <v>1.0985374045270122</v>
      </c>
      <c r="D24" s="31">
        <f>INDEX([3]SourceEnergy!$S$20:$T$45,MATCH($B24,[3]SourceEnergy!$R$20:$R$45,0),MATCH(D$7,[3]SourceEnergy!$S$12:$T$12,0))/10</f>
        <v>1.1322237401001898</v>
      </c>
      <c r="E24" s="31">
        <f>INDEX([3]SourceEnergy!$U$20:$V$45,MATCH($B24,[3]SourceEnergy!$R$20:$R$45,0),MATCH(E$7,[3]SourceEnergy!$U$12:$V$12,0))/10</f>
        <v>1.0839173213146114</v>
      </c>
      <c r="F24" s="31">
        <f>INDEX([3]SourceEnergy!$U$20:$V$45,MATCH($B24,[3]SourceEnergy!$R$20:$R$45,0),MATCH(F$7,[3]SourceEnergy!$U$12:$V$12,0))/10</f>
        <v>1.1257394980760003</v>
      </c>
      <c r="G24" s="31"/>
      <c r="H24" s="51"/>
      <c r="I24" s="183">
        <f t="shared" si="9"/>
        <v>0.92999999999999994</v>
      </c>
      <c r="J24" s="183"/>
      <c r="L24" s="198">
        <f t="shared" si="5"/>
        <v>1.0216397862101212</v>
      </c>
      <c r="M24" s="199">
        <f t="shared" si="10"/>
        <v>1.5099123245243147</v>
      </c>
      <c r="O24" s="198">
        <f t="shared" si="6"/>
        <v>1.0529680782931765</v>
      </c>
      <c r="P24" s="199">
        <f t="shared" si="11"/>
        <v>2.0289647542031557</v>
      </c>
      <c r="R24" s="198">
        <f t="shared" si="7"/>
        <v>1.0080431088225885</v>
      </c>
      <c r="S24" s="199">
        <f t="shared" si="12"/>
        <v>1.679199241755378</v>
      </c>
      <c r="U24" s="198">
        <f t="shared" si="8"/>
        <v>1.0469377332106802</v>
      </c>
      <c r="V24" s="199">
        <f t="shared" si="13"/>
        <v>1.9158654519940899</v>
      </c>
    </row>
    <row r="25" spans="1:22" x14ac:dyDescent="0.2">
      <c r="A25" s="29"/>
      <c r="B25" s="30">
        <f t="shared" si="4"/>
        <v>2040</v>
      </c>
      <c r="C25" s="31">
        <f>INDEX([3]SourceEnergy!$S$20:$T$45,MATCH($B25,[3]SourceEnergy!$R$20:$R$45,0),MATCH(C$7,[3]SourceEnergy!$S$12:$T$12,0))/10</f>
        <v>1.5886190920882619</v>
      </c>
      <c r="D25" s="31">
        <f>INDEX([3]SourceEnergy!$S$20:$T$45,MATCH($B25,[3]SourceEnergy!$R$20:$R$45,0),MATCH(D$7,[3]SourceEnergy!$S$12:$T$12,0))/10</f>
        <v>1.704240468463271</v>
      </c>
      <c r="E25" s="31">
        <f>INDEX([3]SourceEnergy!$U$20:$V$45,MATCH($B25,[3]SourceEnergy!$R$20:$R$45,0),MATCH(E$7,[3]SourceEnergy!$U$12:$V$12,0))/10</f>
        <v>1.6476900509346439</v>
      </c>
      <c r="F25" s="31">
        <f>INDEX([3]SourceEnergy!$U$20:$V$45,MATCH($B25,[3]SourceEnergy!$R$20:$R$45,0),MATCH(F$7,[3]SourceEnergy!$U$12:$V$12,0))/10</f>
        <v>1.674415907561404</v>
      </c>
      <c r="G25" s="31"/>
      <c r="H25" s="51"/>
      <c r="I25" s="183">
        <f t="shared" si="9"/>
        <v>0.92499999999999993</v>
      </c>
      <c r="J25" s="183"/>
      <c r="L25" s="198">
        <f t="shared" si="5"/>
        <v>1.4694726601816421</v>
      </c>
      <c r="M25" s="199">
        <f t="shared" si="10"/>
        <v>1.5017945163279474</v>
      </c>
      <c r="O25" s="198">
        <f t="shared" si="6"/>
        <v>1.5764224333285255</v>
      </c>
      <c r="P25" s="199">
        <f t="shared" si="11"/>
        <v>2.0180563415461497</v>
      </c>
      <c r="R25" s="198">
        <f t="shared" si="7"/>
        <v>1.5241132971145455</v>
      </c>
      <c r="S25" s="199">
        <f t="shared" si="12"/>
        <v>1.6701712888427147</v>
      </c>
      <c r="U25" s="198">
        <f t="shared" si="8"/>
        <v>1.5488347144942987</v>
      </c>
      <c r="V25" s="199">
        <f t="shared" si="13"/>
        <v>1.9055651001016485</v>
      </c>
    </row>
    <row r="26" spans="1:22" x14ac:dyDescent="0.2">
      <c r="A26" s="29"/>
      <c r="B26" s="30">
        <f t="shared" si="4"/>
        <v>2041</v>
      </c>
      <c r="C26" s="31">
        <f>INDEX([3]SourceEnergy!$S$20:$T$45,MATCH($B26,[3]SourceEnergy!$R$20:$R$45,0),MATCH(C$7,[3]SourceEnergy!$S$12:$T$12,0))/10</f>
        <v>1.8193796361860006</v>
      </c>
      <c r="D26" s="31">
        <f>INDEX([3]SourceEnergy!$S$20:$T$45,MATCH($B26,[3]SourceEnergy!$R$20:$R$45,0),MATCH(D$7,[3]SourceEnergy!$S$12:$T$12,0))/10</f>
        <v>1.89480332383405</v>
      </c>
      <c r="E26" s="31">
        <f>INDEX([3]SourceEnergy!$U$20:$V$45,MATCH($B26,[3]SourceEnergy!$R$20:$R$45,0),MATCH(E$7,[3]SourceEnergy!$U$12:$V$12,0))/10</f>
        <v>1.7892350905365717</v>
      </c>
      <c r="F26" s="31">
        <f>INDEX([3]SourceEnergy!$U$20:$V$45,MATCH($B26,[3]SourceEnergy!$R$20:$R$45,0),MATCH(F$7,[3]SourceEnergy!$U$12:$V$12,0))/10</f>
        <v>1.9146452561259502</v>
      </c>
      <c r="G26" s="31"/>
      <c r="H26" s="51"/>
      <c r="I26" s="183">
        <f t="shared" si="9"/>
        <v>0.91999999999999993</v>
      </c>
      <c r="J26" s="183"/>
      <c r="L26" s="198">
        <f t="shared" si="5"/>
        <v>1.6738292652911204</v>
      </c>
      <c r="M26" s="199">
        <f t="shared" si="10"/>
        <v>1.49367670813158</v>
      </c>
      <c r="O26" s="198">
        <f t="shared" si="6"/>
        <v>1.7432190579273259</v>
      </c>
      <c r="P26" s="199">
        <f t="shared" si="11"/>
        <v>2.0071479288891432</v>
      </c>
      <c r="R26" s="198">
        <f t="shared" si="7"/>
        <v>1.6460962832936459</v>
      </c>
      <c r="S26" s="199">
        <f t="shared" si="12"/>
        <v>1.6611433359300514</v>
      </c>
      <c r="U26" s="198">
        <f t="shared" si="8"/>
        <v>1.761473635635874</v>
      </c>
      <c r="V26" s="199">
        <f t="shared" si="13"/>
        <v>1.8952647482092071</v>
      </c>
    </row>
    <row r="27" spans="1:22" x14ac:dyDescent="0.2">
      <c r="A27" s="29"/>
      <c r="B27" s="30">
        <f t="shared" si="4"/>
        <v>2042</v>
      </c>
      <c r="C27" s="31">
        <f>INDEX([3]SourceEnergy!$S$20:$T$45,MATCH($B27,[3]SourceEnergy!$R$20:$R$45,0),MATCH(C$7,[3]SourceEnergy!$S$12:$T$12,0))/10</f>
        <v>3.7622691393656886</v>
      </c>
      <c r="D27" s="31">
        <f>INDEX([3]SourceEnergy!$S$20:$T$45,MATCH($B27,[3]SourceEnergy!$R$20:$R$45,0),MATCH(D$7,[3]SourceEnergy!$S$12:$T$12,0))/10</f>
        <v>3.8987932183423637</v>
      </c>
      <c r="E27" s="31">
        <f>INDEX([3]SourceEnergy!$U$20:$V$45,MATCH($B27,[3]SourceEnergy!$R$20:$R$45,0),MATCH(E$7,[3]SourceEnergy!$U$12:$V$12,0))/10</f>
        <v>3.6061690129153767</v>
      </c>
      <c r="F27" s="31">
        <f>INDEX([3]SourceEnergy!$U$20:$V$45,MATCH($B27,[3]SourceEnergy!$R$20:$R$45,0),MATCH(F$7,[3]SourceEnergy!$U$12:$V$12,0))/10</f>
        <v>3.6709687143226311</v>
      </c>
      <c r="G27" s="31"/>
      <c r="H27" s="51"/>
      <c r="I27" s="183">
        <f t="shared" si="9"/>
        <v>0.91499999999999992</v>
      </c>
      <c r="J27" s="183"/>
      <c r="L27" s="198">
        <f t="shared" si="5"/>
        <v>3.4424762625196048</v>
      </c>
      <c r="M27" s="199">
        <f t="shared" si="10"/>
        <v>1.4855588999352127</v>
      </c>
      <c r="O27" s="198">
        <f t="shared" si="6"/>
        <v>3.5673957947832626</v>
      </c>
      <c r="P27" s="199">
        <f t="shared" si="11"/>
        <v>1.9962395162321371</v>
      </c>
      <c r="R27" s="198">
        <f t="shared" si="7"/>
        <v>3.2996446468175695</v>
      </c>
      <c r="S27" s="199">
        <f t="shared" si="12"/>
        <v>1.652115383017388</v>
      </c>
      <c r="U27" s="198">
        <f t="shared" si="8"/>
        <v>3.3589363736052071</v>
      </c>
      <c r="V27" s="199">
        <f t="shared" si="13"/>
        <v>1.8849643963167657</v>
      </c>
    </row>
    <row r="28" spans="1:22" x14ac:dyDescent="0.2">
      <c r="A28" s="29"/>
      <c r="B28" s="30">
        <f t="shared" ref="B28" si="14">B27+1</f>
        <v>2043</v>
      </c>
      <c r="C28" s="31">
        <f>INDEX([3]SourceEnergy!$S$20:$T$45,MATCH($B28,[3]SourceEnergy!$R$20:$R$45,0),MATCH(C$7,[3]SourceEnergy!$S$12:$T$12,0))/10</f>
        <v>3.6842402805790799</v>
      </c>
      <c r="D28" s="31">
        <f>INDEX([3]SourceEnergy!$S$20:$T$45,MATCH($B28,[3]SourceEnergy!$R$20:$R$45,0),MATCH(D$7,[3]SourceEnergy!$S$12:$T$12,0))/10</f>
        <v>3.7423275393895139</v>
      </c>
      <c r="E28" s="31">
        <f>INDEX([3]SourceEnergy!$U$20:$V$45,MATCH($B28,[3]SourceEnergy!$R$20:$R$45,0),MATCH(E$7,[3]SourceEnergy!$U$12:$V$12,0))/10</f>
        <v>3.3893720115875245</v>
      </c>
      <c r="F28" s="31">
        <f>INDEX([3]SourceEnergy!$U$20:$V$45,MATCH($B28,[3]SourceEnergy!$R$20:$R$45,0),MATCH(F$7,[3]SourceEnergy!$U$12:$V$12,0))/10</f>
        <v>3.6564028129558657</v>
      </c>
      <c r="G28" s="31"/>
      <c r="H28" s="51"/>
      <c r="I28" s="183"/>
      <c r="J28" s="183"/>
      <c r="L28" s="184"/>
      <c r="O28" s="184"/>
      <c r="R28" s="184"/>
      <c r="U28" s="184"/>
    </row>
    <row r="29" spans="1:22" x14ac:dyDescent="0.2">
      <c r="A29" s="29"/>
      <c r="B29" s="30">
        <f t="shared" ref="B29:B30" si="15">B28+1</f>
        <v>2044</v>
      </c>
      <c r="C29" s="31">
        <f>INDEX([3]SourceEnergy!$S$20:$T$45,MATCH($B29,[3]SourceEnergy!$R$20:$R$45,0),MATCH(C$7,[3]SourceEnergy!$S$12:$T$12,0))/10</f>
        <v>3.8749994732041713</v>
      </c>
      <c r="D29" s="31">
        <f>INDEX([3]SourceEnergy!$S$20:$T$45,MATCH($B29,[3]SourceEnergy!$R$20:$R$45,0),MATCH(D$7,[3]SourceEnergy!$S$12:$T$12,0))/10</f>
        <v>3.9546628004852487</v>
      </c>
      <c r="E29" s="31">
        <f>INDEX([3]SourceEnergy!$U$20:$V$45,MATCH($B29,[3]SourceEnergy!$R$20:$R$45,0),MATCH(E$7,[3]SourceEnergy!$U$12:$V$12,0))/10</f>
        <v>3.7952598152418595</v>
      </c>
      <c r="F29" s="31">
        <f>INDEX([3]SourceEnergy!$U$20:$V$45,MATCH($B29,[3]SourceEnergy!$R$20:$R$45,0),MATCH(F$7,[3]SourceEnergy!$U$12:$V$12,0))/10</f>
        <v>3.8504324212784473</v>
      </c>
      <c r="G29" s="31"/>
      <c r="H29" s="51"/>
      <c r="I29" s="183"/>
      <c r="J29" s="183"/>
      <c r="L29" s="184"/>
      <c r="O29" s="184"/>
      <c r="R29" s="184"/>
      <c r="U29" s="184"/>
    </row>
    <row r="30" spans="1:22" hidden="1" x14ac:dyDescent="0.2">
      <c r="A30" s="29"/>
      <c r="B30" s="30">
        <f t="shared" si="15"/>
        <v>2045</v>
      </c>
      <c r="C30" s="31">
        <f>INDEX([3]SourceEnergy!$S$20:$T$45,MATCH($B30,[3]SourceEnergy!$R$20:$R$45,0),MATCH(C$7,[3]SourceEnergy!$S$12:$T$12,0))/10</f>
        <v>0</v>
      </c>
      <c r="D30" s="31">
        <f>INDEX([3]SourceEnergy!$S$20:$T$45,MATCH($B30,[3]SourceEnergy!$R$20:$R$45,0),MATCH(D$7,[3]SourceEnergy!$S$12:$T$12,0))/10</f>
        <v>0</v>
      </c>
      <c r="E30" s="31">
        <f>INDEX([3]SourceEnergy!$U$20:$V$45,MATCH($B30,[3]SourceEnergy!$R$20:$R$45,0),MATCH(E$7,[3]SourceEnergy!$U$12:$V$12,0))/10</f>
        <v>0</v>
      </c>
      <c r="F30" s="31">
        <f>INDEX([3]SourceEnergy!$U$20:$V$45,MATCH($B30,[3]SourceEnergy!$R$20:$R$45,0),MATCH(F$7,[3]SourceEnergy!$U$12:$V$12,0))/10</f>
        <v>0</v>
      </c>
      <c r="G30" s="31"/>
      <c r="H30" s="51"/>
      <c r="I30" s="183"/>
      <c r="J30" s="183"/>
      <c r="L30" s="184"/>
      <c r="O30" s="184"/>
      <c r="R30" s="184"/>
      <c r="U30" s="184"/>
    </row>
    <row r="31" spans="1:22" x14ac:dyDescent="0.2">
      <c r="A31" s="29"/>
      <c r="B31" s="30"/>
      <c r="C31" s="29"/>
      <c r="D31" s="29"/>
      <c r="E31" s="29"/>
      <c r="F31" s="29"/>
      <c r="G31" s="29"/>
      <c r="H31" s="51"/>
      <c r="I31" s="183"/>
      <c r="J31" s="183"/>
      <c r="L31" s="184"/>
      <c r="O31" s="184"/>
      <c r="R31" s="184"/>
      <c r="U31" s="184"/>
    </row>
    <row r="32" spans="1:22" x14ac:dyDescent="0.2">
      <c r="A32" s="29"/>
      <c r="C32" s="27" t="s">
        <v>150</v>
      </c>
      <c r="D32" s="27"/>
      <c r="E32" s="45" t="s">
        <v>113</v>
      </c>
      <c r="F32" s="45"/>
      <c r="G32" s="27"/>
      <c r="H32" s="51"/>
      <c r="I32" s="183"/>
      <c r="J32" s="183"/>
      <c r="L32" s="184"/>
      <c r="O32" s="184"/>
      <c r="R32" s="184"/>
      <c r="U32" s="184"/>
    </row>
    <row r="33" spans="1:22" ht="14.25" x14ac:dyDescent="0.35">
      <c r="A33" s="29"/>
      <c r="B33" s="34"/>
      <c r="C33" s="28" t="s">
        <v>7</v>
      </c>
      <c r="D33" s="28" t="s">
        <v>8</v>
      </c>
      <c r="E33" s="28" t="s">
        <v>7</v>
      </c>
      <c r="F33" s="28" t="s">
        <v>8</v>
      </c>
      <c r="G33" s="28"/>
      <c r="H33" s="51"/>
      <c r="I33" s="183"/>
      <c r="J33" s="183"/>
      <c r="K33" s="195"/>
      <c r="L33" s="195"/>
      <c r="M33" s="195"/>
      <c r="O33" s="184"/>
      <c r="R33" s="184"/>
      <c r="U33" s="184"/>
    </row>
    <row r="34" spans="1:22" ht="36" customHeight="1" x14ac:dyDescent="0.2">
      <c r="B34" s="35" t="str">
        <f ca="1">"15-year ("&amp;INDEX($B:$B,MID(_xlfn.FORMULATEXT(L34),FIND("(L",_xlfn.FORMULATEXT(L34))+2,2),1)&amp;"-"&amp;INDEX($B:$B,MID(_xlfn.FORMULATEXT(L34),FIND("),",_xlfn.FORMULATEXT(L34))-2,2),1)&amp;") Nominal Levelized"</f>
        <v>15-year (2026-2040) Nominal Levelized</v>
      </c>
      <c r="C34" s="36">
        <f>M34</f>
        <v>1.6235616392734566</v>
      </c>
      <c r="D34" s="36">
        <f>P34</f>
        <v>2.1816825314012429</v>
      </c>
      <c r="E34" s="36">
        <f>S34</f>
        <v>1.8055905825326646</v>
      </c>
      <c r="F34" s="36">
        <f>V34</f>
        <v>2.0600703784882688</v>
      </c>
      <c r="G34" s="36"/>
      <c r="I34" s="197">
        <f>-PMT('Table 4 Comparison'!$P$37,COUNT(I11:I25),NPV('Table 4 Comparison'!$P$37,I11:I25))</f>
        <v>0.96569092430323566</v>
      </c>
      <c r="J34" s="187"/>
      <c r="K34" s="195"/>
      <c r="L34" s="197">
        <f>-PMT('Table 4 Comparison'!$P$37,COUNT(L11:L25),NPV('Table 4 Comparison'!$P$37,L11:L25))</f>
        <v>1.5678587400932609</v>
      </c>
      <c r="M34" s="196">
        <f>L34/$I34</f>
        <v>1.6235616392734566</v>
      </c>
      <c r="N34" s="190"/>
      <c r="O34" s="197">
        <f>-PMT('Table 4 Comparison'!$P$37,COUNT(O11:O25),NPV('Table 4 Comparison'!$P$37,O11:O25))</f>
        <v>2.1068310202850893</v>
      </c>
      <c r="P34" s="196">
        <f>O34/$I34</f>
        <v>2.1816825314012429</v>
      </c>
      <c r="Q34" s="190"/>
      <c r="R34" s="197">
        <f>-PMT('Table 4 Comparison'!$P$37,COUNT(R11:R25),NPV('Table 4 Comparison'!$P$37,R11:R25))</f>
        <v>1.7436424385591867</v>
      </c>
      <c r="S34" s="196">
        <f>R34/$I34</f>
        <v>1.8055905825326646</v>
      </c>
      <c r="T34" s="190"/>
      <c r="U34" s="197">
        <f>-PMT('Table 4 Comparison'!$P$37,COUNT(U11:U25),NPV('Table 4 Comparison'!$P$37,U11:U25))</f>
        <v>1.9893912679320527</v>
      </c>
      <c r="V34" s="196">
        <f>U34/$I34</f>
        <v>2.0600703784882688</v>
      </c>
    </row>
    <row r="35" spans="1:22" ht="28.5" hidden="1" customHeight="1" x14ac:dyDescent="0.2">
      <c r="A35" s="34"/>
      <c r="B35" s="35" t="s">
        <v>148</v>
      </c>
      <c r="C35" s="36">
        <f t="shared" ref="C35:C36" si="16">M35</f>
        <v>1.6235616392734566</v>
      </c>
      <c r="D35" s="36">
        <f t="shared" ref="D35:D36" si="17">P35</f>
        <v>2.1816825314012429</v>
      </c>
      <c r="E35" s="36">
        <f t="shared" ref="E35:E36" si="18">S35</f>
        <v>1.8055905825326646</v>
      </c>
      <c r="F35" s="36">
        <f t="shared" ref="F35:F36" si="19">V35</f>
        <v>2.0600703784882688</v>
      </c>
      <c r="I35" s="197">
        <f>-PMT('Table 4 Comparison'!$P$37,COUNT(I11:I25),NPV('Table 4 Comparison'!$P$37,I11:I25))</f>
        <v>0.96569092430323566</v>
      </c>
      <c r="J35" s="185"/>
      <c r="K35" s="186"/>
      <c r="L35" s="197">
        <f>-PMT('Table 4 Comparison'!$P$37,COUNT(L11:L25),NPV('Table 4 Comparison'!$P$37,L11:L25))</f>
        <v>1.5678587400932609</v>
      </c>
      <c r="M35" s="196">
        <f>L35/$I35</f>
        <v>1.6235616392734566</v>
      </c>
      <c r="N35" s="186"/>
      <c r="O35" s="197">
        <f>-PMT('Table 4 Comparison'!$P$37,COUNT(O11:O25),NPV('Table 4 Comparison'!$P$37,O11:O25))</f>
        <v>2.1068310202850893</v>
      </c>
      <c r="P35" s="196">
        <f>O35/$I35</f>
        <v>2.1816825314012429</v>
      </c>
      <c r="Q35" s="186"/>
      <c r="R35" s="197">
        <f>-PMT('Table 4 Comparison'!$P$37,COUNT(R11:R25),NPV('Table 4 Comparison'!$P$37,R11:R25))</f>
        <v>1.7436424385591867</v>
      </c>
      <c r="S35" s="196">
        <f>R35/$I35</f>
        <v>1.8055905825326646</v>
      </c>
      <c r="T35" s="186"/>
      <c r="U35" s="197">
        <f>-PMT('Table 4 Comparison'!$P$37,COUNT(U11:U25),NPV('Table 4 Comparison'!$P$37,U11:U25))</f>
        <v>1.9893912679320527</v>
      </c>
      <c r="V35" s="196">
        <f>U35/$I35</f>
        <v>2.0600703784882688</v>
      </c>
    </row>
    <row r="36" spans="1:22" ht="24.75" hidden="1" customHeight="1" x14ac:dyDescent="0.2">
      <c r="A36" s="38"/>
      <c r="B36" s="35" t="s">
        <v>149</v>
      </c>
      <c r="C36" s="36">
        <f t="shared" si="16"/>
        <v>1.6888627593901002</v>
      </c>
      <c r="D36" s="36">
        <f t="shared" si="17"/>
        <v>2.1503774982179098</v>
      </c>
      <c r="E36" s="36">
        <f t="shared" si="18"/>
        <v>1.8476573304230153</v>
      </c>
      <c r="F36" s="36">
        <f t="shared" si="19"/>
        <v>2.0869823212321079</v>
      </c>
      <c r="I36" s="197">
        <f>-PMT('Table 4 Comparison'!$P$37,COUNT(I12:I26),NPV('Table 4 Comparison'!$P$37,I12:I26))</f>
        <v>0.96069092430323566</v>
      </c>
      <c r="J36" s="185"/>
      <c r="K36" s="186"/>
      <c r="L36" s="197">
        <f>-PMT('Table 4 Comparison'!$P$37,COUNT(L12:L26),NPV('Table 4 Comparison'!$P$37,L12:L26))</f>
        <v>1.6224751253397884</v>
      </c>
      <c r="M36" s="196">
        <f>L36/$I36</f>
        <v>1.6888627593901002</v>
      </c>
      <c r="N36" s="186"/>
      <c r="O36" s="197">
        <f>-PMT('Table 4 Comparison'!$P$37,COUNT(O12:O26),NPV('Table 4 Comparison'!$P$37,O12:O26))</f>
        <v>2.0658481463638432</v>
      </c>
      <c r="P36" s="196">
        <f>O36/$I36</f>
        <v>2.1503774982179098</v>
      </c>
      <c r="Q36" s="186"/>
      <c r="R36" s="197">
        <f>-PMT('Table 4 Comparison'!$P$37,COUNT(R12:R26),NPV('Table 4 Comparison'!$P$37,R12:R26))</f>
        <v>1.7750276285597355</v>
      </c>
      <c r="S36" s="196">
        <f>R36/$I36</f>
        <v>1.8476573304230153</v>
      </c>
      <c r="T36" s="186"/>
      <c r="U36" s="197">
        <f>-PMT('Table 4 Comparison'!$P$37,COUNT(U12:U26),NPV('Table 4 Comparison'!$P$37,U12:U26))</f>
        <v>2.0049449751889861</v>
      </c>
      <c r="V36" s="196">
        <f>U36/$I36</f>
        <v>2.0869823212321079</v>
      </c>
    </row>
    <row r="37" spans="1:22" hidden="1" x14ac:dyDescent="0.2">
      <c r="A37" s="38"/>
      <c r="B37" s="35"/>
      <c r="C37" s="36"/>
      <c r="D37" s="36"/>
      <c r="E37" s="36"/>
      <c r="F37" s="36"/>
      <c r="I37" s="187"/>
      <c r="J37" s="187"/>
      <c r="K37" s="188"/>
      <c r="L37" s="188"/>
      <c r="M37" s="189"/>
      <c r="N37" s="190"/>
      <c r="O37" s="188"/>
      <c r="P37" s="189"/>
      <c r="Q37" s="190"/>
      <c r="R37" s="188"/>
      <c r="S37" s="189"/>
      <c r="T37" s="190"/>
      <c r="U37" s="188"/>
      <c r="V37" s="189"/>
    </row>
    <row r="38" spans="1:22" ht="12.75" hidden="1" x14ac:dyDescent="0.2">
      <c r="A38" s="38"/>
      <c r="B38"/>
      <c r="C38"/>
      <c r="D38"/>
      <c r="E38"/>
      <c r="F38" s="39"/>
      <c r="G38" s="39"/>
      <c r="K38" s="191"/>
      <c r="L38" s="192"/>
      <c r="M38" s="193"/>
      <c r="O38" s="192"/>
      <c r="P38" s="193"/>
      <c r="R38" s="192"/>
      <c r="S38" s="193"/>
      <c r="U38" s="192"/>
      <c r="V38" s="193"/>
    </row>
    <row r="39" spans="1:22" ht="12.75" x14ac:dyDescent="0.2">
      <c r="A39" s="38"/>
      <c r="B39"/>
      <c r="C39"/>
      <c r="D39" s="41"/>
      <c r="E39" s="41"/>
      <c r="F39" s="39"/>
      <c r="G39" s="39"/>
      <c r="L39" s="194"/>
      <c r="O39" s="194"/>
      <c r="R39" s="194"/>
      <c r="U39" s="194"/>
    </row>
    <row r="40" spans="1:22" ht="12.75" x14ac:dyDescent="0.2">
      <c r="A40" s="29"/>
      <c r="B40"/>
      <c r="C40"/>
      <c r="D40" s="41"/>
      <c r="E40" s="41"/>
      <c r="F40" s="29"/>
      <c r="G40" s="29"/>
    </row>
    <row r="41" spans="1:22" ht="12.75" x14ac:dyDescent="0.2">
      <c r="A41" s="37"/>
      <c r="B41" t="s">
        <v>93</v>
      </c>
      <c r="C41"/>
      <c r="D41" s="41"/>
      <c r="E41" s="41"/>
      <c r="K41" s="175" t="str">
        <f ca="1">"NPV ("&amp;INDEX($B:$B,MID(_xlfn.FORMULATEXT(L34),FIND("(L",_xlfn.FORMULATEXT(L34))+2,2),1)&amp;"-"&amp;INDEX($B:$B,MID(_xlfn.FORMULATEXT(L34),FIND("),",_xlfn.FORMULATEXT(L34))-2,2),1)&amp;")"</f>
        <v>NPV (2026-2040)</v>
      </c>
      <c r="L41" s="182">
        <f>NPV('Table 4 Comparison'!$P$37,L11:L25)</f>
        <v>14.856374299210239</v>
      </c>
      <c r="M41" s="182">
        <f>NPV('Table 4 Comparison'!$P$37,M11:M25)</f>
        <v>14.856374299210238</v>
      </c>
      <c r="O41" s="182">
        <f>NPV('Table 4 Comparison'!$P$37,O11:O25)</f>
        <v>19.963450419443067</v>
      </c>
      <c r="P41" s="182">
        <f>NPV('Table 4 Comparison'!$P$37,P11:P25)</f>
        <v>19.963450419443063</v>
      </c>
      <c r="R41" s="182">
        <f>NPV('Table 4 Comparison'!$P$37,R11:R25)</f>
        <v>16.522027175536305</v>
      </c>
      <c r="S41" s="182">
        <f>NPV('Table 4 Comparison'!$P$37,S11:S25)</f>
        <v>16.522027175536309</v>
      </c>
      <c r="U41" s="182">
        <f>NPV('Table 4 Comparison'!$P$37,U11:U25)</f>
        <v>18.850640397757385</v>
      </c>
      <c r="V41" s="182">
        <f>NPV('Table 4 Comparison'!$P$37,V11:V25)</f>
        <v>18.850640397757381</v>
      </c>
    </row>
    <row r="42" spans="1:22" ht="12.75" x14ac:dyDescent="0.2">
      <c r="A42" s="37"/>
      <c r="B42" t="s">
        <v>112</v>
      </c>
      <c r="C42"/>
      <c r="D42" s="41"/>
      <c r="E42" s="41"/>
      <c r="K42" s="175" t="s">
        <v>101</v>
      </c>
      <c r="M42" s="175">
        <f>M41-L41</f>
        <v>0</v>
      </c>
      <c r="P42" s="175">
        <f>P41-O41</f>
        <v>0</v>
      </c>
      <c r="S42" s="175">
        <f>S41-R41</f>
        <v>0</v>
      </c>
      <c r="V42" s="175">
        <f>V41-U41</f>
        <v>0</v>
      </c>
    </row>
    <row r="43" spans="1:22" ht="12.75" x14ac:dyDescent="0.2">
      <c r="B43" t="s">
        <v>237</v>
      </c>
    </row>
  </sheetData>
  <printOptions horizontalCentered="1"/>
  <pageMargins left="0.25" right="0.25" top="0.75" bottom="0.75" header="0.3" footer="0.3"/>
  <pageSetup scale="53" orientation="landscape" copies="3" r:id="rId1"/>
  <headerFooter alignWithMargins="0">
    <oddFooter>&amp;L&amp;8NPC Group - &amp;F   ( &amp;A )&amp;C &amp;R &amp;8&amp;D  &amp;T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4">
    <tabColor rgb="FFFF0000"/>
  </sheetPr>
  <dimension ref="A1:V43"/>
  <sheetViews>
    <sheetView showGridLines="0" topLeftCell="A16" zoomScale="90" zoomScaleNormal="90" zoomScaleSheetLayoutView="80" workbookViewId="0">
      <selection activeCell="F19" sqref="F19"/>
    </sheetView>
  </sheetViews>
  <sheetFormatPr defaultColWidth="9.33203125" defaultRowHeight="12" x14ac:dyDescent="0.2"/>
  <cols>
    <col min="1" max="1" width="2.83203125" style="25" customWidth="1"/>
    <col min="2" max="2" width="23" style="25" customWidth="1"/>
    <col min="3" max="6" width="18.83203125" style="25" customWidth="1"/>
    <col min="7" max="7" width="4.6640625" style="25" customWidth="1"/>
    <col min="8" max="8" width="5.83203125" style="25" customWidth="1"/>
    <col min="9" max="9" width="11.6640625" style="175" customWidth="1"/>
    <col min="10" max="10" width="3.5" style="175" customWidth="1"/>
    <col min="11" max="11" width="17.1640625" style="175" customWidth="1"/>
    <col min="12" max="12" width="12.5" style="175" customWidth="1"/>
    <col min="13" max="13" width="11" style="175" customWidth="1"/>
    <col min="14" max="14" width="3.83203125" style="175" customWidth="1"/>
    <col min="15" max="16" width="12.5" style="175" customWidth="1"/>
    <col min="17" max="17" width="3.83203125" style="175" customWidth="1"/>
    <col min="18" max="19" width="12.5" style="175" customWidth="1"/>
    <col min="20" max="20" width="3.33203125" style="175" customWidth="1"/>
    <col min="21" max="22" width="12.5" style="175" customWidth="1"/>
    <col min="23" max="16384" width="9.33203125" style="25"/>
  </cols>
  <sheetData>
    <row r="1" spans="1:22" x14ac:dyDescent="0.2">
      <c r="A1" s="2"/>
      <c r="B1" s="2"/>
      <c r="C1" s="2"/>
      <c r="D1" s="2"/>
      <c r="E1" s="2"/>
      <c r="F1" s="2"/>
      <c r="G1" s="26"/>
      <c r="I1" s="174"/>
      <c r="J1" s="174"/>
    </row>
    <row r="2" spans="1:22" x14ac:dyDescent="0.2">
      <c r="A2" s="2"/>
      <c r="B2" s="2" t="s">
        <v>15</v>
      </c>
      <c r="C2" s="2"/>
      <c r="D2" s="2"/>
      <c r="E2" s="2"/>
      <c r="F2" s="2"/>
      <c r="G2" s="26"/>
      <c r="I2" s="174"/>
      <c r="J2" s="174"/>
    </row>
    <row r="3" spans="1:22" x14ac:dyDescent="0.2">
      <c r="G3" s="26"/>
      <c r="I3" s="174"/>
      <c r="J3" s="174"/>
    </row>
    <row r="4" spans="1:22" x14ac:dyDescent="0.2">
      <c r="A4" s="26"/>
      <c r="B4" s="44" t="s">
        <v>35</v>
      </c>
      <c r="C4" s="26"/>
      <c r="D4" s="26"/>
      <c r="E4" s="26"/>
      <c r="F4" s="26"/>
      <c r="G4" s="26"/>
      <c r="I4" s="176"/>
      <c r="J4" s="176"/>
      <c r="L4" s="177"/>
      <c r="O4" s="177"/>
      <c r="R4" s="177"/>
      <c r="U4" s="177"/>
    </row>
    <row r="5" spans="1:22" x14ac:dyDescent="0.2">
      <c r="A5" s="26"/>
      <c r="B5" s="26"/>
    </row>
    <row r="6" spans="1:22" x14ac:dyDescent="0.2">
      <c r="A6" s="26"/>
      <c r="B6" s="26" t="s">
        <v>26</v>
      </c>
      <c r="C6" s="27" t="s">
        <v>151</v>
      </c>
      <c r="D6" s="27"/>
      <c r="E6" s="27" t="s">
        <v>71</v>
      </c>
      <c r="F6" s="27"/>
      <c r="J6" s="178"/>
      <c r="L6" s="175" t="s">
        <v>95</v>
      </c>
      <c r="O6" s="175" t="s">
        <v>96</v>
      </c>
      <c r="R6" s="175" t="s">
        <v>97</v>
      </c>
      <c r="U6" s="175" t="s">
        <v>98</v>
      </c>
    </row>
    <row r="7" spans="1:22" ht="14.25" x14ac:dyDescent="0.35">
      <c r="A7" s="26"/>
      <c r="B7" s="26" t="s">
        <v>24</v>
      </c>
      <c r="C7" s="28" t="s">
        <v>7</v>
      </c>
      <c r="D7" s="28" t="s">
        <v>8</v>
      </c>
      <c r="E7" s="28" t="s">
        <v>7</v>
      </c>
      <c r="F7" s="28" t="s">
        <v>8</v>
      </c>
      <c r="H7" s="46"/>
      <c r="I7" s="179" t="s">
        <v>100</v>
      </c>
      <c r="J7" s="180"/>
      <c r="K7" s="181"/>
      <c r="L7" s="181" t="s">
        <v>99</v>
      </c>
      <c r="M7" s="181"/>
      <c r="O7" s="181" t="s">
        <v>99</v>
      </c>
      <c r="R7" s="181" t="s">
        <v>99</v>
      </c>
      <c r="U7" s="181" t="s">
        <v>99</v>
      </c>
    </row>
    <row r="8" spans="1:22" x14ac:dyDescent="0.2">
      <c r="A8" s="29"/>
      <c r="B8" s="30"/>
      <c r="C8" s="31"/>
      <c r="D8" s="31"/>
      <c r="E8" s="31"/>
      <c r="F8" s="31"/>
      <c r="H8" s="52"/>
      <c r="I8" s="182"/>
      <c r="J8" s="183"/>
      <c r="L8" s="184"/>
      <c r="O8" s="184"/>
      <c r="R8" s="184"/>
      <c r="U8" s="184"/>
    </row>
    <row r="9" spans="1:22" hidden="1" x14ac:dyDescent="0.2">
      <c r="A9" s="29"/>
      <c r="B9" s="30"/>
      <c r="C9" s="31"/>
      <c r="D9" s="31"/>
      <c r="E9" s="31"/>
      <c r="F9" s="31"/>
      <c r="H9" s="52"/>
      <c r="I9" s="182"/>
      <c r="J9" s="183"/>
      <c r="L9" s="184"/>
      <c r="O9" s="184"/>
      <c r="R9" s="184"/>
      <c r="U9" s="184"/>
    </row>
    <row r="10" spans="1:22" x14ac:dyDescent="0.2">
      <c r="A10" s="29"/>
      <c r="B10" s="30">
        <f>[4]SourceEnergy!$R$20</f>
        <v>2025</v>
      </c>
      <c r="C10" s="31">
        <f>INDEX([4]SourceEnergy!$S$20:$T$40,MATCH($B10,[4]SourceEnergy!$R$20:$R$40,0),MATCH(C$7,[4]SourceEnergy!$S$12:$T$12,0))/10</f>
        <v>1.4226513089195465</v>
      </c>
      <c r="D10" s="31">
        <f>INDEX([4]SourceEnergy!$S$20:$T$40,MATCH($B10,[4]SourceEnergy!$R$20:$R$40,0),MATCH(D$7,[4]SourceEnergy!$S$12:$T$12,0))/10</f>
        <v>3.4349729996227554</v>
      </c>
      <c r="E10" s="31">
        <f>INDEX([4]SourceEnergy!$U$20:$V$40,MATCH($B10,[4]SourceEnergy!$R$20:$R$40,0),MATCH(E$7,[4]SourceEnergy!$U$12:$V$12,0))/10</f>
        <v>1.7383503438417169</v>
      </c>
      <c r="F10" s="31">
        <f>INDEX([4]SourceEnergy!$U$20:$V$40,MATCH($B10,[4]SourceEnergy!$R$20:$R$40,0),MATCH(F$7,[4]SourceEnergy!$U$12:$V$12,0))/10</f>
        <v>2.276233769559572</v>
      </c>
      <c r="H10" s="52"/>
      <c r="I10" s="182">
        <v>1</v>
      </c>
      <c r="J10" s="183"/>
      <c r="L10" s="198">
        <f>C10*1*$I10</f>
        <v>1.4226513089195465</v>
      </c>
      <c r="M10" s="199">
        <f t="shared" ref="M10" si="0">M$34*$I10</f>
        <v>2.0511608144075066</v>
      </c>
      <c r="O10" s="198">
        <f>D10*1*$I10</f>
        <v>3.4349729996227554</v>
      </c>
      <c r="P10" s="199">
        <f t="shared" ref="P10" si="1">P$34*$I10</f>
        <v>2.7396397938027768</v>
      </c>
      <c r="R10" s="198">
        <f>E10*1*$I10</f>
        <v>1.7383503438417169</v>
      </c>
      <c r="S10" s="199">
        <f t="shared" ref="S10" si="2">S$34*$I10</f>
        <v>2.3077765730627449</v>
      </c>
      <c r="U10" s="198">
        <f>F10*1*$I10</f>
        <v>2.276233769559572</v>
      </c>
      <c r="V10" s="199">
        <f t="shared" ref="V10" si="3">V$34*$I10</f>
        <v>2.6497233323930023</v>
      </c>
    </row>
    <row r="11" spans="1:22" x14ac:dyDescent="0.2">
      <c r="A11" s="29"/>
      <c r="B11" s="30">
        <f t="shared" ref="B11:B27" si="4">B10+1</f>
        <v>2026</v>
      </c>
      <c r="C11" s="31">
        <f>INDEX([4]SourceEnergy!$S$20:$T$45,MATCH($B11,[4]SourceEnergy!$R$20:$R$45,0),MATCH(C$7,[4]SourceEnergy!$S$12:$T$12,0))/10</f>
        <v>1.261726441231583</v>
      </c>
      <c r="D11" s="31">
        <f>INDEX([4]SourceEnergy!$S$20:$T$45,MATCH($B11,[4]SourceEnergy!$R$20:$R$45,0),MATCH(D$7,[4]SourceEnergy!$S$12:$T$12,0))/10</f>
        <v>2.7626201776360504</v>
      </c>
      <c r="E11" s="31">
        <f>INDEX([4]SourceEnergy!$U$20:$V$45,MATCH($B11,[4]SourceEnergy!$R$20:$R$45,0),MATCH(E$7,[4]SourceEnergy!$U$12:$V$12,0))/10</f>
        <v>1.6521849946694729</v>
      </c>
      <c r="F11" s="31">
        <f>INDEX([4]SourceEnergy!$U$20:$V$45,MATCH($B11,[4]SourceEnergy!$R$20:$R$45,0),MATCH(F$7,[4]SourceEnergy!$U$12:$V$12,0))/10</f>
        <v>2.0955661623357797</v>
      </c>
      <c r="H11" s="52"/>
      <c r="I11" s="183">
        <f>I10-0.005</f>
        <v>0.995</v>
      </c>
      <c r="J11" s="183"/>
      <c r="L11" s="198">
        <f t="shared" ref="L11:L27" si="5">C11*1*$I11</f>
        <v>1.2554178090254251</v>
      </c>
      <c r="M11" s="199">
        <f>M$34*$I11</f>
        <v>2.0409050103354689</v>
      </c>
      <c r="O11" s="198">
        <f t="shared" ref="O11:O27" si="6">D11*1*$I11</f>
        <v>2.7488070767478701</v>
      </c>
      <c r="P11" s="199">
        <f>P$34*$I11</f>
        <v>2.7259415948337629</v>
      </c>
      <c r="R11" s="198">
        <f t="shared" ref="R11:R27" si="7">E11*1*$I11</f>
        <v>1.6439240696961255</v>
      </c>
      <c r="S11" s="199">
        <f>S$34*$I11</f>
        <v>2.2962376901974313</v>
      </c>
      <c r="U11" s="198">
        <f t="shared" ref="U11:U27" si="8">F11*1*$I11</f>
        <v>2.0850883315241009</v>
      </c>
      <c r="V11" s="199">
        <f>V$34*$I11</f>
        <v>2.6364747157310373</v>
      </c>
    </row>
    <row r="12" spans="1:22" x14ac:dyDescent="0.2">
      <c r="A12" s="29"/>
      <c r="B12" s="30">
        <f t="shared" si="4"/>
        <v>2027</v>
      </c>
      <c r="C12" s="31">
        <f>INDEX([4]SourceEnergy!$S$20:$T$45,MATCH($B12,[4]SourceEnergy!$R$20:$R$45,0),MATCH(C$7,[4]SourceEnergy!$S$12:$T$12,0))/10</f>
        <v>1.2611828125619287</v>
      </c>
      <c r="D12" s="31">
        <f>INDEX([4]SourceEnergy!$S$20:$T$45,MATCH($B12,[4]SourceEnergy!$R$20:$R$45,0),MATCH(D$7,[4]SourceEnergy!$S$12:$T$12,0))/10</f>
        <v>2.8057037413490904</v>
      </c>
      <c r="E12" s="31">
        <f>INDEX([4]SourceEnergy!$U$20:$V$45,MATCH($B12,[4]SourceEnergy!$R$20:$R$45,0),MATCH(E$7,[4]SourceEnergy!$U$12:$V$12,0))/10</f>
        <v>1.7306151779554895</v>
      </c>
      <c r="F12" s="31">
        <f>INDEX([4]SourceEnergy!$U$20:$V$45,MATCH($B12,[4]SourceEnergy!$R$20:$R$45,0),MATCH(F$7,[4]SourceEnergy!$U$12:$V$12,0))/10</f>
        <v>2.2702434146050607</v>
      </c>
      <c r="H12" s="52"/>
      <c r="I12" s="183">
        <f t="shared" ref="I12:I29" si="9">I11-0.005</f>
        <v>0.99</v>
      </c>
      <c r="J12" s="183"/>
      <c r="L12" s="198">
        <f t="shared" si="5"/>
        <v>1.2485709844363093</v>
      </c>
      <c r="M12" s="199">
        <f t="shared" ref="M12:M29" si="10">M$34*$I12</f>
        <v>2.0306492062634316</v>
      </c>
      <c r="O12" s="198">
        <f t="shared" si="6"/>
        <v>2.7776467039355994</v>
      </c>
      <c r="P12" s="199">
        <f t="shared" ref="P12:P29" si="11">P$34*$I12</f>
        <v>2.7122433958647489</v>
      </c>
      <c r="R12" s="198">
        <f t="shared" si="7"/>
        <v>1.7133090261759345</v>
      </c>
      <c r="S12" s="199">
        <f t="shared" ref="S12:S29" si="12">S$34*$I12</f>
        <v>2.2846988073321173</v>
      </c>
      <c r="U12" s="198">
        <f t="shared" si="8"/>
        <v>2.2475409804590103</v>
      </c>
      <c r="V12" s="199">
        <f t="shared" ref="V12:V29" si="13">V$34*$I12</f>
        <v>2.6232260990690723</v>
      </c>
    </row>
    <row r="13" spans="1:22" x14ac:dyDescent="0.2">
      <c r="A13" s="29"/>
      <c r="B13" s="30">
        <f t="shared" si="4"/>
        <v>2028</v>
      </c>
      <c r="C13" s="31">
        <f>INDEX([4]SourceEnergy!$S$20:$T$45,MATCH($B13,[4]SourceEnergy!$R$20:$R$45,0),MATCH(C$7,[4]SourceEnergy!$S$12:$T$12,0))/10</f>
        <v>1.6956496234055656</v>
      </c>
      <c r="D13" s="31">
        <f>INDEX([4]SourceEnergy!$S$20:$T$45,MATCH($B13,[4]SourceEnergy!$R$20:$R$45,0),MATCH(D$7,[4]SourceEnergy!$S$12:$T$12,0))/10</f>
        <v>3.1928278988664927</v>
      </c>
      <c r="E13" s="31">
        <f>INDEX([4]SourceEnergy!$U$20:$V$45,MATCH($B13,[4]SourceEnergy!$R$20:$R$45,0),MATCH(E$7,[4]SourceEnergy!$U$12:$V$12,0))/10</f>
        <v>2.1955071213251545</v>
      </c>
      <c r="F13" s="31">
        <f>INDEX([4]SourceEnergy!$U$20:$V$45,MATCH($B13,[4]SourceEnergy!$R$20:$R$45,0),MATCH(F$7,[4]SourceEnergy!$U$12:$V$12,0))/10</f>
        <v>2.8432784276150231</v>
      </c>
      <c r="H13" s="52"/>
      <c r="I13" s="183">
        <f t="shared" si="9"/>
        <v>0.98499999999999999</v>
      </c>
      <c r="J13" s="183"/>
      <c r="L13" s="198">
        <f t="shared" si="5"/>
        <v>1.670214879054482</v>
      </c>
      <c r="M13" s="199">
        <f t="shared" si="10"/>
        <v>2.0203934021913939</v>
      </c>
      <c r="O13" s="198">
        <f t="shared" si="6"/>
        <v>3.144935480383495</v>
      </c>
      <c r="P13" s="199">
        <f t="shared" si="11"/>
        <v>2.698545196895735</v>
      </c>
      <c r="R13" s="198">
        <f t="shared" si="7"/>
        <v>2.1625745145052773</v>
      </c>
      <c r="S13" s="199">
        <f t="shared" si="12"/>
        <v>2.2731599244668037</v>
      </c>
      <c r="U13" s="198">
        <f t="shared" si="8"/>
        <v>2.8006292512007978</v>
      </c>
      <c r="V13" s="199">
        <f t="shared" si="13"/>
        <v>2.6099774824071074</v>
      </c>
    </row>
    <row r="14" spans="1:22" x14ac:dyDescent="0.2">
      <c r="A14" s="29"/>
      <c r="B14" s="30">
        <f t="shared" si="4"/>
        <v>2029</v>
      </c>
      <c r="C14" s="31">
        <f>INDEX([4]SourceEnergy!$S$20:$T$45,MATCH($B14,[4]SourceEnergy!$R$20:$R$45,0),MATCH(C$7,[4]SourceEnergy!$S$12:$T$12,0))/10</f>
        <v>2.6093258497943834</v>
      </c>
      <c r="D14" s="31">
        <f>INDEX([4]SourceEnergy!$S$20:$T$45,MATCH($B14,[4]SourceEnergy!$R$20:$R$45,0),MATCH(D$7,[4]SourceEnergy!$S$12:$T$12,0))/10</f>
        <v>3.5054019220038328</v>
      </c>
      <c r="E14" s="31">
        <f>INDEX([4]SourceEnergy!$U$20:$V$45,MATCH($B14,[4]SourceEnergy!$R$20:$R$45,0),MATCH(E$7,[4]SourceEnergy!$U$12:$V$12,0))/10</f>
        <v>2.8744172191654069</v>
      </c>
      <c r="F14" s="31">
        <f>INDEX([4]SourceEnergy!$U$20:$V$45,MATCH($B14,[4]SourceEnergy!$R$20:$R$45,0),MATCH(F$7,[4]SourceEnergy!$U$12:$V$12,0))/10</f>
        <v>3.4853861076479937</v>
      </c>
      <c r="H14" s="52"/>
      <c r="I14" s="183">
        <f t="shared" si="9"/>
        <v>0.98</v>
      </c>
      <c r="J14" s="183"/>
      <c r="L14" s="198">
        <f t="shared" si="5"/>
        <v>2.5571393327984957</v>
      </c>
      <c r="M14" s="199">
        <f t="shared" si="10"/>
        <v>2.0101375981193566</v>
      </c>
      <c r="O14" s="198">
        <f t="shared" si="6"/>
        <v>3.4352938835637561</v>
      </c>
      <c r="P14" s="199">
        <f t="shared" si="11"/>
        <v>2.6848469979267211</v>
      </c>
      <c r="R14" s="198">
        <f t="shared" si="7"/>
        <v>2.8169288747820986</v>
      </c>
      <c r="S14" s="199">
        <f t="shared" si="12"/>
        <v>2.2616210416014901</v>
      </c>
      <c r="U14" s="198">
        <f t="shared" si="8"/>
        <v>3.4156783854950339</v>
      </c>
      <c r="V14" s="199">
        <f t="shared" si="13"/>
        <v>2.5967288657451424</v>
      </c>
    </row>
    <row r="15" spans="1:22" x14ac:dyDescent="0.2">
      <c r="A15" s="29"/>
      <c r="B15" s="30">
        <f t="shared" si="4"/>
        <v>2030</v>
      </c>
      <c r="C15" s="31">
        <f>INDEX([4]SourceEnergy!$S$20:$T$45,MATCH($B15,[4]SourceEnergy!$R$20:$R$45,0),MATCH(C$7,[4]SourceEnergy!$S$12:$T$12,0))/10</f>
        <v>2.4182235439994453</v>
      </c>
      <c r="D15" s="31">
        <f>INDEX([4]SourceEnergy!$S$20:$T$45,MATCH($B15,[4]SourceEnergy!$R$20:$R$45,0),MATCH(D$7,[4]SourceEnergy!$S$12:$T$12,0))/10</f>
        <v>2.7327047389839922</v>
      </c>
      <c r="E15" s="31">
        <f>INDEX([4]SourceEnergy!$U$20:$V$45,MATCH($B15,[4]SourceEnergy!$R$20:$R$45,0),MATCH(E$7,[4]SourceEnergy!$U$12:$V$12,0))/10</f>
        <v>2.5175945605857741</v>
      </c>
      <c r="F15" s="31">
        <f>INDEX([4]SourceEnergy!$U$20:$V$45,MATCH($B15,[4]SourceEnergy!$R$20:$R$45,0),MATCH(F$7,[4]SourceEnergy!$U$12:$V$12,0))/10</f>
        <v>2.6982489777449858</v>
      </c>
      <c r="H15" s="52"/>
      <c r="I15" s="183">
        <f t="shared" si="9"/>
        <v>0.97499999999999998</v>
      </c>
      <c r="J15" s="183"/>
      <c r="L15" s="198">
        <f t="shared" si="5"/>
        <v>2.357767955399459</v>
      </c>
      <c r="M15" s="199">
        <f t="shared" si="10"/>
        <v>1.999881794047319</v>
      </c>
      <c r="O15" s="198">
        <f t="shared" si="6"/>
        <v>2.6643871205093923</v>
      </c>
      <c r="P15" s="199">
        <f t="shared" si="11"/>
        <v>2.6711487989577072</v>
      </c>
      <c r="R15" s="198">
        <f t="shared" si="7"/>
        <v>2.4546546965711298</v>
      </c>
      <c r="S15" s="199">
        <f t="shared" si="12"/>
        <v>2.2500821587361761</v>
      </c>
      <c r="U15" s="198">
        <f t="shared" si="8"/>
        <v>2.6307927533013613</v>
      </c>
      <c r="V15" s="199">
        <f t="shared" si="13"/>
        <v>2.583480249083177</v>
      </c>
    </row>
    <row r="16" spans="1:22" x14ac:dyDescent="0.2">
      <c r="A16" s="29"/>
      <c r="B16" s="30">
        <f t="shared" si="4"/>
        <v>2031</v>
      </c>
      <c r="C16" s="31">
        <f>INDEX([4]SourceEnergy!$S$20:$T$45,MATCH($B16,[4]SourceEnergy!$R$20:$R$45,0),MATCH(C$7,[4]SourceEnergy!$S$12:$T$12,0))/10</f>
        <v>2.28096928369159</v>
      </c>
      <c r="D16" s="31">
        <f>INDEX([4]SourceEnergy!$S$20:$T$45,MATCH($B16,[4]SourceEnergy!$R$20:$R$45,0),MATCH(D$7,[4]SourceEnergy!$S$12:$T$12,0))/10</f>
        <v>2.6027046589725549</v>
      </c>
      <c r="E16" s="31">
        <f>INDEX([4]SourceEnergy!$U$20:$V$45,MATCH($B16,[4]SourceEnergy!$R$20:$R$45,0),MATCH(E$7,[4]SourceEnergy!$U$12:$V$12,0))/10</f>
        <v>2.4033952320138434</v>
      </c>
      <c r="F16" s="31">
        <f>INDEX([4]SourceEnergy!$U$20:$V$45,MATCH($B16,[4]SourceEnergy!$R$20:$R$45,0),MATCH(F$7,[4]SourceEnergy!$U$12:$V$12,0))/10</f>
        <v>2.541269286822347</v>
      </c>
      <c r="H16" s="52"/>
      <c r="I16" s="183">
        <f t="shared" si="9"/>
        <v>0.97</v>
      </c>
      <c r="J16" s="183"/>
      <c r="L16" s="198">
        <f t="shared" si="5"/>
        <v>2.2125402051808423</v>
      </c>
      <c r="M16" s="199">
        <f t="shared" si="10"/>
        <v>1.9896259899752813</v>
      </c>
      <c r="O16" s="198">
        <f t="shared" si="6"/>
        <v>2.5246235192033781</v>
      </c>
      <c r="P16" s="199">
        <f t="shared" si="11"/>
        <v>2.6574505999886933</v>
      </c>
      <c r="R16" s="198">
        <f t="shared" si="7"/>
        <v>2.3312933750534279</v>
      </c>
      <c r="S16" s="199">
        <f t="shared" si="12"/>
        <v>2.2385432758708625</v>
      </c>
      <c r="U16" s="198">
        <f t="shared" si="8"/>
        <v>2.4650312082176766</v>
      </c>
      <c r="V16" s="199">
        <f t="shared" si="13"/>
        <v>2.570231632421212</v>
      </c>
    </row>
    <row r="17" spans="1:22" x14ac:dyDescent="0.2">
      <c r="A17" s="29"/>
      <c r="B17" s="240">
        <f t="shared" si="4"/>
        <v>2032</v>
      </c>
      <c r="C17" s="31">
        <f>INDEX([4]SourceEnergy!$S$20:$T$45,MATCH($B17,[4]SourceEnergy!$R$20:$R$45,0),MATCH(C$7,[4]SourceEnergy!$S$12:$T$12,0))/10</f>
        <v>2.6104855892280661</v>
      </c>
      <c r="D17" s="31">
        <f>INDEX([4]SourceEnergy!$S$20:$T$45,MATCH($B17,[4]SourceEnergy!$R$20:$R$45,0),MATCH(D$7,[4]SourceEnergy!$S$12:$T$12,0))/10</f>
        <v>3.0755056467930895</v>
      </c>
      <c r="E17" s="31">
        <f>INDEX([4]SourceEnergy!$U$20:$V$45,MATCH($B17,[4]SourceEnergy!$R$20:$R$45,0),MATCH(E$7,[4]SourceEnergy!$U$12:$V$12,0))/10</f>
        <v>2.8376933120481267</v>
      </c>
      <c r="F17" s="31">
        <f>INDEX([4]SourceEnergy!$U$20:$V$45,MATCH($B17,[4]SourceEnergy!$R$20:$R$45,0),MATCH(F$7,[4]SourceEnergy!$U$12:$V$12,0))/10</f>
        <v>3.086022598392824</v>
      </c>
      <c r="H17" s="52"/>
      <c r="I17" s="183">
        <f t="shared" si="9"/>
        <v>0.96499999999999997</v>
      </c>
      <c r="J17" s="183"/>
      <c r="L17" s="198">
        <f t="shared" si="5"/>
        <v>2.5191185936050835</v>
      </c>
      <c r="M17" s="199">
        <f t="shared" si="10"/>
        <v>1.9793701859032438</v>
      </c>
      <c r="O17" s="198">
        <f t="shared" si="6"/>
        <v>2.9678629491553314</v>
      </c>
      <c r="P17" s="199">
        <f t="shared" si="11"/>
        <v>2.6437524010196793</v>
      </c>
      <c r="R17" s="198">
        <f t="shared" si="7"/>
        <v>2.7383740461264421</v>
      </c>
      <c r="S17" s="199">
        <f t="shared" si="12"/>
        <v>2.2270043930055485</v>
      </c>
      <c r="U17" s="198">
        <f t="shared" si="8"/>
        <v>2.9780118074490751</v>
      </c>
      <c r="V17" s="199">
        <f t="shared" si="13"/>
        <v>2.556983015759247</v>
      </c>
    </row>
    <row r="18" spans="1:22" x14ac:dyDescent="0.2">
      <c r="A18" s="29"/>
      <c r="B18" s="30">
        <f t="shared" si="4"/>
        <v>2033</v>
      </c>
      <c r="C18" s="31">
        <f>INDEX([4]SourceEnergy!$S$20:$T$45,MATCH($B18,[4]SourceEnergy!$R$20:$R$45,0),MATCH(C$7,[4]SourceEnergy!$S$12:$T$12,0))/10</f>
        <v>2.5297423848637903</v>
      </c>
      <c r="D18" s="31">
        <f>INDEX([4]SourceEnergy!$S$20:$T$45,MATCH($B18,[4]SourceEnergy!$R$20:$R$45,0),MATCH(D$7,[4]SourceEnergy!$S$12:$T$12,0))/10</f>
        <v>2.9561178201405607</v>
      </c>
      <c r="E18" s="31">
        <f>INDEX([4]SourceEnergy!$U$20:$V$45,MATCH($B18,[4]SourceEnergy!$R$20:$R$45,0),MATCH(E$7,[4]SourceEnergy!$U$12:$V$12,0))/10</f>
        <v>2.8697327907952488</v>
      </c>
      <c r="F18" s="31">
        <f>INDEX([4]SourceEnergy!$U$20:$V$45,MATCH($B18,[4]SourceEnergy!$R$20:$R$45,0),MATCH(F$7,[4]SourceEnergy!$U$12:$V$12,0))/10</f>
        <v>3.096333863234829</v>
      </c>
      <c r="H18" s="52"/>
      <c r="I18" s="183">
        <f t="shared" si="9"/>
        <v>0.96</v>
      </c>
      <c r="J18" s="183"/>
      <c r="L18" s="198">
        <f t="shared" si="5"/>
        <v>2.4285526894692384</v>
      </c>
      <c r="M18" s="199">
        <f t="shared" si="10"/>
        <v>1.9691143818312062</v>
      </c>
      <c r="O18" s="198">
        <f t="shared" si="6"/>
        <v>2.8378731073349384</v>
      </c>
      <c r="P18" s="199">
        <f t="shared" si="11"/>
        <v>2.6300542020506654</v>
      </c>
      <c r="R18" s="198">
        <f t="shared" si="7"/>
        <v>2.7549434791634386</v>
      </c>
      <c r="S18" s="199">
        <f t="shared" si="12"/>
        <v>2.215465510140235</v>
      </c>
      <c r="U18" s="198">
        <f t="shared" si="8"/>
        <v>2.9724805087054356</v>
      </c>
      <c r="V18" s="199">
        <f t="shared" si="13"/>
        <v>2.5437343990972821</v>
      </c>
    </row>
    <row r="19" spans="1:22" x14ac:dyDescent="0.2">
      <c r="A19" s="29"/>
      <c r="B19" s="30">
        <f t="shared" si="4"/>
        <v>2034</v>
      </c>
      <c r="C19" s="31">
        <f>INDEX([4]SourceEnergy!$S$20:$T$45,MATCH($B19,[4]SourceEnergy!$R$20:$R$45,0),MATCH(C$7,[4]SourceEnergy!$S$12:$T$12,0))/10</f>
        <v>2.6518058698301976</v>
      </c>
      <c r="D19" s="31">
        <f>INDEX([4]SourceEnergy!$S$20:$T$45,MATCH($B19,[4]SourceEnergy!$R$20:$R$45,0),MATCH(D$7,[4]SourceEnergy!$S$12:$T$12,0))/10</f>
        <v>3.0676101358581156</v>
      </c>
      <c r="E19" s="31">
        <f>INDEX([4]SourceEnergy!$U$20:$V$45,MATCH($B19,[4]SourceEnergy!$R$20:$R$45,0),MATCH(E$7,[4]SourceEnergy!$U$12:$V$12,0))/10</f>
        <v>3.0735086008164014</v>
      </c>
      <c r="F19" s="31">
        <f>INDEX([4]SourceEnergy!$U$20:$V$45,MATCH($B19,[4]SourceEnergy!$R$20:$R$45,0),MATCH(F$7,[4]SourceEnergy!$U$12:$V$12,0))/10</f>
        <v>3.3253337796070084</v>
      </c>
      <c r="H19" s="52"/>
      <c r="I19" s="183">
        <f t="shared" si="9"/>
        <v>0.95499999999999996</v>
      </c>
      <c r="J19" s="183"/>
      <c r="L19" s="198">
        <f t="shared" si="5"/>
        <v>2.5324746056878387</v>
      </c>
      <c r="M19" s="199">
        <f t="shared" si="10"/>
        <v>1.9588585777591687</v>
      </c>
      <c r="O19" s="198">
        <f t="shared" si="6"/>
        <v>2.9295676797445003</v>
      </c>
      <c r="P19" s="199">
        <f t="shared" si="11"/>
        <v>2.6163560030816515</v>
      </c>
      <c r="R19" s="198">
        <f t="shared" si="7"/>
        <v>2.9352007137796634</v>
      </c>
      <c r="S19" s="199">
        <f t="shared" si="12"/>
        <v>2.2039266272749214</v>
      </c>
      <c r="U19" s="198">
        <f t="shared" si="8"/>
        <v>3.1756937595246928</v>
      </c>
      <c r="V19" s="199">
        <f t="shared" si="13"/>
        <v>2.5304857824353171</v>
      </c>
    </row>
    <row r="20" spans="1:22" x14ac:dyDescent="0.2">
      <c r="A20" s="29"/>
      <c r="B20" s="30">
        <f t="shared" si="4"/>
        <v>2035</v>
      </c>
      <c r="C20" s="31">
        <f>INDEX([4]SourceEnergy!$S$20:$T$45,MATCH($B20,[4]SourceEnergy!$R$20:$R$45,0),MATCH(C$7,[4]SourceEnergy!$S$12:$T$12,0))/10</f>
        <v>2.4427637385198184</v>
      </c>
      <c r="D20" s="31">
        <f>INDEX([4]SourceEnergy!$S$20:$T$45,MATCH($B20,[4]SourceEnergy!$R$20:$R$45,0),MATCH(D$7,[4]SourceEnergy!$S$12:$T$12,0))/10</f>
        <v>2.7177087256884755</v>
      </c>
      <c r="E20" s="31">
        <f>INDEX([4]SourceEnergy!$U$20:$V$45,MATCH($B20,[4]SourceEnergy!$R$20:$R$45,0),MATCH(E$7,[4]SourceEnergy!$U$12:$V$12,0))/10</f>
        <v>2.6724958768092479</v>
      </c>
      <c r="F20" s="31">
        <f>INDEX([4]SourceEnergy!$U$20:$V$45,MATCH($B20,[4]SourceEnergy!$R$20:$R$45,0),MATCH(F$7,[4]SourceEnergy!$U$12:$V$12,0))/10</f>
        <v>3.0778951092928306</v>
      </c>
      <c r="H20" s="52"/>
      <c r="I20" s="183">
        <f t="shared" si="9"/>
        <v>0.95</v>
      </c>
      <c r="J20" s="183"/>
      <c r="L20" s="198">
        <f t="shared" si="5"/>
        <v>2.3206255515938272</v>
      </c>
      <c r="M20" s="199">
        <f t="shared" si="10"/>
        <v>1.9486027736871312</v>
      </c>
      <c r="O20" s="198">
        <f t="shared" si="6"/>
        <v>2.5818232894040518</v>
      </c>
      <c r="P20" s="199">
        <f t="shared" si="11"/>
        <v>2.602657804112638</v>
      </c>
      <c r="R20" s="198">
        <f t="shared" si="7"/>
        <v>2.5388710829687855</v>
      </c>
      <c r="S20" s="199">
        <f t="shared" si="12"/>
        <v>2.1923877444096074</v>
      </c>
      <c r="U20" s="198">
        <f t="shared" si="8"/>
        <v>2.9240003538281889</v>
      </c>
      <c r="V20" s="199">
        <f t="shared" si="13"/>
        <v>2.5172371657733521</v>
      </c>
    </row>
    <row r="21" spans="1:22" x14ac:dyDescent="0.2">
      <c r="A21" s="29"/>
      <c r="B21" s="30">
        <f t="shared" si="4"/>
        <v>2036</v>
      </c>
      <c r="C21" s="31">
        <f>INDEX([4]SourceEnergy!$S$20:$T$45,MATCH($B21,[4]SourceEnergy!$R$20:$R$45,0),MATCH(C$7,[4]SourceEnergy!$S$12:$T$12,0))/10</f>
        <v>2.3917328239423257</v>
      </c>
      <c r="D21" s="31">
        <f>INDEX([4]SourceEnergy!$S$20:$T$45,MATCH($B21,[4]SourceEnergy!$R$20:$R$45,0),MATCH(D$7,[4]SourceEnergy!$S$12:$T$12,0))/10</f>
        <v>2.6045412432397517</v>
      </c>
      <c r="E21" s="31">
        <f>INDEX([4]SourceEnergy!$U$20:$V$45,MATCH($B21,[4]SourceEnergy!$R$20:$R$45,0),MATCH(E$7,[4]SourceEnergy!$U$12:$V$12,0))/10</f>
        <v>2.5742467990497029</v>
      </c>
      <c r="F21" s="31">
        <f>INDEX([4]SourceEnergy!$U$20:$V$45,MATCH($B21,[4]SourceEnergy!$R$20:$R$45,0),MATCH(F$7,[4]SourceEnergy!$U$12:$V$12,0))/10</f>
        <v>2.8605375541618026</v>
      </c>
      <c r="H21" s="52"/>
      <c r="I21" s="183">
        <f t="shared" si="9"/>
        <v>0.94499999999999995</v>
      </c>
      <c r="J21" s="183"/>
      <c r="L21" s="198">
        <f t="shared" si="5"/>
        <v>2.2601875186254978</v>
      </c>
      <c r="M21" s="199">
        <f t="shared" si="10"/>
        <v>1.9383469696150937</v>
      </c>
      <c r="O21" s="198">
        <f t="shared" si="6"/>
        <v>2.4612914748615653</v>
      </c>
      <c r="P21" s="199">
        <f t="shared" si="11"/>
        <v>2.5889596051436241</v>
      </c>
      <c r="R21" s="198">
        <f t="shared" si="7"/>
        <v>2.4326632251019693</v>
      </c>
      <c r="S21" s="199">
        <f t="shared" si="12"/>
        <v>2.1808488615442938</v>
      </c>
      <c r="U21" s="198">
        <f t="shared" si="8"/>
        <v>2.7032079886829035</v>
      </c>
      <c r="V21" s="199">
        <f t="shared" si="13"/>
        <v>2.5039885491113871</v>
      </c>
    </row>
    <row r="22" spans="1:22" x14ac:dyDescent="0.2">
      <c r="A22" s="29"/>
      <c r="B22" s="30">
        <f t="shared" si="4"/>
        <v>2037</v>
      </c>
      <c r="C22" s="31">
        <f>INDEX([4]SourceEnergy!$S$20:$T$45,MATCH($B22,[4]SourceEnergy!$R$20:$R$45,0),MATCH(C$7,[4]SourceEnergy!$S$12:$T$12,0))/10</f>
        <v>2.3206443189316444</v>
      </c>
      <c r="D22" s="31">
        <f>INDEX([4]SourceEnergy!$S$20:$T$45,MATCH($B22,[4]SourceEnergy!$R$20:$R$45,0),MATCH(D$7,[4]SourceEnergy!$S$12:$T$12,0))/10</f>
        <v>2.4445462345231821</v>
      </c>
      <c r="E22" s="31">
        <f>INDEX([4]SourceEnergy!$U$20:$V$45,MATCH($B22,[4]SourceEnergy!$R$20:$R$45,0),MATCH(E$7,[4]SourceEnergy!$U$12:$V$12,0))/10</f>
        <v>2.3121111654283579</v>
      </c>
      <c r="F22" s="31">
        <f>INDEX([4]SourceEnergy!$U$20:$V$45,MATCH($B22,[4]SourceEnergy!$R$20:$R$45,0),MATCH(F$7,[4]SourceEnergy!$U$12:$V$12,0))/10</f>
        <v>2.655442998980015</v>
      </c>
      <c r="H22" s="52"/>
      <c r="I22" s="183">
        <f t="shared" si="9"/>
        <v>0.94</v>
      </c>
      <c r="J22" s="183"/>
      <c r="L22" s="198">
        <f t="shared" si="5"/>
        <v>2.1814056597957454</v>
      </c>
      <c r="M22" s="199">
        <f t="shared" si="10"/>
        <v>1.9280911655430562</v>
      </c>
      <c r="O22" s="198">
        <f t="shared" si="6"/>
        <v>2.297873460451791</v>
      </c>
      <c r="P22" s="199">
        <f t="shared" si="11"/>
        <v>2.5752614061746102</v>
      </c>
      <c r="R22" s="198">
        <f t="shared" si="7"/>
        <v>2.1733844955026562</v>
      </c>
      <c r="S22" s="199">
        <f t="shared" si="12"/>
        <v>2.1693099786789802</v>
      </c>
      <c r="U22" s="198">
        <f t="shared" si="8"/>
        <v>2.496116419041214</v>
      </c>
      <c r="V22" s="199">
        <f t="shared" si="13"/>
        <v>2.4907399324494222</v>
      </c>
    </row>
    <row r="23" spans="1:22" x14ac:dyDescent="0.2">
      <c r="A23" s="29"/>
      <c r="B23" s="30">
        <f t="shared" si="4"/>
        <v>2038</v>
      </c>
      <c r="C23" s="31">
        <f>INDEX([4]SourceEnergy!$S$20:$T$45,MATCH($B23,[4]SourceEnergy!$R$20:$R$45,0),MATCH(C$7,[4]SourceEnergy!$S$12:$T$12,0))/10</f>
        <v>1.744825013914187</v>
      </c>
      <c r="D23" s="31">
        <f>INDEX([4]SourceEnergy!$S$20:$T$45,MATCH($B23,[4]SourceEnergy!$R$20:$R$45,0),MATCH(D$7,[4]SourceEnergy!$S$12:$T$12,0))/10</f>
        <v>1.8413349528687029</v>
      </c>
      <c r="E23" s="31">
        <f>INDEX([4]SourceEnergy!$U$20:$V$45,MATCH($B23,[4]SourceEnergy!$R$20:$R$45,0),MATCH(E$7,[4]SourceEnergy!$U$12:$V$12,0))/10</f>
        <v>1.7314879968188623</v>
      </c>
      <c r="F23" s="31">
        <f>INDEX([4]SourceEnergy!$U$20:$V$45,MATCH($B23,[4]SourceEnergy!$R$20:$R$45,0),MATCH(F$7,[4]SourceEnergy!$U$12:$V$12,0))/10</f>
        <v>1.8441438312633298</v>
      </c>
      <c r="H23" s="52"/>
      <c r="I23" s="183">
        <f t="shared" si="9"/>
        <v>0.93499999999999994</v>
      </c>
      <c r="J23" s="183"/>
      <c r="L23" s="198">
        <f t="shared" si="5"/>
        <v>1.6314113880097647</v>
      </c>
      <c r="M23" s="199">
        <f t="shared" si="10"/>
        <v>1.9178353614710186</v>
      </c>
      <c r="O23" s="198">
        <f t="shared" si="6"/>
        <v>1.721648180932237</v>
      </c>
      <c r="P23" s="199">
        <f t="shared" si="11"/>
        <v>2.5615632072055963</v>
      </c>
      <c r="R23" s="198">
        <f t="shared" si="7"/>
        <v>1.6189412770256362</v>
      </c>
      <c r="S23" s="199">
        <f t="shared" si="12"/>
        <v>2.1577710958136662</v>
      </c>
      <c r="U23" s="198">
        <f t="shared" si="8"/>
        <v>1.7242744822312133</v>
      </c>
      <c r="V23" s="199">
        <f t="shared" si="13"/>
        <v>2.4774913157874572</v>
      </c>
    </row>
    <row r="24" spans="1:22" x14ac:dyDescent="0.2">
      <c r="A24" s="29"/>
      <c r="B24" s="30">
        <f t="shared" si="4"/>
        <v>2039</v>
      </c>
      <c r="C24" s="31">
        <f>INDEX([4]SourceEnergy!$S$20:$T$45,MATCH($B24,[4]SourceEnergy!$R$20:$R$45,0),MATCH(C$7,[4]SourceEnergy!$S$12:$T$12,0))/10</f>
        <v>1.3737746981331291</v>
      </c>
      <c r="D24" s="31">
        <f>INDEX([4]SourceEnergy!$S$20:$T$45,MATCH($B24,[4]SourceEnergy!$R$20:$R$45,0),MATCH(D$7,[4]SourceEnergy!$S$12:$T$12,0))/10</f>
        <v>1.4584818405901685</v>
      </c>
      <c r="E24" s="31">
        <f>INDEX([4]SourceEnergy!$U$20:$V$45,MATCH($B24,[4]SourceEnergy!$R$20:$R$45,0),MATCH(E$7,[4]SourceEnergy!$U$12:$V$12,0))/10</f>
        <v>1.3879140960094396</v>
      </c>
      <c r="F24" s="31">
        <f>INDEX([4]SourceEnergy!$U$20:$V$45,MATCH($B24,[4]SourceEnergy!$R$20:$R$45,0),MATCH(F$7,[4]SourceEnergy!$U$12:$V$12,0))/10</f>
        <v>1.4730397746316535</v>
      </c>
      <c r="H24" s="52"/>
      <c r="I24" s="183">
        <f t="shared" si="9"/>
        <v>0.92999999999999994</v>
      </c>
      <c r="J24" s="183"/>
      <c r="L24" s="198">
        <f t="shared" si="5"/>
        <v>1.2776104692638099</v>
      </c>
      <c r="M24" s="199">
        <f t="shared" si="10"/>
        <v>1.9075795573989811</v>
      </c>
      <c r="O24" s="198">
        <f t="shared" si="6"/>
        <v>1.3563881117488565</v>
      </c>
      <c r="P24" s="199">
        <f t="shared" si="11"/>
        <v>2.5478650082365824</v>
      </c>
      <c r="R24" s="198">
        <f t="shared" si="7"/>
        <v>1.2907601092887788</v>
      </c>
      <c r="S24" s="199">
        <f t="shared" si="12"/>
        <v>2.1462322129483526</v>
      </c>
      <c r="U24" s="198">
        <f t="shared" si="8"/>
        <v>1.3699269904074376</v>
      </c>
      <c r="V24" s="199">
        <f t="shared" si="13"/>
        <v>2.4642426991254918</v>
      </c>
    </row>
    <row r="25" spans="1:22" x14ac:dyDescent="0.2">
      <c r="A25" s="29"/>
      <c r="B25" s="30">
        <f t="shared" si="4"/>
        <v>2040</v>
      </c>
      <c r="C25" s="31">
        <f>INDEX([4]SourceEnergy!$S$20:$T$45,MATCH($B25,[4]SourceEnergy!$R$20:$R$45,0),MATCH(C$7,[4]SourceEnergy!$S$12:$T$12,0))/10</f>
        <v>1.5780278088175343</v>
      </c>
      <c r="D25" s="31">
        <f>INDEX([4]SourceEnergy!$S$20:$T$45,MATCH($B25,[4]SourceEnergy!$R$20:$R$45,0),MATCH(D$7,[4]SourceEnergy!$S$12:$T$12,0))/10</f>
        <v>1.7259062205628002</v>
      </c>
      <c r="E25" s="31">
        <f>INDEX([4]SourceEnergy!$U$20:$V$45,MATCH($B25,[4]SourceEnergy!$R$20:$R$45,0),MATCH(E$7,[4]SourceEnergy!$U$12:$V$12,0))/10</f>
        <v>1.6718017679857109</v>
      </c>
      <c r="F25" s="31">
        <f>INDEX([4]SourceEnergy!$U$20:$V$45,MATCH($B25,[4]SourceEnergy!$R$20:$R$45,0),MATCH(F$7,[4]SourceEnergy!$U$12:$V$12,0))/10</f>
        <v>1.7226591326730076</v>
      </c>
      <c r="H25" s="52"/>
      <c r="I25" s="183">
        <f t="shared" si="9"/>
        <v>0.92499999999999993</v>
      </c>
      <c r="J25" s="183"/>
      <c r="L25" s="198">
        <f t="shared" si="5"/>
        <v>1.4596757231562192</v>
      </c>
      <c r="M25" s="199">
        <f t="shared" si="10"/>
        <v>1.8973237533269436</v>
      </c>
      <c r="O25" s="198">
        <f t="shared" si="6"/>
        <v>1.5964632540205901</v>
      </c>
      <c r="P25" s="199">
        <f t="shared" si="11"/>
        <v>2.5341668092675684</v>
      </c>
      <c r="R25" s="198">
        <f t="shared" si="7"/>
        <v>1.5464166353867825</v>
      </c>
      <c r="S25" s="199">
        <f t="shared" si="12"/>
        <v>2.1346933300830386</v>
      </c>
      <c r="U25" s="198">
        <f t="shared" si="8"/>
        <v>1.5934596977225319</v>
      </c>
      <c r="V25" s="199">
        <f t="shared" si="13"/>
        <v>2.4509940824635268</v>
      </c>
    </row>
    <row r="26" spans="1:22" x14ac:dyDescent="0.2">
      <c r="A26" s="29"/>
      <c r="B26" s="30">
        <f t="shared" si="4"/>
        <v>2041</v>
      </c>
      <c r="C26" s="31">
        <f>INDEX([4]SourceEnergy!$S$20:$T$45,MATCH($B26,[4]SourceEnergy!$R$20:$R$45,0),MATCH(C$7,[4]SourceEnergy!$S$12:$T$12,0))/10</f>
        <v>1.803742313343081</v>
      </c>
      <c r="D26" s="31">
        <f>INDEX([4]SourceEnergy!$S$20:$T$45,MATCH($B26,[4]SourceEnergy!$R$20:$R$45,0),MATCH(D$7,[4]SourceEnergy!$S$12:$T$12,0))/10</f>
        <v>1.9571901387096156</v>
      </c>
      <c r="E26" s="31">
        <f>INDEX([4]SourceEnergy!$U$20:$V$45,MATCH($B26,[4]SourceEnergy!$R$20:$R$45,0),MATCH(E$7,[4]SourceEnergy!$U$12:$V$12,0))/10</f>
        <v>1.8360661504180391</v>
      </c>
      <c r="F26" s="31">
        <f>INDEX([4]SourceEnergy!$U$20:$V$45,MATCH($B26,[4]SourceEnergy!$R$20:$R$45,0),MATCH(F$7,[4]SourceEnergy!$U$12:$V$12,0))/10</f>
        <v>1.9619457322700611</v>
      </c>
      <c r="H26" s="52"/>
      <c r="I26" s="183">
        <f t="shared" si="9"/>
        <v>0.91999999999999993</v>
      </c>
      <c r="J26" s="183"/>
      <c r="L26" s="198">
        <f t="shared" si="5"/>
        <v>1.6594429282756344</v>
      </c>
      <c r="M26" s="199">
        <f t="shared" si="10"/>
        <v>1.8870679492549061</v>
      </c>
      <c r="O26" s="198">
        <f t="shared" si="6"/>
        <v>1.8006149276128462</v>
      </c>
      <c r="P26" s="199">
        <f t="shared" si="11"/>
        <v>2.5204686102985545</v>
      </c>
      <c r="R26" s="198">
        <f t="shared" si="7"/>
        <v>1.6891808583845958</v>
      </c>
      <c r="S26" s="199">
        <f t="shared" si="12"/>
        <v>2.1231544472177251</v>
      </c>
      <c r="U26" s="198">
        <f t="shared" si="8"/>
        <v>1.8049900736884561</v>
      </c>
      <c r="V26" s="199">
        <f t="shared" si="13"/>
        <v>2.4377454658015618</v>
      </c>
    </row>
    <row r="27" spans="1:22" x14ac:dyDescent="0.2">
      <c r="A27" s="29"/>
      <c r="B27" s="30">
        <f t="shared" si="4"/>
        <v>2042</v>
      </c>
      <c r="C27" s="31">
        <f>INDEX([4]SourceEnergy!$S$20:$T$45,MATCH($B27,[4]SourceEnergy!$R$20:$R$45,0),MATCH(C$7,[4]SourceEnergy!$S$12:$T$12,0))/10</f>
        <v>6.4397040626675519</v>
      </c>
      <c r="D27" s="31">
        <f>INDEX([4]SourceEnergy!$S$20:$T$45,MATCH($B27,[4]SourceEnergy!$R$20:$R$45,0),MATCH(D$7,[4]SourceEnergy!$S$12:$T$12,0))/10</f>
        <v>6.825694995522392</v>
      </c>
      <c r="E27" s="31">
        <f>INDEX([4]SourceEnergy!$U$20:$V$45,MATCH($B27,[4]SourceEnergy!$R$20:$R$45,0),MATCH(E$7,[4]SourceEnergy!$U$12:$V$12,0))/10</f>
        <v>6.1510664517513076</v>
      </c>
      <c r="F27" s="31">
        <f>INDEX([4]SourceEnergy!$U$20:$V$45,MATCH($B27,[4]SourceEnergy!$R$20:$R$45,0),MATCH(F$7,[4]SourceEnergy!$U$12:$V$12,0))/10</f>
        <v>6.4432999122302332</v>
      </c>
      <c r="H27" s="52"/>
      <c r="I27" s="183">
        <f t="shared" si="9"/>
        <v>0.91499999999999992</v>
      </c>
      <c r="J27" s="183"/>
      <c r="L27" s="198">
        <f t="shared" si="5"/>
        <v>5.8923292173408095</v>
      </c>
      <c r="M27" s="199">
        <f t="shared" si="10"/>
        <v>1.8768121451828683</v>
      </c>
      <c r="O27" s="198">
        <f t="shared" si="6"/>
        <v>6.245510920902988</v>
      </c>
      <c r="P27" s="199">
        <f t="shared" si="11"/>
        <v>2.5067704113295406</v>
      </c>
      <c r="R27" s="198">
        <f t="shared" si="7"/>
        <v>5.6282258033524464</v>
      </c>
      <c r="S27" s="199">
        <f t="shared" si="12"/>
        <v>2.1116155643524115</v>
      </c>
      <c r="U27" s="198">
        <f t="shared" si="8"/>
        <v>5.8956194196906626</v>
      </c>
      <c r="V27" s="199">
        <f t="shared" si="13"/>
        <v>2.4244968491395968</v>
      </c>
    </row>
    <row r="28" spans="1:22" x14ac:dyDescent="0.2">
      <c r="A28" s="29"/>
      <c r="B28" s="30">
        <f t="shared" ref="B28:B29" si="14">B27+1</f>
        <v>2043</v>
      </c>
      <c r="C28" s="31">
        <f>INDEX([4]SourceEnergy!$S$20:$T$45,MATCH($B28,[4]SourceEnergy!$R$20:$R$45,0),MATCH(C$7,[4]SourceEnergy!$S$12:$T$12,0))/10</f>
        <v>7.0263665047587711</v>
      </c>
      <c r="D28" s="31">
        <f>INDEX([4]SourceEnergy!$S$20:$T$45,MATCH($B28,[4]SourceEnergy!$R$20:$R$45,0),MATCH(D$7,[4]SourceEnergy!$S$12:$T$12,0))/10</f>
        <v>7.3342249634116268</v>
      </c>
      <c r="E28" s="31">
        <f>INDEX([4]SourceEnergy!$U$20:$V$45,MATCH($B28,[4]SourceEnergy!$R$20:$R$45,0),MATCH(E$7,[4]SourceEnergy!$U$12:$V$12,0))/10</f>
        <v>6.509547300094698</v>
      </c>
      <c r="F28" s="31">
        <f>INDEX([4]SourceEnergy!$U$20:$V$45,MATCH($B28,[4]SourceEnergy!$R$20:$R$45,0),MATCH(F$7,[4]SourceEnergy!$U$12:$V$12,0))/10</f>
        <v>7.3339680445897741</v>
      </c>
      <c r="H28" s="52"/>
      <c r="I28" s="183">
        <f t="shared" si="9"/>
        <v>0.90999999999999992</v>
      </c>
      <c r="J28" s="183"/>
      <c r="L28" s="198">
        <f t="shared" ref="L28:L29" si="15">C28*1*$I28</f>
        <v>6.3939935193304809</v>
      </c>
      <c r="M28" s="199">
        <f t="shared" si="10"/>
        <v>1.8665563411108308</v>
      </c>
      <c r="O28" s="198">
        <f t="shared" ref="O28:O29" si="16">D28*1*$I28</f>
        <v>6.6741447167045802</v>
      </c>
      <c r="P28" s="199">
        <f t="shared" si="11"/>
        <v>2.4930722123605267</v>
      </c>
      <c r="R28" s="198">
        <f t="shared" ref="R28:R29" si="17">E28*1*$I28</f>
        <v>5.9236880430861749</v>
      </c>
      <c r="S28" s="199">
        <f t="shared" si="12"/>
        <v>2.1000766814870975</v>
      </c>
      <c r="U28" s="198">
        <f t="shared" ref="U28:U29" si="18">F28*1*$I28</f>
        <v>6.6739109205766942</v>
      </c>
      <c r="V28" s="199">
        <f t="shared" si="13"/>
        <v>2.4112482324776319</v>
      </c>
    </row>
    <row r="29" spans="1:22" x14ac:dyDescent="0.2">
      <c r="A29" s="29"/>
      <c r="B29" s="30">
        <f t="shared" si="14"/>
        <v>2044</v>
      </c>
      <c r="C29" s="31">
        <f>INDEX([4]SourceEnergy!$S$20:$T$45,MATCH($B29,[4]SourceEnergy!$R$20:$R$45,0),MATCH(C$7,[4]SourceEnergy!$S$12:$T$12,0))/10</f>
        <v>6.1060288370982416</v>
      </c>
      <c r="D29" s="31">
        <f>INDEX([4]SourceEnergy!$S$20:$T$45,MATCH($B29,[4]SourceEnergy!$R$20:$R$45,0),MATCH(D$7,[4]SourceEnergy!$S$12:$T$12,0))/10</f>
        <v>6.4546189753988727</v>
      </c>
      <c r="E29" s="31">
        <f>INDEX([4]SourceEnergy!$U$20:$V$45,MATCH($B29,[4]SourceEnergy!$R$20:$R$45,0),MATCH(E$7,[4]SourceEnergy!$U$12:$V$12,0))/10</f>
        <v>6.1187473699925947</v>
      </c>
      <c r="F29" s="31">
        <f>INDEX([4]SourceEnergy!$U$20:$V$45,MATCH($B29,[4]SourceEnergy!$R$20:$R$45,0),MATCH(F$7,[4]SourceEnergy!$U$12:$V$12,0))/10</f>
        <v>6.4021225762863025</v>
      </c>
      <c r="H29" s="52"/>
      <c r="I29" s="183">
        <f t="shared" si="9"/>
        <v>0.90499999999999992</v>
      </c>
      <c r="J29" s="183"/>
      <c r="L29" s="198">
        <f t="shared" si="15"/>
        <v>5.5259560975739079</v>
      </c>
      <c r="M29" s="199">
        <f t="shared" si="10"/>
        <v>1.8563005370387933</v>
      </c>
      <c r="O29" s="198">
        <f t="shared" si="16"/>
        <v>5.8414301727359792</v>
      </c>
      <c r="P29" s="199">
        <f t="shared" si="11"/>
        <v>2.4793740133915128</v>
      </c>
      <c r="R29" s="198">
        <f t="shared" si="17"/>
        <v>5.5374663698432975</v>
      </c>
      <c r="S29" s="199">
        <f t="shared" si="12"/>
        <v>2.0885377986217839</v>
      </c>
      <c r="U29" s="198">
        <f t="shared" si="18"/>
        <v>5.7939209315391036</v>
      </c>
      <c r="V29" s="199">
        <f t="shared" si="13"/>
        <v>2.3979996158156669</v>
      </c>
    </row>
    <row r="30" spans="1:22" x14ac:dyDescent="0.2">
      <c r="A30" s="29"/>
      <c r="B30" s="30"/>
      <c r="C30" s="31"/>
      <c r="D30" s="31"/>
      <c r="E30" s="31"/>
      <c r="F30" s="31"/>
      <c r="H30" s="52"/>
      <c r="I30" s="183"/>
      <c r="J30" s="183"/>
      <c r="L30" s="184"/>
      <c r="O30" s="184"/>
      <c r="R30" s="184"/>
      <c r="U30" s="184"/>
    </row>
    <row r="31" spans="1:22" x14ac:dyDescent="0.2">
      <c r="A31" s="29"/>
      <c r="B31" s="30"/>
      <c r="C31" s="31"/>
      <c r="D31" s="31"/>
      <c r="E31" s="31"/>
      <c r="F31" s="31"/>
      <c r="H31" s="52"/>
      <c r="I31" s="183"/>
      <c r="J31" s="183"/>
      <c r="L31" s="184"/>
      <c r="O31" s="184"/>
      <c r="R31" s="184"/>
      <c r="U31" s="184"/>
    </row>
    <row r="32" spans="1:22" x14ac:dyDescent="0.2">
      <c r="A32" s="29"/>
      <c r="C32" s="27" t="s">
        <v>150</v>
      </c>
      <c r="D32" s="27"/>
      <c r="E32" s="45" t="s">
        <v>113</v>
      </c>
      <c r="F32" s="45"/>
      <c r="I32" s="183"/>
      <c r="J32" s="183"/>
      <c r="L32" s="184"/>
      <c r="O32" s="184"/>
      <c r="R32" s="184"/>
      <c r="U32" s="184"/>
    </row>
    <row r="33" spans="1:22" ht="14.25" x14ac:dyDescent="0.35">
      <c r="A33" s="29"/>
      <c r="B33" s="34"/>
      <c r="C33" s="28" t="s">
        <v>7</v>
      </c>
      <c r="D33" s="28" t="s">
        <v>8</v>
      </c>
      <c r="E33" s="28" t="s">
        <v>7</v>
      </c>
      <c r="F33" s="28" t="s">
        <v>8</v>
      </c>
      <c r="I33" s="183"/>
      <c r="J33" s="183"/>
      <c r="K33" s="195"/>
      <c r="L33" s="195"/>
      <c r="M33" s="195"/>
      <c r="O33" s="184"/>
      <c r="R33" s="184"/>
      <c r="U33" s="184"/>
    </row>
    <row r="34" spans="1:22" ht="33.75" customHeight="1" x14ac:dyDescent="0.2">
      <c r="B34" s="35" t="str">
        <f ca="1">"15-year ("&amp;INDEX($B:$B,MID(_xlfn.FORMULATEXT(L34),FIND("(L",_xlfn.FORMULATEXT(L34))+2,2),1)&amp;"-"&amp;INDEX($B:$B,MID(_xlfn.FORMULATEXT(L34),FIND("),",_xlfn.FORMULATEXT(L34))-2,2),1)&amp;") Nominal Levelized"</f>
        <v>15-year (2026-2040) Nominal Levelized</v>
      </c>
      <c r="C34" s="36">
        <f>M34</f>
        <v>2.0511608144075066</v>
      </c>
      <c r="D34" s="36">
        <f>P34</f>
        <v>2.7396397938027768</v>
      </c>
      <c r="E34" s="36">
        <f>S34</f>
        <v>2.3077765730627449</v>
      </c>
      <c r="F34" s="36">
        <f>V34</f>
        <v>2.6497233323930023</v>
      </c>
      <c r="I34" s="197">
        <f>-PMT('Table 4 Comparison'!$P$37,COUNT(I11:I25),NPV('Table 4 Comparison'!$P$37,I11:I25))</f>
        <v>0.96569092430323566</v>
      </c>
      <c r="J34" s="187"/>
      <c r="K34" s="195"/>
      <c r="L34" s="197">
        <f>-PMT('Table 4 Comparison'!$P$37,COUNT(L11:L25),NPV('Table 4 Comparison'!$P$37,L11:L25))</f>
        <v>1.9807873827597626</v>
      </c>
      <c r="M34" s="196">
        <f>L34/$I34</f>
        <v>2.0511608144075066</v>
      </c>
      <c r="N34" s="190"/>
      <c r="O34" s="197">
        <f>-PMT('Table 4 Comparison'!$P$37,COUNT(O11:O25),NPV('Table 4 Comparison'!$P$37,O11:O25))</f>
        <v>2.6456452847353296</v>
      </c>
      <c r="P34" s="196">
        <f>O34/$I34</f>
        <v>2.7396397938027768</v>
      </c>
      <c r="Q34" s="190"/>
      <c r="R34" s="197">
        <f>-PMT('Table 4 Comparison'!$P$37,COUNT(R11:R25),NPV('Table 4 Comparison'!$P$37,R11:R25))</f>
        <v>2.2285988919263158</v>
      </c>
      <c r="S34" s="196">
        <f>R34/$I34</f>
        <v>2.3077765730627449</v>
      </c>
      <c r="T34" s="190"/>
      <c r="U34" s="197">
        <f>-PMT('Table 4 Comparison'!$P$37,COUNT(U11:U25),NPV('Table 4 Comparison'!$P$37,U11:U25))</f>
        <v>2.558813774006448</v>
      </c>
      <c r="V34" s="196">
        <f>U34/$I34</f>
        <v>2.6497233323930023</v>
      </c>
    </row>
    <row r="35" spans="1:22" ht="24" hidden="1" x14ac:dyDescent="0.2">
      <c r="A35" s="34"/>
      <c r="B35" s="35" t="s">
        <v>69</v>
      </c>
      <c r="C35" s="36">
        <f t="shared" ref="C35:C36" si="19">M35</f>
        <v>2.127560135130445</v>
      </c>
      <c r="D35" s="36">
        <f t="shared" ref="D35:D36" si="20">P35</f>
        <v>2.7058560187723435</v>
      </c>
      <c r="E35" s="36">
        <f t="shared" ref="E35:E36" si="21">S35</f>
        <v>2.3605822161137442</v>
      </c>
      <c r="F35" s="36">
        <f t="shared" ref="F35:F36" si="22">V35</f>
        <v>2.6828063591312099</v>
      </c>
      <c r="I35" s="197">
        <f>-PMT('Table 4 Comparison'!$P$37,COUNT(I12:I26),NPV('Table 4 Comparison'!$P$37,I12:I26))</f>
        <v>0.96069092430323566</v>
      </c>
      <c r="J35" s="185"/>
      <c r="K35" s="186"/>
      <c r="L35" s="197">
        <f>-PMT('Table 4 Comparison'!$P$37,COUNT(L12:L26),NPV('Table 4 Comparison'!$P$37,L12:L26))</f>
        <v>2.0439277127291842</v>
      </c>
      <c r="M35" s="196">
        <f>L35/$I35</f>
        <v>2.127560135130445</v>
      </c>
      <c r="N35" s="186"/>
      <c r="O35" s="197">
        <f>-PMT('Table 4 Comparison'!$P$37,COUNT(O12:O26),NPV('Table 4 Comparison'!$P$37,O12:O26))</f>
        <v>2.599491319705876</v>
      </c>
      <c r="P35" s="196">
        <f>O35/$I35</f>
        <v>2.7058560187723435</v>
      </c>
      <c r="Q35" s="186"/>
      <c r="R35" s="197">
        <f>-PMT('Table 4 Comparison'!$P$37,COUNT(R12:R26),NPV('Table 4 Comparison'!$P$37,R12:R26))</f>
        <v>2.2677899110920934</v>
      </c>
      <c r="S35" s="196">
        <f>R35/$I35</f>
        <v>2.3605822161137442</v>
      </c>
      <c r="T35" s="186"/>
      <c r="U35" s="197">
        <f>-PMT('Table 4 Comparison'!$P$37,COUNT(U12:U26),NPV('Table 4 Comparison'!$P$37,U12:U26))</f>
        <v>2.5773477208803603</v>
      </c>
      <c r="V35" s="196">
        <f>U35/$I35</f>
        <v>2.6828063591312099</v>
      </c>
    </row>
    <row r="36" spans="1:22" ht="24" hidden="1" x14ac:dyDescent="0.2">
      <c r="B36" s="35" t="s">
        <v>70</v>
      </c>
      <c r="C36" s="36">
        <f t="shared" si="19"/>
        <v>2.3945775119201467</v>
      </c>
      <c r="D36" s="36">
        <f t="shared" si="20"/>
        <v>2.8595586857093704</v>
      </c>
      <c r="E36" s="36">
        <f t="shared" si="21"/>
        <v>2.5809102945650269</v>
      </c>
      <c r="F36" s="36">
        <f t="shared" si="22"/>
        <v>2.8781688022697423</v>
      </c>
      <c r="I36" s="197">
        <f>-PMT('Table 4 Comparison'!$P$37,COUNT(I13:I27),NPV('Table 4 Comparison'!$P$37,I13:I27))</f>
        <v>0.95569092430323588</v>
      </c>
      <c r="J36" s="185"/>
      <c r="K36" s="186"/>
      <c r="L36" s="197">
        <f>-PMT('Table 4 Comparison'!$P$37,COUNT(L13:L27),NPV('Table 4 Comparison'!$P$37,L13:L27))</f>
        <v>2.2884759956827079</v>
      </c>
      <c r="M36" s="196">
        <f>L36/$I36</f>
        <v>2.3945775119201467</v>
      </c>
      <c r="N36" s="186"/>
      <c r="O36" s="197">
        <f>-PMT('Table 4 Comparison'!$P$37,COUNT(O13:O27),NPV('Table 4 Comparison'!$P$37,O13:O27))</f>
        <v>2.7328542834449348</v>
      </c>
      <c r="P36" s="196">
        <f>O36/$I36</f>
        <v>2.8595586857093704</v>
      </c>
      <c r="Q36" s="186"/>
      <c r="R36" s="197">
        <f>-PMT('Table 4 Comparison'!$P$37,COUNT(R13:R27),NPV('Table 4 Comparison'!$P$37,R13:R27))</f>
        <v>2.4665525449565875</v>
      </c>
      <c r="S36" s="196">
        <f>R36/$I36</f>
        <v>2.5809102945650269</v>
      </c>
      <c r="T36" s="186"/>
      <c r="U36" s="197">
        <f>-PMT('Table 4 Comparison'!$P$37,COUNT(U13:U27),NPV('Table 4 Comparison'!$P$37,U13:U27))</f>
        <v>2.7506398029419072</v>
      </c>
      <c r="V36" s="196">
        <f>U36/$I36</f>
        <v>2.8781688022697423</v>
      </c>
    </row>
    <row r="37" spans="1:22" hidden="1" x14ac:dyDescent="0.2">
      <c r="B37" s="35"/>
      <c r="C37" s="36"/>
      <c r="D37" s="36"/>
      <c r="E37" s="36"/>
      <c r="F37" s="36"/>
      <c r="I37" s="187"/>
      <c r="J37" s="187"/>
      <c r="K37" s="188"/>
      <c r="L37" s="188"/>
      <c r="M37" s="189"/>
      <c r="N37" s="190"/>
      <c r="O37" s="188"/>
      <c r="P37" s="189"/>
      <c r="Q37" s="190"/>
      <c r="R37" s="188"/>
      <c r="S37" s="189"/>
      <c r="T37" s="190"/>
      <c r="U37" s="188"/>
      <c r="V37" s="189"/>
    </row>
    <row r="38" spans="1:22" ht="33" hidden="1" customHeight="1" x14ac:dyDescent="0.2">
      <c r="A38" s="38"/>
      <c r="B38"/>
      <c r="C38"/>
      <c r="D38"/>
      <c r="E38"/>
      <c r="F38" s="39"/>
      <c r="H38" s="52"/>
      <c r="K38" s="191"/>
      <c r="L38" s="192"/>
      <c r="M38" s="193"/>
      <c r="O38" s="192"/>
      <c r="P38" s="193"/>
      <c r="R38" s="192"/>
      <c r="S38" s="193"/>
      <c r="U38" s="192"/>
      <c r="V38" s="193"/>
    </row>
    <row r="39" spans="1:22" ht="12.75" hidden="1" x14ac:dyDescent="0.2">
      <c r="A39" s="38"/>
      <c r="B39"/>
      <c r="C39"/>
      <c r="D39" s="41"/>
      <c r="E39" s="41"/>
      <c r="F39" s="39"/>
      <c r="L39" s="194"/>
      <c r="O39" s="194"/>
      <c r="R39" s="194"/>
      <c r="U39" s="194"/>
    </row>
    <row r="40" spans="1:22" ht="12.75" hidden="1" x14ac:dyDescent="0.2">
      <c r="A40" s="29"/>
      <c r="B40"/>
      <c r="C40"/>
      <c r="D40" s="41"/>
      <c r="E40" s="41"/>
      <c r="F40" s="29"/>
      <c r="H40" s="48"/>
    </row>
    <row r="41" spans="1:22" ht="12.75" x14ac:dyDescent="0.2">
      <c r="A41" s="37"/>
      <c r="B41" t="s">
        <v>93</v>
      </c>
      <c r="C41"/>
      <c r="D41" s="41"/>
      <c r="E41" s="41"/>
      <c r="H41" s="54"/>
      <c r="K41" s="175" t="str">
        <f ca="1">"NPV ("&amp;INDEX($B:$B,MID(_xlfn.FORMULATEXT(L34),FIND("(L",_xlfn.FORMULATEXT(L34))+2,2),1)&amp;"-"&amp;INDEX($B:$B,MID(_xlfn.FORMULATEXT(L34),FIND("),",_xlfn.FORMULATEXT(L34))-2,2),1)&amp;")"</f>
        <v>NPV (2026-2040)</v>
      </c>
      <c r="L41" s="182">
        <f>NPV('Table 4 Comparison'!$P$37,L11:L25)</f>
        <v>18.769113576955043</v>
      </c>
      <c r="M41" s="182">
        <f>NPV('Table 4 Comparison'!$P$37,M11:M25)</f>
        <v>18.769113576955046</v>
      </c>
      <c r="O41" s="182">
        <f>NPV('Table 4 Comparison'!$P$37,O11:O25)</f>
        <v>25.06902924853469</v>
      </c>
      <c r="P41" s="182">
        <f>NPV('Table 4 Comparison'!$P$37,P11:P25)</f>
        <v>25.06902924853469</v>
      </c>
      <c r="R41" s="182">
        <f>NPV('Table 4 Comparison'!$P$37,R11:R25)</f>
        <v>21.117271891020692</v>
      </c>
      <c r="S41" s="182">
        <f>NPV('Table 4 Comparison'!$P$37,S11:S25)</f>
        <v>21.117271891020689</v>
      </c>
      <c r="U41" s="182">
        <f>NPV('Table 4 Comparison'!$P$37,U11:U25)</f>
        <v>24.246250134979206</v>
      </c>
      <c r="V41" s="182">
        <f>NPV('Table 4 Comparison'!$P$37,V11:V25)</f>
        <v>24.246250134979203</v>
      </c>
    </row>
    <row r="42" spans="1:22" ht="12.75" x14ac:dyDescent="0.2">
      <c r="A42" s="38"/>
      <c r="B42" t="s">
        <v>112</v>
      </c>
      <c r="K42" s="175" t="s">
        <v>101</v>
      </c>
      <c r="M42" s="175">
        <f>M41-L41</f>
        <v>0</v>
      </c>
      <c r="P42" s="175">
        <f>P41-O41</f>
        <v>0</v>
      </c>
      <c r="S42" s="175">
        <f>S41-R41</f>
        <v>0</v>
      </c>
      <c r="V42" s="175">
        <f>V41-U41</f>
        <v>0</v>
      </c>
    </row>
    <row r="43" spans="1:22" ht="12.75" x14ac:dyDescent="0.2">
      <c r="B43" t="s">
        <v>237</v>
      </c>
    </row>
  </sheetData>
  <printOptions horizontalCentered="1"/>
  <pageMargins left="0.25" right="0.25" top="0.75" bottom="0.75" header="0.3" footer="0.3"/>
  <pageSetup scale="59" orientation="landscape" copies="3" r:id="rId1"/>
  <headerFooter alignWithMargins="0">
    <oddFooter>&amp;L&amp;8NPC Group - &amp;F   ( &amp;A )&amp;C &amp;R &amp;8&amp;D  &amp;T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5">
    <tabColor rgb="FFFF0000"/>
  </sheetPr>
  <dimension ref="A1:M44"/>
  <sheetViews>
    <sheetView showGridLines="0" topLeftCell="A10" zoomScale="80" zoomScaleNormal="80" zoomScaleSheetLayoutView="80" workbookViewId="0">
      <selection activeCell="I44" sqref="I44"/>
    </sheetView>
  </sheetViews>
  <sheetFormatPr defaultColWidth="9.33203125" defaultRowHeight="12" x14ac:dyDescent="0.2"/>
  <cols>
    <col min="1" max="1" width="2.83203125" style="25" customWidth="1"/>
    <col min="2" max="2" width="22.1640625" style="25" customWidth="1"/>
    <col min="3" max="6" width="18.83203125" style="25" customWidth="1"/>
    <col min="7" max="7" width="4.6640625" style="25" customWidth="1"/>
    <col min="8" max="16384" width="9.33203125" style="25"/>
  </cols>
  <sheetData>
    <row r="1" spans="1:7" x14ac:dyDescent="0.2">
      <c r="A1" s="2"/>
      <c r="B1" s="2"/>
      <c r="C1" s="2"/>
      <c r="D1" s="2"/>
      <c r="E1" s="2"/>
      <c r="F1" s="2"/>
      <c r="G1" s="26"/>
    </row>
    <row r="2" spans="1:7" x14ac:dyDescent="0.2">
      <c r="A2" s="2"/>
      <c r="B2" s="2" t="s">
        <v>15</v>
      </c>
      <c r="C2" s="2"/>
      <c r="D2" s="2"/>
      <c r="E2" s="2"/>
      <c r="F2" s="2"/>
      <c r="G2" s="26"/>
    </row>
    <row r="3" spans="1:7" x14ac:dyDescent="0.2">
      <c r="G3" s="26"/>
    </row>
    <row r="4" spans="1:7" x14ac:dyDescent="0.2">
      <c r="A4" s="26"/>
      <c r="B4" s="44" t="s">
        <v>29</v>
      </c>
      <c r="C4" s="26"/>
      <c r="D4" s="26"/>
      <c r="E4" s="26"/>
      <c r="F4" s="26"/>
      <c r="G4" s="26"/>
    </row>
    <row r="5" spans="1:7" x14ac:dyDescent="0.2">
      <c r="A5" s="26"/>
      <c r="B5" s="26"/>
    </row>
    <row r="6" spans="1:7" x14ac:dyDescent="0.2">
      <c r="A6" s="26"/>
      <c r="B6" s="26" t="s">
        <v>26</v>
      </c>
      <c r="C6" s="27" t="s">
        <v>151</v>
      </c>
      <c r="D6" s="27"/>
      <c r="E6" s="27" t="s">
        <v>71</v>
      </c>
      <c r="F6" s="27"/>
    </row>
    <row r="7" spans="1:7" ht="14.25" x14ac:dyDescent="0.35">
      <c r="A7" s="26"/>
      <c r="B7" s="26" t="s">
        <v>24</v>
      </c>
      <c r="C7" s="28" t="s">
        <v>7</v>
      </c>
      <c r="D7" s="28" t="s">
        <v>8</v>
      </c>
      <c r="E7" s="28" t="s">
        <v>7</v>
      </c>
      <c r="F7" s="28" t="s">
        <v>8</v>
      </c>
    </row>
    <row r="8" spans="1:7" x14ac:dyDescent="0.2">
      <c r="A8" s="29"/>
      <c r="B8" s="30"/>
      <c r="C8" s="31"/>
      <c r="D8" s="31"/>
      <c r="E8" s="31"/>
      <c r="F8" s="31"/>
    </row>
    <row r="9" spans="1:7" hidden="1" x14ac:dyDescent="0.2">
      <c r="A9" s="29"/>
      <c r="B9" s="30"/>
      <c r="C9" s="31"/>
      <c r="D9" s="31"/>
      <c r="E9" s="31"/>
      <c r="F9" s="31"/>
    </row>
    <row r="10" spans="1:7" x14ac:dyDescent="0.2">
      <c r="A10" s="29"/>
      <c r="B10" s="30">
        <f>[5]SourceEnergy!$R$20</f>
        <v>2025</v>
      </c>
      <c r="C10" s="31">
        <f>INDEX([5]SourceEnergy!$S$20:$T$40,MATCH($B10,[5]SourceEnergy!$R$20:$R$40,0),MATCH(C$7,[5]SourceEnergy!$S$12:$T$12,0))/10</f>
        <v>2.9578723930246777</v>
      </c>
      <c r="D10" s="31">
        <f>INDEX([5]SourceEnergy!$S$20:$T$40,MATCH($B10,[5]SourceEnergy!$R$20:$R$40,0),MATCH(D$7,[5]SourceEnergy!$S$12:$T$12,0))/10</f>
        <v>6.1405874298484697</v>
      </c>
      <c r="E10" s="31">
        <f>INDEX([5]SourceEnergy!$U$20:$V$40,MATCH($B10,[5]SourceEnergy!$R$20:$R$40,0),MATCH(E$7,[5]SourceEnergy!$U$12:$V$12,0))/10</f>
        <v>3.500214602868982</v>
      </c>
      <c r="F10" s="31">
        <f>INDEX([5]SourceEnergy!$U$20:$V$40,MATCH($B10,[5]SourceEnergy!$R$20:$R$40,0),MATCH(F$7,[5]SourceEnergy!$U$12:$V$12,0))/10</f>
        <v>4.2152288970481298</v>
      </c>
    </row>
    <row r="11" spans="1:7" x14ac:dyDescent="0.2">
      <c r="A11" s="29"/>
      <c r="B11" s="30">
        <f t="shared" ref="B11:B30" si="0">B10+1</f>
        <v>2026</v>
      </c>
      <c r="C11" s="31">
        <f>INDEX([5]SourceEnergy!$S$20:$T$45,MATCH($B11,[5]SourceEnergy!$R$20:$R$45,0),MATCH(C$7,[5]SourceEnergy!$S$12:$T$12,0))/10</f>
        <v>1.6376389694650502</v>
      </c>
      <c r="D11" s="31">
        <f>INDEX([5]SourceEnergy!$S$20:$T$45,MATCH($B11,[5]SourceEnergy!$R$20:$R$45,0),MATCH(D$7,[5]SourceEnergy!$S$12:$T$12,0))/10</f>
        <v>3.0804778334942675</v>
      </c>
      <c r="E11" s="31">
        <f>INDEX([5]SourceEnergy!$U$20:$V$45,MATCH($B11,[5]SourceEnergy!$R$20:$R$45,0),MATCH(E$7,[5]SourceEnergy!$U$12:$V$12,0))/10</f>
        <v>2.0858341360605399</v>
      </c>
      <c r="F11" s="31">
        <f>INDEX([5]SourceEnergy!$U$20:$V$45,MATCH($B11,[5]SourceEnergy!$R$20:$R$45,0),MATCH(F$7,[5]SourceEnergy!$U$12:$V$12,0))/10</f>
        <v>2.3603675259820216</v>
      </c>
    </row>
    <row r="12" spans="1:7" x14ac:dyDescent="0.2">
      <c r="A12" s="29"/>
      <c r="B12" s="30">
        <f t="shared" si="0"/>
        <v>2027</v>
      </c>
      <c r="C12" s="31">
        <f>INDEX([5]SourceEnergy!$S$20:$T$45,MATCH($B12,[5]SourceEnergy!$R$20:$R$45,0),MATCH(C$7,[5]SourceEnergy!$S$12:$T$12,0))/10</f>
        <v>1.6559908944985675</v>
      </c>
      <c r="D12" s="31">
        <f>INDEX([5]SourceEnergy!$S$20:$T$45,MATCH($B12,[5]SourceEnergy!$R$20:$R$45,0),MATCH(D$7,[5]SourceEnergy!$S$12:$T$12,0))/10</f>
        <v>3.0795732795795785</v>
      </c>
      <c r="E12" s="31">
        <f>INDEX([5]SourceEnergy!$U$20:$V$45,MATCH($B12,[5]SourceEnergy!$R$20:$R$45,0),MATCH(E$7,[5]SourceEnergy!$U$12:$V$12,0))/10</f>
        <v>2.161121391020159</v>
      </c>
      <c r="F12" s="31">
        <f>INDEX([5]SourceEnergy!$U$20:$V$45,MATCH($B12,[5]SourceEnergy!$R$20:$R$45,0),MATCH(F$7,[5]SourceEnergy!$U$12:$V$12,0))/10</f>
        <v>2.5426801874014346</v>
      </c>
    </row>
    <row r="13" spans="1:7" x14ac:dyDescent="0.2">
      <c r="A13" s="29"/>
      <c r="B13" s="241">
        <f t="shared" si="0"/>
        <v>2028</v>
      </c>
      <c r="C13" s="31">
        <f>INDEX([5]SourceEnergy!$S$20:$T$45,MATCH($B13,[5]SourceEnergy!$R$20:$R$45,0),MATCH(C$7,[5]SourceEnergy!$S$12:$T$12,0))/10</f>
        <v>0.92629199355952951</v>
      </c>
      <c r="D13" s="31">
        <f>INDEX([5]SourceEnergy!$S$20:$T$45,MATCH($B13,[5]SourceEnergy!$R$20:$R$45,0),MATCH(D$7,[5]SourceEnergy!$S$12:$T$12,0))/10</f>
        <v>1.5256371525302472</v>
      </c>
      <c r="E13" s="31">
        <f>INDEX([5]SourceEnergy!$U$20:$V$45,MATCH($B13,[5]SourceEnergy!$R$20:$R$45,0),MATCH(E$7,[5]SourceEnergy!$U$12:$V$12,0))/10</f>
        <v>1.1783767218690822</v>
      </c>
      <c r="F13" s="31">
        <f>INDEX([5]SourceEnergy!$U$20:$V$45,MATCH($B13,[5]SourceEnergy!$R$20:$R$45,0),MATCH(F$7,[5]SourceEnergy!$U$12:$V$12,0))/10</f>
        <v>1.3877348139413535</v>
      </c>
    </row>
    <row r="14" spans="1:7" x14ac:dyDescent="0.2">
      <c r="A14" s="29"/>
      <c r="B14" s="30">
        <f t="shared" si="0"/>
        <v>2029</v>
      </c>
      <c r="C14" s="31">
        <f>INDEX([5]SourceEnergy!$S$20:$T$45,MATCH($B14,[5]SourceEnergy!$R$20:$R$45,0),MATCH(C$7,[5]SourceEnergy!$S$12:$T$12,0))/10</f>
        <v>2.1653297930523219</v>
      </c>
      <c r="D14" s="31">
        <f>INDEX([5]SourceEnergy!$S$20:$T$45,MATCH($B14,[5]SourceEnergy!$R$20:$R$45,0),MATCH(D$7,[5]SourceEnergy!$S$12:$T$12,0))/10</f>
        <v>2.6804314588657654</v>
      </c>
      <c r="E14" s="31">
        <f>INDEX([5]SourceEnergy!$U$20:$V$45,MATCH($B14,[5]SourceEnergy!$R$20:$R$45,0),MATCH(E$7,[5]SourceEnergy!$U$12:$V$12,0))/10</f>
        <v>2.411350918039683</v>
      </c>
      <c r="F14" s="31">
        <f>INDEX([5]SourceEnergy!$U$20:$V$45,MATCH($B14,[5]SourceEnergy!$R$20:$R$45,0),MATCH(F$7,[5]SourceEnergy!$U$12:$V$12,0))/10</f>
        <v>2.6503795008997759</v>
      </c>
    </row>
    <row r="15" spans="1:7" x14ac:dyDescent="0.2">
      <c r="A15" s="29"/>
      <c r="B15" s="30">
        <f t="shared" si="0"/>
        <v>2030</v>
      </c>
      <c r="C15" s="31">
        <f>INDEX([5]SourceEnergy!$S$20:$T$45,MATCH($B15,[5]SourceEnergy!$R$20:$R$45,0),MATCH(C$7,[5]SourceEnergy!$S$12:$T$12,0))/10</f>
        <v>2.3808415978801891</v>
      </c>
      <c r="D15" s="31">
        <f>INDEX([5]SourceEnergy!$S$20:$T$45,MATCH($B15,[5]SourceEnergy!$R$20:$R$45,0),MATCH(D$7,[5]SourceEnergy!$S$12:$T$12,0))/10</f>
        <v>2.5196914379652484</v>
      </c>
      <c r="E15" s="31">
        <f>INDEX([5]SourceEnergy!$U$20:$V$45,MATCH($B15,[5]SourceEnergy!$R$20:$R$45,0),MATCH(E$7,[5]SourceEnergy!$U$12:$V$12,0))/10</f>
        <v>2.5106243255300993</v>
      </c>
      <c r="F15" s="31">
        <f>INDEX([5]SourceEnergy!$U$20:$V$45,MATCH($B15,[5]SourceEnergy!$R$20:$R$45,0),MATCH(F$7,[5]SourceEnergy!$U$12:$V$12,0))/10</f>
        <v>2.4555531640870436</v>
      </c>
    </row>
    <row r="16" spans="1:7" x14ac:dyDescent="0.2">
      <c r="A16" s="29"/>
      <c r="B16" s="30">
        <f t="shared" si="0"/>
        <v>2031</v>
      </c>
      <c r="C16" s="31">
        <f>INDEX([5]SourceEnergy!$S$20:$T$45,MATCH($B16,[5]SourceEnergy!$R$20:$R$45,0),MATCH(C$7,[5]SourceEnergy!$S$12:$T$12,0))/10</f>
        <v>0.12622277507000015</v>
      </c>
      <c r="D16" s="31">
        <f>INDEX([5]SourceEnergy!$S$20:$T$45,MATCH($B16,[5]SourceEnergy!$R$20:$R$45,0),MATCH(D$7,[5]SourceEnergy!$S$12:$T$12,0))/10</f>
        <v>0.13324763453769156</v>
      </c>
      <c r="E16" s="31">
        <f>INDEX([5]SourceEnergy!$U$20:$V$45,MATCH($B16,[5]SourceEnergy!$R$20:$R$45,0),MATCH(E$7,[5]SourceEnergy!$U$12:$V$12,0))/10</f>
        <v>0.13680519151475468</v>
      </c>
      <c r="F16" s="31">
        <f>INDEX([5]SourceEnergy!$U$20:$V$45,MATCH($B16,[5]SourceEnergy!$R$20:$R$45,0),MATCH(F$7,[5]SourceEnergy!$U$12:$V$12,0))/10</f>
        <v>0.13180874086643435</v>
      </c>
    </row>
    <row r="17" spans="1:8" x14ac:dyDescent="0.2">
      <c r="A17" s="29"/>
      <c r="B17" s="30">
        <f t="shared" si="0"/>
        <v>2032</v>
      </c>
      <c r="C17" s="31">
        <f>INDEX([5]SourceEnergy!$S$20:$T$45,MATCH($B17,[5]SourceEnergy!$R$20:$R$45,0),MATCH(C$7,[5]SourceEnergy!$S$12:$T$12,0))/10</f>
        <v>0.13944501248787622</v>
      </c>
      <c r="D17" s="31">
        <f>INDEX([5]SourceEnergy!$S$20:$T$45,MATCH($B17,[5]SourceEnergy!$R$20:$R$45,0),MATCH(D$7,[5]SourceEnergy!$S$12:$T$12,0))/10</f>
        <v>0.151486384730774</v>
      </c>
      <c r="E17" s="31">
        <f>INDEX([5]SourceEnergy!$U$20:$V$45,MATCH($B17,[5]SourceEnergy!$R$20:$R$45,0),MATCH(E$7,[5]SourceEnergy!$U$12:$V$12,0))/10</f>
        <v>0.1544042600783837</v>
      </c>
      <c r="F17" s="31">
        <f>INDEX([5]SourceEnergy!$U$20:$V$45,MATCH($B17,[5]SourceEnergy!$R$20:$R$45,0),MATCH(F$7,[5]SourceEnergy!$U$12:$V$12,0))/10</f>
        <v>0.15067362920486255</v>
      </c>
    </row>
    <row r="18" spans="1:8" x14ac:dyDescent="0.2">
      <c r="A18" s="29"/>
      <c r="B18" s="30">
        <f t="shared" si="0"/>
        <v>2033</v>
      </c>
      <c r="C18" s="31">
        <f>INDEX([5]SourceEnergy!$S$20:$T$45,MATCH($B18,[5]SourceEnergy!$R$20:$R$45,0),MATCH(C$7,[5]SourceEnergy!$S$12:$T$12,0))/10</f>
        <v>0.1377277345035785</v>
      </c>
      <c r="D18" s="31">
        <f>INDEX([5]SourceEnergy!$S$20:$T$45,MATCH($B18,[5]SourceEnergy!$R$20:$R$45,0),MATCH(D$7,[5]SourceEnergy!$S$12:$T$12,0))/10</f>
        <v>0.14529738196657391</v>
      </c>
      <c r="E18" s="31">
        <f>INDEX([5]SourceEnergy!$U$20:$V$45,MATCH($B18,[5]SourceEnergy!$R$20:$R$45,0),MATCH(E$7,[5]SourceEnergy!$U$12:$V$12,0))/10</f>
        <v>0.16088408220309822</v>
      </c>
      <c r="F18" s="31">
        <f>INDEX([5]SourceEnergy!$U$20:$V$45,MATCH($B18,[5]SourceEnergy!$R$20:$R$45,0),MATCH(F$7,[5]SourceEnergy!$U$12:$V$12,0))/10</f>
        <v>0.15087329010225248</v>
      </c>
    </row>
    <row r="19" spans="1:8" x14ac:dyDescent="0.2">
      <c r="A19" s="29"/>
      <c r="B19" s="30">
        <f t="shared" si="0"/>
        <v>2034</v>
      </c>
      <c r="C19" s="31">
        <f>INDEX([5]SourceEnergy!$S$20:$T$45,MATCH($B19,[5]SourceEnergy!$R$20:$R$45,0),MATCH(C$7,[5]SourceEnergy!$S$12:$T$12,0))/10</f>
        <v>0.13810863901287485</v>
      </c>
      <c r="D19" s="31">
        <f>INDEX([5]SourceEnergy!$S$20:$T$45,MATCH($B19,[5]SourceEnergy!$R$20:$R$45,0),MATCH(D$7,[5]SourceEnergy!$S$12:$T$12,0))/10</f>
        <v>0.14215221987621349</v>
      </c>
      <c r="E19" s="31">
        <f>INDEX([5]SourceEnergy!$U$20:$V$45,MATCH($B19,[5]SourceEnergy!$R$20:$R$45,0),MATCH(E$7,[5]SourceEnergy!$U$12:$V$12,0))/10</f>
        <v>0.16140901900113419</v>
      </c>
      <c r="F19" s="31">
        <f>INDEX([5]SourceEnergy!$U$20:$V$45,MATCH($B19,[5]SourceEnergy!$R$20:$R$45,0),MATCH(F$7,[5]SourceEnergy!$U$12:$V$12,0))/10</f>
        <v>0.15453964015979327</v>
      </c>
    </row>
    <row r="20" spans="1:8" x14ac:dyDescent="0.2">
      <c r="A20" s="29"/>
      <c r="B20" s="30">
        <f t="shared" si="0"/>
        <v>2035</v>
      </c>
      <c r="C20" s="31">
        <f>INDEX([5]SourceEnergy!$S$20:$T$45,MATCH($B20,[5]SourceEnergy!$R$20:$R$45,0),MATCH(C$7,[5]SourceEnergy!$S$12:$T$12,0))/10</f>
        <v>0.14051781876754199</v>
      </c>
      <c r="D20" s="31">
        <f>INDEX([5]SourceEnergy!$S$20:$T$45,MATCH($B20,[5]SourceEnergy!$R$20:$R$45,0),MATCH(D$7,[5]SourceEnergy!$S$12:$T$12,0))/10</f>
        <v>0.13890821565031078</v>
      </c>
      <c r="E20" s="31">
        <f>INDEX([5]SourceEnergy!$U$20:$V$45,MATCH($B20,[5]SourceEnergy!$R$20:$R$45,0),MATCH(E$7,[5]SourceEnergy!$U$12:$V$12,0))/10</f>
        <v>0.15989652460316001</v>
      </c>
      <c r="F20" s="31">
        <f>INDEX([5]SourceEnergy!$U$20:$V$45,MATCH($B20,[5]SourceEnergy!$R$20:$R$45,0),MATCH(F$7,[5]SourceEnergy!$U$12:$V$12,0))/10</f>
        <v>0.15615021519647532</v>
      </c>
      <c r="H20" s="32"/>
    </row>
    <row r="21" spans="1:8" x14ac:dyDescent="0.2">
      <c r="A21" s="29"/>
      <c r="B21" s="30">
        <f t="shared" si="0"/>
        <v>2036</v>
      </c>
      <c r="C21" s="31">
        <f>INDEX([5]SourceEnergy!$S$20:$T$45,MATCH($B21,[5]SourceEnergy!$R$20:$R$45,0),MATCH(C$7,[5]SourceEnergy!$S$12:$T$12,0))/10</f>
        <v>1.4258908041797229</v>
      </c>
      <c r="D21" s="31">
        <f>INDEX([5]SourceEnergy!$S$20:$T$45,MATCH($B21,[5]SourceEnergy!$R$20:$R$45,0),MATCH(D$7,[5]SourceEnergy!$S$12:$T$12,0))/10</f>
        <v>1.3578791652525797</v>
      </c>
      <c r="E21" s="31">
        <f>INDEX([5]SourceEnergy!$U$20:$V$45,MATCH($B21,[5]SourceEnergy!$R$20:$R$45,0),MATCH(E$7,[5]SourceEnergy!$U$12:$V$12,0))/10</f>
        <v>1.576225838909789</v>
      </c>
      <c r="F21" s="31">
        <f>INDEX([5]SourceEnergy!$U$20:$V$45,MATCH($B21,[5]SourceEnergy!$R$20:$R$45,0),MATCH(F$7,[5]SourceEnergy!$U$12:$V$12,0))/10</f>
        <v>1.4319451419850979</v>
      </c>
    </row>
    <row r="22" spans="1:8" x14ac:dyDescent="0.2">
      <c r="A22" s="29"/>
      <c r="B22" s="30">
        <f t="shared" si="0"/>
        <v>2037</v>
      </c>
      <c r="C22" s="31">
        <f>INDEX([5]SourceEnergy!$S$20:$T$45,MATCH($B22,[5]SourceEnergy!$R$20:$R$45,0),MATCH(C$7,[5]SourceEnergy!$S$12:$T$12,0))/10</f>
        <v>0.98027789775577712</v>
      </c>
      <c r="D22" s="31">
        <f>INDEX([5]SourceEnergy!$S$20:$T$45,MATCH($B22,[5]SourceEnergy!$R$20:$R$45,0),MATCH(D$7,[5]SourceEnergy!$S$12:$T$12,0))/10</f>
        <v>0.91553172433110652</v>
      </c>
      <c r="E22" s="31">
        <f>INDEX([5]SourceEnergy!$U$20:$V$45,MATCH($B22,[5]SourceEnergy!$R$20:$R$45,0),MATCH(E$7,[5]SourceEnergy!$U$12:$V$12,0))/10</f>
        <v>1.0479469554845402</v>
      </c>
      <c r="F22" s="31">
        <f>INDEX([5]SourceEnergy!$U$20:$V$45,MATCH($B22,[5]SourceEnergy!$R$20:$R$45,0),MATCH(F$7,[5]SourceEnergy!$U$12:$V$12,0))/10</f>
        <v>0.99432841706334218</v>
      </c>
    </row>
    <row r="23" spans="1:8" x14ac:dyDescent="0.2">
      <c r="A23" s="29"/>
      <c r="B23" s="30">
        <f t="shared" si="0"/>
        <v>2038</v>
      </c>
      <c r="C23" s="31">
        <f>INDEX([5]SourceEnergy!$S$20:$T$45,MATCH($B23,[5]SourceEnergy!$R$20:$R$45,0),MATCH(C$7,[5]SourceEnergy!$S$12:$T$12,0))/10</f>
        <v>5.2266482228960234</v>
      </c>
      <c r="D23" s="31">
        <f>INDEX([5]SourceEnergy!$S$20:$T$45,MATCH($B23,[5]SourceEnergy!$R$20:$R$45,0),MATCH(D$7,[5]SourceEnergy!$S$12:$T$12,0))/10</f>
        <v>4.8710508795587071</v>
      </c>
      <c r="E23" s="31">
        <f>INDEX([5]SourceEnergy!$U$20:$V$45,MATCH($B23,[5]SourceEnergy!$R$20:$R$45,0),MATCH(E$7,[5]SourceEnergy!$U$12:$V$12,0))/10</f>
        <v>5.4205470516677297</v>
      </c>
      <c r="F23" s="31">
        <f>INDEX([5]SourceEnergy!$U$20:$V$45,MATCH($B23,[5]SourceEnergy!$R$20:$R$45,0),MATCH(F$7,[5]SourceEnergy!$U$12:$V$12,0))/10</f>
        <v>4.7652773787852407</v>
      </c>
    </row>
    <row r="24" spans="1:8" x14ac:dyDescent="0.2">
      <c r="A24" s="29"/>
      <c r="B24" s="30">
        <f t="shared" si="0"/>
        <v>2039</v>
      </c>
      <c r="C24" s="31">
        <f>INDEX([5]SourceEnergy!$S$20:$T$45,MATCH($B24,[5]SourceEnergy!$R$20:$R$45,0),MATCH(C$7,[5]SourceEnergy!$S$12:$T$12,0))/10</f>
        <v>5.635103390786095</v>
      </c>
      <c r="D24" s="31">
        <f>INDEX([5]SourceEnergy!$S$20:$T$45,MATCH($B24,[5]SourceEnergy!$R$20:$R$45,0),MATCH(D$7,[5]SourceEnergy!$S$12:$T$12,0))/10</f>
        <v>5.3022270814098711</v>
      </c>
      <c r="E24" s="31">
        <f>INDEX([5]SourceEnergy!$U$20:$V$45,MATCH($B24,[5]SourceEnergy!$R$20:$R$45,0),MATCH(E$7,[5]SourceEnergy!$U$12:$V$12,0))/10</f>
        <v>6.0054789675520661</v>
      </c>
      <c r="F24" s="31">
        <f>INDEX([5]SourceEnergy!$U$20:$V$45,MATCH($B24,[5]SourceEnergy!$R$20:$R$45,0),MATCH(F$7,[5]SourceEnergy!$U$12:$V$12,0))/10</f>
        <v>5.2241268628894844</v>
      </c>
    </row>
    <row r="25" spans="1:8" x14ac:dyDescent="0.2">
      <c r="A25" s="29"/>
      <c r="B25" s="30">
        <f t="shared" si="0"/>
        <v>2040</v>
      </c>
      <c r="C25" s="31">
        <f>INDEX([5]SourceEnergy!$S$20:$T$45,MATCH($B25,[5]SourceEnergy!$R$20:$R$45,0),MATCH(C$7,[5]SourceEnergy!$S$12:$T$12,0))/10</f>
        <v>5.904557545472338</v>
      </c>
      <c r="D25" s="31">
        <f>INDEX([5]SourceEnergy!$S$20:$T$45,MATCH($B25,[5]SourceEnergy!$R$20:$R$45,0),MATCH(D$7,[5]SourceEnergy!$S$12:$T$12,0))/10</f>
        <v>5.6810248939967112</v>
      </c>
      <c r="E25" s="31">
        <f>INDEX([5]SourceEnergy!$U$20:$V$45,MATCH($B25,[5]SourceEnergy!$R$20:$R$45,0),MATCH(E$7,[5]SourceEnergy!$U$12:$V$12,0))/10</f>
        <v>6.4500134462366292</v>
      </c>
      <c r="F25" s="31">
        <f>INDEX([5]SourceEnergy!$U$20:$V$45,MATCH($B25,[5]SourceEnergy!$R$20:$R$45,0),MATCH(F$7,[5]SourceEnergy!$U$12:$V$12,0))/10</f>
        <v>5.5996964544223502</v>
      </c>
    </row>
    <row r="26" spans="1:8" x14ac:dyDescent="0.2">
      <c r="A26" s="29"/>
      <c r="B26" s="30">
        <f t="shared" si="0"/>
        <v>2041</v>
      </c>
      <c r="C26" s="31">
        <f>INDEX([5]SourceEnergy!$S$20:$T$45,MATCH($B26,[5]SourceEnergy!$R$20:$R$45,0),MATCH(C$7,[5]SourceEnergy!$S$12:$T$12,0))/10</f>
        <v>5.9276346307018688</v>
      </c>
      <c r="D26" s="31">
        <f>INDEX([5]SourceEnergy!$S$20:$T$45,MATCH($B26,[5]SourceEnergy!$R$20:$R$45,0),MATCH(D$7,[5]SourceEnergy!$S$12:$T$12,0))/10</f>
        <v>5.6901553363705597</v>
      </c>
      <c r="E26" s="31">
        <f>INDEX([5]SourceEnergy!$U$20:$V$45,MATCH($B26,[5]SourceEnergy!$R$20:$R$45,0),MATCH(E$7,[5]SourceEnergy!$U$12:$V$12,0))/10</f>
        <v>6.2679940499641615</v>
      </c>
      <c r="F26" s="31">
        <f>INDEX([5]SourceEnergy!$U$20:$V$45,MATCH($B26,[5]SourceEnergy!$R$20:$R$45,0),MATCH(F$7,[5]SourceEnergy!$U$12:$V$12,0))/10</f>
        <v>5.4909197624801482</v>
      </c>
    </row>
    <row r="27" spans="1:8" x14ac:dyDescent="0.2">
      <c r="A27" s="29"/>
      <c r="B27" s="30">
        <f t="shared" si="0"/>
        <v>2042</v>
      </c>
      <c r="C27" s="31">
        <f>INDEX([5]SourceEnergy!$S$20:$T$45,MATCH($B27,[5]SourceEnergy!$R$20:$R$45,0),MATCH(C$7,[5]SourceEnergy!$S$12:$T$12,0))/10</f>
        <v>5.930280415867287</v>
      </c>
      <c r="D27" s="31">
        <f>INDEX([5]SourceEnergy!$S$20:$T$45,MATCH($B27,[5]SourceEnergy!$R$20:$R$45,0),MATCH(D$7,[5]SourceEnergy!$S$12:$T$12,0))/10</f>
        <v>5.5319443222115083</v>
      </c>
      <c r="E27" s="31">
        <f>INDEX([5]SourceEnergy!$U$20:$V$45,MATCH($B27,[5]SourceEnergy!$R$20:$R$45,0),MATCH(E$7,[5]SourceEnergy!$U$12:$V$12,0))/10</f>
        <v>5.9898692373949132</v>
      </c>
      <c r="F27" s="31">
        <f>INDEX([5]SourceEnergy!$U$20:$V$45,MATCH($B27,[5]SourceEnergy!$R$20:$R$45,0),MATCH(F$7,[5]SourceEnergy!$U$12:$V$12,0))/10</f>
        <v>5.2913302685501069</v>
      </c>
    </row>
    <row r="28" spans="1:8" x14ac:dyDescent="0.2">
      <c r="A28" s="29"/>
      <c r="B28" s="30">
        <f t="shared" si="0"/>
        <v>2043</v>
      </c>
      <c r="C28" s="31">
        <f>INDEX([5]SourceEnergy!$S$20:$T$45,MATCH($B28,[5]SourceEnergy!$R$20:$R$45,0),MATCH(C$7,[5]SourceEnergy!$S$12:$T$12,0))/10</f>
        <v>6.7766659957167787</v>
      </c>
      <c r="D28" s="31">
        <f>INDEX([5]SourceEnergy!$S$20:$T$45,MATCH($B28,[5]SourceEnergy!$R$20:$R$45,0),MATCH(D$7,[5]SourceEnergy!$S$12:$T$12,0))/10</f>
        <v>6.2439127308270237</v>
      </c>
      <c r="E28" s="31">
        <f>INDEX([5]SourceEnergy!$U$20:$V$45,MATCH($B28,[5]SourceEnergy!$R$20:$R$45,0),MATCH(E$7,[5]SourceEnergy!$U$12:$V$12,0))/10</f>
        <v>6.7340851746153856</v>
      </c>
      <c r="F28" s="31">
        <f>INDEX([5]SourceEnergy!$U$20:$V$45,MATCH($B28,[5]SourceEnergy!$R$20:$R$45,0),MATCH(F$7,[5]SourceEnergy!$U$12:$V$12,0))/10</f>
        <v>6.2201797303581197</v>
      </c>
    </row>
    <row r="29" spans="1:8" x14ac:dyDescent="0.2">
      <c r="A29" s="29"/>
      <c r="B29" s="30">
        <f t="shared" si="0"/>
        <v>2044</v>
      </c>
      <c r="C29" s="31">
        <f>INDEX([5]SourceEnergy!$S$20:$T$45,MATCH($B29,[5]SourceEnergy!$R$20:$R$45,0),MATCH(C$7,[5]SourceEnergy!$S$12:$T$12,0))/10</f>
        <v>6.6920337401835299</v>
      </c>
      <c r="D29" s="31">
        <f>INDEX([5]SourceEnergy!$S$20:$T$45,MATCH($B29,[5]SourceEnergy!$R$20:$R$45,0),MATCH(D$7,[5]SourceEnergy!$S$12:$T$12,0))/10</f>
        <v>6.0605111870632076</v>
      </c>
      <c r="E29" s="31">
        <f>INDEX([5]SourceEnergy!$U$20:$V$45,MATCH($B29,[5]SourceEnergy!$R$20:$R$45,0),MATCH(E$7,[5]SourceEnergy!$U$12:$V$12,0))/10</f>
        <v>6.9196375363797342</v>
      </c>
      <c r="F29" s="31">
        <f>INDEX([5]SourceEnergy!$U$20:$V$45,MATCH($B29,[5]SourceEnergy!$R$20:$R$45,0),MATCH(F$7,[5]SourceEnergy!$U$12:$V$12,0))/10</f>
        <v>5.8471279177677378</v>
      </c>
    </row>
    <row r="30" spans="1:8" hidden="1" x14ac:dyDescent="0.2">
      <c r="A30" s="29"/>
      <c r="B30" s="30">
        <f t="shared" si="0"/>
        <v>2045</v>
      </c>
      <c r="C30" s="31">
        <f>INDEX([5]SourceEnergy!$S$20:$T$45,MATCH($B30,[5]SourceEnergy!$R$20:$R$45,0),MATCH(C$7,[5]SourceEnergy!$S$12:$T$12,0))/10</f>
        <v>0</v>
      </c>
      <c r="D30" s="31">
        <f>INDEX([5]SourceEnergy!$S$20:$T$45,MATCH($B30,[5]SourceEnergy!$R$20:$R$45,0),MATCH(D$7,[5]SourceEnergy!$S$12:$T$12,0))/10</f>
        <v>0</v>
      </c>
      <c r="E30" s="31">
        <f>INDEX([5]SourceEnergy!$U$20:$V$45,MATCH($B30,[5]SourceEnergy!$R$20:$R$45,0),MATCH(E$7,[5]SourceEnergy!$U$12:$V$12,0))/10</f>
        <v>0</v>
      </c>
      <c r="F30" s="31">
        <f>INDEX([5]SourceEnergy!$U$20:$V$45,MATCH($B30,[5]SourceEnergy!$R$20:$R$45,0),MATCH(F$7,[5]SourceEnergy!$U$12:$V$12,0))/10</f>
        <v>0</v>
      </c>
      <c r="H30" s="33"/>
    </row>
    <row r="31" spans="1:8" x14ac:dyDescent="0.2">
      <c r="A31" s="29"/>
      <c r="B31" s="30"/>
      <c r="C31" s="31"/>
      <c r="D31" s="31"/>
      <c r="E31" s="31"/>
      <c r="F31" s="31"/>
    </row>
    <row r="32" spans="1:8" x14ac:dyDescent="0.2">
      <c r="A32" s="29"/>
      <c r="C32" s="27" t="s">
        <v>55</v>
      </c>
      <c r="D32" s="27"/>
      <c r="E32" s="45" t="s">
        <v>25</v>
      </c>
      <c r="F32" s="45"/>
    </row>
    <row r="33" spans="1:13" ht="14.25" x14ac:dyDescent="0.35">
      <c r="A33" s="29"/>
      <c r="B33" s="34"/>
      <c r="C33" s="28" t="s">
        <v>7</v>
      </c>
      <c r="D33" s="28" t="s">
        <v>8</v>
      </c>
      <c r="E33" s="28" t="s">
        <v>7</v>
      </c>
      <c r="F33" s="28" t="s">
        <v>8</v>
      </c>
    </row>
    <row r="34" spans="1:13" ht="33.75" customHeight="1" x14ac:dyDescent="0.2">
      <c r="B34" s="35" t="str">
        <f ca="1">"15-year ("&amp;INDEX($B:$B,MID(_xlfn.FORMULATEXT(C34),FIND("(C",_xlfn.FORMULATEXT(C34))+2,2),1)&amp;"-"&amp;INDEX($B:$B,MID(_xlfn.FORMULATEXT(C34),FIND("),",_xlfn.FORMULATEXT(C34))-2,2),1)&amp;") Nominal Levelized"</f>
        <v>15-year (2026-2040) Nominal Levelized</v>
      </c>
      <c r="C34" s="36">
        <f>-PMT('Table 4 Comparison'!$P$37,COUNT(C11:C25),NPV('Table 4 Comparison'!$P$37,C11:C25))</f>
        <v>1.6738175859036897</v>
      </c>
      <c r="D34" s="36">
        <f>-PMT('Table 4 Comparison'!$P$37,COUNT(D11:D25),NPV('Table 4 Comparison'!$P$37,D11:D25))</f>
        <v>2.0096395398407725</v>
      </c>
      <c r="E34" s="36">
        <f>-PMT('Table 4 Comparison'!$P$37,COUNT(E11:E25),NPV('Table 4 Comparison'!$P$37,E11:E25))</f>
        <v>1.8834085565560676</v>
      </c>
      <c r="F34" s="36">
        <f>-PMT('Table 4 Comparison'!$P$37,COUNT(F11:F25),NPV('Table 4 Comparison'!$P$37,F11:F25))</f>
        <v>1.8665874683329859</v>
      </c>
    </row>
    <row r="35" spans="1:13" ht="24" hidden="1" x14ac:dyDescent="0.2">
      <c r="A35" s="34"/>
      <c r="B35" s="35" t="s">
        <v>69</v>
      </c>
      <c r="C35" s="36">
        <f>-PMT('Table 4 Comparison'!$P$37,COUNT(C11:C25),NPV('Table 4 Comparison'!$P$37,C11:C25))</f>
        <v>1.6738175859036897</v>
      </c>
      <c r="D35" s="36">
        <f>-PMT('Table 4 Comparison'!$P$37,COUNT(D11:D25),NPV('Table 4 Comparison'!$P$37,D11:D25))</f>
        <v>2.0096395398407725</v>
      </c>
      <c r="E35" s="36">
        <f>-PMT('Table 4 Comparison'!$P$37,COUNT(E11:E25),NPV('Table 4 Comparison'!$P$37,E11:E25))</f>
        <v>1.8834085565560676</v>
      </c>
      <c r="F35" s="36">
        <f>-PMT('Table 4 Comparison'!$P$37,COUNT(F11:F25),NPV('Table 4 Comparison'!$P$37,F11:F25))</f>
        <v>1.8665874683329859</v>
      </c>
    </row>
    <row r="36" spans="1:13" ht="24" hidden="1" x14ac:dyDescent="0.2">
      <c r="B36" s="35" t="s">
        <v>70</v>
      </c>
      <c r="C36" s="36">
        <f>-PMT('Table 4 Comparison'!$P$37,COUNT(C12:C26),NPV('Table 4 Comparison'!$P$37,C12:C26))</f>
        <v>1.8551662320719984</v>
      </c>
      <c r="D36" s="36">
        <f>-PMT('Table 4 Comparison'!$P$37,COUNT(D12:D26),NPV('Table 4 Comparison'!$P$37,D12:D26))</f>
        <v>2.0502334152525639</v>
      </c>
      <c r="E36" s="36">
        <f>-PMT('Table 4 Comparison'!$P$37,COUNT(E12:E26),NPV('Table 4 Comparison'!$P$37,E12:E26))</f>
        <v>2.0450337934142415</v>
      </c>
      <c r="F36" s="36">
        <f>-PMT('Table 4 Comparison'!$P$37,COUNT(F12:F26),NPV('Table 4 Comparison'!$P$37,F12:F26))</f>
        <v>1.9657360604251704</v>
      </c>
    </row>
    <row r="37" spans="1:13" x14ac:dyDescent="0.2">
      <c r="B37" s="35"/>
      <c r="C37" s="36"/>
      <c r="D37" s="36"/>
      <c r="E37" s="36"/>
      <c r="F37" s="36"/>
    </row>
    <row r="38" spans="1:13" ht="7.5" customHeight="1" x14ac:dyDescent="0.2">
      <c r="A38" s="38"/>
      <c r="B38"/>
      <c r="C38"/>
      <c r="D38"/>
      <c r="E38"/>
      <c r="F38" s="39"/>
      <c r="H38" s="52"/>
      <c r="I38" s="52"/>
      <c r="J38" s="53"/>
      <c r="K38" s="53"/>
      <c r="L38" s="52"/>
    </row>
    <row r="39" spans="1:13" ht="12.75" hidden="1" x14ac:dyDescent="0.2">
      <c r="A39" s="38"/>
      <c r="B39"/>
      <c r="C39"/>
      <c r="D39" s="41"/>
      <c r="E39" s="41"/>
      <c r="F39" s="39"/>
    </row>
    <row r="40" spans="1:13" ht="12.75" hidden="1" x14ac:dyDescent="0.2">
      <c r="A40" s="29"/>
      <c r="B40"/>
      <c r="C40"/>
      <c r="D40" s="41"/>
      <c r="E40" s="41"/>
      <c r="F40" s="29"/>
      <c r="H40" s="48"/>
      <c r="I40" s="48"/>
      <c r="J40" s="47"/>
      <c r="K40" s="49"/>
      <c r="L40" s="48"/>
      <c r="M40" s="48"/>
    </row>
    <row r="41" spans="1:13" ht="12.75" x14ac:dyDescent="0.2">
      <c r="A41" s="37"/>
      <c r="B41" t="s">
        <v>93</v>
      </c>
      <c r="C41"/>
      <c r="D41" s="41"/>
      <c r="E41" s="41"/>
      <c r="H41" s="54"/>
      <c r="I41" s="50"/>
      <c r="J41" s="54"/>
      <c r="K41" s="55"/>
    </row>
    <row r="42" spans="1:13" ht="12.75" x14ac:dyDescent="0.2">
      <c r="A42" s="29"/>
      <c r="B42" t="s">
        <v>238</v>
      </c>
      <c r="C42" s="29"/>
      <c r="D42" s="29"/>
      <c r="E42" s="29"/>
      <c r="F42" s="29"/>
    </row>
    <row r="43" spans="1:13" x14ac:dyDescent="0.2">
      <c r="A43" s="37"/>
    </row>
    <row r="44" spans="1:13" x14ac:dyDescent="0.2">
      <c r="A44" s="37"/>
    </row>
  </sheetData>
  <printOptions horizontalCentered="1"/>
  <pageMargins left="0.25" right="0.25" top="0.75" bottom="0.75" header="0.3" footer="0.3"/>
  <pageSetup scale="89" orientation="landscape" copies="3" r:id="rId1"/>
  <headerFooter alignWithMargins="0">
    <oddFooter>&amp;L&amp;8NPC Group - &amp;F   ( &amp;A )&amp;C &amp;R &amp;8&amp;D  &amp;T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</sheetPr>
  <dimension ref="B1:AQ313"/>
  <sheetViews>
    <sheetView view="pageBreakPreview" zoomScale="70" zoomScaleNormal="100" zoomScaleSheetLayoutView="70" workbookViewId="0">
      <selection activeCell="H48" sqref="H48"/>
    </sheetView>
  </sheetViews>
  <sheetFormatPr defaultColWidth="8.83203125" defaultRowHeight="12.75" x14ac:dyDescent="0.2"/>
  <cols>
    <col min="1" max="1" width="1.5" style="40" customWidth="1"/>
    <col min="2" max="2" width="25.83203125" style="40" bestFit="1" customWidth="1"/>
    <col min="3" max="3" width="20.33203125" style="40" bestFit="1" customWidth="1"/>
    <col min="4" max="4" width="18.83203125" style="40" customWidth="1"/>
    <col min="5" max="5" width="7.83203125" style="40" bestFit="1" customWidth="1"/>
    <col min="6" max="6" width="3" style="40" customWidth="1"/>
    <col min="7" max="7" width="8.1640625" style="40" customWidth="1"/>
    <col min="8" max="9" width="21.1640625" style="40" customWidth="1"/>
    <col min="10" max="12" width="8.83203125" style="40"/>
    <col min="13" max="13" width="14" style="93" bestFit="1" customWidth="1"/>
    <col min="14" max="14" width="9" style="61" bestFit="1" customWidth="1"/>
    <col min="15" max="15" width="12.33203125" style="61" customWidth="1"/>
    <col min="16" max="16" width="9" style="61" bestFit="1" customWidth="1"/>
    <col min="17" max="17" width="10.33203125" style="61" customWidth="1"/>
    <col min="18" max="18" width="3.1640625" style="40" customWidth="1"/>
    <col min="19" max="19" width="10" style="40" customWidth="1"/>
    <col min="20" max="20" width="10.83203125" style="40" customWidth="1"/>
    <col min="21" max="21" width="10.1640625" style="40" customWidth="1"/>
    <col min="22" max="22" width="3.1640625" style="40" customWidth="1"/>
    <col min="23" max="23" width="8.83203125" style="40"/>
    <col min="24" max="24" width="10.1640625" style="40" customWidth="1"/>
    <col min="25" max="25" width="9.6640625" style="40" customWidth="1"/>
    <col min="26" max="26" width="8.83203125" style="40"/>
    <col min="27" max="27" width="9.83203125" style="40" customWidth="1"/>
    <col min="28" max="28" width="8.83203125" style="40"/>
    <col min="29" max="29" width="10.5" style="40" customWidth="1"/>
    <col min="30" max="30" width="8.83203125" style="152"/>
    <col min="32" max="32" width="12.33203125" customWidth="1"/>
    <col min="38" max="38" width="22.83203125" customWidth="1"/>
    <col min="39" max="39" width="14.5" customWidth="1"/>
    <col min="43" max="43" width="8.83203125" style="152"/>
    <col min="44" max="16384" width="8.83203125" style="40"/>
  </cols>
  <sheetData>
    <row r="1" spans="2:41" ht="15.75" x14ac:dyDescent="0.25">
      <c r="B1" s="1" t="s">
        <v>41</v>
      </c>
      <c r="C1" s="56"/>
      <c r="D1" s="56"/>
      <c r="E1" s="56"/>
      <c r="F1" s="56"/>
      <c r="G1" s="56"/>
      <c r="H1" s="56"/>
      <c r="I1" s="56"/>
      <c r="M1" s="211" t="s">
        <v>42</v>
      </c>
      <c r="N1" s="210"/>
      <c r="O1" s="211"/>
      <c r="P1" s="210"/>
      <c r="Q1" s="57"/>
      <c r="AE1" t="s">
        <v>22</v>
      </c>
      <c r="AF1" t="s">
        <v>75</v>
      </c>
      <c r="AG1" t="s">
        <v>17</v>
      </c>
      <c r="AH1" t="s">
        <v>18</v>
      </c>
      <c r="AI1" t="s">
        <v>81</v>
      </c>
      <c r="AJ1" t="s">
        <v>80</v>
      </c>
    </row>
    <row r="2" spans="2:41" ht="15.75" x14ac:dyDescent="0.25">
      <c r="B2" s="1" t="s">
        <v>43</v>
      </c>
      <c r="C2" s="56"/>
      <c r="D2" s="56"/>
      <c r="E2" s="56"/>
      <c r="F2" s="56"/>
      <c r="G2" s="56"/>
      <c r="H2" s="56"/>
      <c r="I2" s="56"/>
      <c r="M2" s="58"/>
      <c r="N2" s="59"/>
      <c r="O2" s="59"/>
      <c r="P2" s="59"/>
      <c r="Q2" s="59"/>
      <c r="AD2" s="152" t="str">
        <f t="shared" ref="AD2:AD65" si="0">IF(AND(AE2&gt;=6,AE2&lt;=9),"Summer","Winter")</f>
        <v>Winter</v>
      </c>
      <c r="AE2">
        <f t="shared" ref="AE2:AE65" si="1">MONTH(AF2)</f>
        <v>1</v>
      </c>
      <c r="AF2" s="150">
        <v>42736</v>
      </c>
      <c r="AG2" s="151">
        <v>400</v>
      </c>
      <c r="AH2" s="151">
        <v>344</v>
      </c>
      <c r="AI2">
        <f t="shared" ref="AI2:AI65" si="2">AG2/16</f>
        <v>25</v>
      </c>
      <c r="AJ2">
        <f t="shared" ref="AJ2:AJ65" si="3">EDATE(AF2,1)-AF2-AI2</f>
        <v>6</v>
      </c>
    </row>
    <row r="3" spans="2:41" x14ac:dyDescent="0.2">
      <c r="B3" s="56"/>
      <c r="C3" s="56"/>
      <c r="D3" s="56"/>
      <c r="E3" s="56"/>
      <c r="F3" s="56"/>
      <c r="G3" s="56"/>
      <c r="H3" s="56"/>
      <c r="I3" s="56"/>
      <c r="M3" s="60" t="str">
        <f>"Official Forward Price Curve dated "&amp;TEXT(C4,"mmmm YYYY")</f>
        <v>Official Forward Price Curve dated March 2025</v>
      </c>
      <c r="AD3" s="152" t="str">
        <f t="shared" si="0"/>
        <v>Winter</v>
      </c>
      <c r="AE3">
        <f t="shared" si="1"/>
        <v>2</v>
      </c>
      <c r="AF3" s="150">
        <v>42767</v>
      </c>
      <c r="AG3" s="151">
        <v>384</v>
      </c>
      <c r="AH3" s="151">
        <v>288</v>
      </c>
      <c r="AI3">
        <f t="shared" si="2"/>
        <v>24</v>
      </c>
      <c r="AJ3">
        <f t="shared" si="3"/>
        <v>4</v>
      </c>
      <c r="AM3" s="155"/>
      <c r="AN3" s="155"/>
      <c r="AO3" s="153"/>
    </row>
    <row r="4" spans="2:41" x14ac:dyDescent="0.2">
      <c r="B4" s="62" t="s">
        <v>44</v>
      </c>
      <c r="C4" s="63">
        <v>45747</v>
      </c>
      <c r="D4" s="63"/>
      <c r="E4" s="56"/>
      <c r="F4" s="64"/>
      <c r="G4" s="56"/>
      <c r="H4" s="56"/>
      <c r="I4" s="56"/>
      <c r="M4" s="65"/>
      <c r="N4" s="66"/>
      <c r="O4" s="66"/>
      <c r="P4" s="66"/>
      <c r="Q4" s="66"/>
      <c r="AD4" s="152" t="str">
        <f t="shared" si="0"/>
        <v>Winter</v>
      </c>
      <c r="AE4">
        <f t="shared" si="1"/>
        <v>3</v>
      </c>
      <c r="AF4" s="150">
        <v>42795</v>
      </c>
      <c r="AG4" s="151">
        <v>432</v>
      </c>
      <c r="AH4" s="151">
        <v>312</v>
      </c>
      <c r="AI4">
        <f t="shared" si="2"/>
        <v>27</v>
      </c>
      <c r="AJ4">
        <f t="shared" si="3"/>
        <v>4</v>
      </c>
      <c r="AM4" s="155"/>
      <c r="AN4" s="155"/>
      <c r="AO4" s="153"/>
    </row>
    <row r="5" spans="2:41" x14ac:dyDescent="0.2">
      <c r="B5" s="62"/>
      <c r="C5" s="67"/>
      <c r="D5" s="67"/>
      <c r="F5" s="64"/>
      <c r="G5" s="146"/>
      <c r="H5" s="147" t="s">
        <v>68</v>
      </c>
      <c r="I5" s="147"/>
      <c r="M5" s="209"/>
      <c r="N5" s="68" t="s">
        <v>42</v>
      </c>
      <c r="O5" s="68"/>
      <c r="P5" s="68"/>
      <c r="Q5" s="68"/>
      <c r="W5" s="209"/>
      <c r="X5" s="68" t="s">
        <v>42</v>
      </c>
      <c r="Y5" s="68"/>
      <c r="Z5" s="68"/>
      <c r="AA5" s="68"/>
      <c r="AD5" s="152" t="str">
        <f t="shared" si="0"/>
        <v>Winter</v>
      </c>
      <c r="AE5">
        <f t="shared" si="1"/>
        <v>4</v>
      </c>
      <c r="AF5" s="150">
        <v>42826</v>
      </c>
      <c r="AG5" s="151">
        <v>400</v>
      </c>
      <c r="AH5" s="151">
        <v>320</v>
      </c>
      <c r="AI5">
        <f t="shared" si="2"/>
        <v>25</v>
      </c>
      <c r="AJ5">
        <f t="shared" si="3"/>
        <v>5</v>
      </c>
      <c r="AM5" s="155"/>
      <c r="AN5" s="155"/>
      <c r="AO5" s="153"/>
    </row>
    <row r="6" spans="2:41" x14ac:dyDescent="0.2">
      <c r="B6" s="69" t="s">
        <v>45</v>
      </c>
      <c r="G6" s="148" t="s">
        <v>0</v>
      </c>
      <c r="H6" s="148" t="str">
        <f>C7</f>
        <v>East Side</v>
      </c>
      <c r="I6" s="148" t="str">
        <f>D7</f>
        <v>West Side</v>
      </c>
      <c r="M6" s="70"/>
      <c r="N6" s="68" t="s">
        <v>17</v>
      </c>
      <c r="O6" s="68"/>
      <c r="P6" s="68" t="s">
        <v>18</v>
      </c>
      <c r="Q6" s="68"/>
      <c r="W6" s="70"/>
      <c r="X6" s="68" t="s">
        <v>17</v>
      </c>
      <c r="Y6" s="68"/>
      <c r="Z6" s="68" t="s">
        <v>18</v>
      </c>
      <c r="AA6" s="68"/>
      <c r="AD6" s="152" t="str">
        <f t="shared" si="0"/>
        <v>Winter</v>
      </c>
      <c r="AE6">
        <f t="shared" si="1"/>
        <v>5</v>
      </c>
      <c r="AF6" s="150">
        <v>42856</v>
      </c>
      <c r="AG6" s="151">
        <v>416</v>
      </c>
      <c r="AH6" s="151">
        <v>328</v>
      </c>
      <c r="AI6">
        <f t="shared" si="2"/>
        <v>26</v>
      </c>
      <c r="AJ6">
        <f t="shared" si="3"/>
        <v>5</v>
      </c>
      <c r="AM6" s="155"/>
      <c r="AN6" s="155"/>
      <c r="AO6" s="153"/>
    </row>
    <row r="7" spans="2:41" ht="38.25" x14ac:dyDescent="0.2">
      <c r="B7" s="208" t="s">
        <v>22</v>
      </c>
      <c r="C7" s="207" t="str">
        <f>C263</f>
        <v>East Side</v>
      </c>
      <c r="D7" s="207" t="str">
        <f>D263</f>
        <v>West Side</v>
      </c>
      <c r="E7" s="206" t="s">
        <v>0</v>
      </c>
      <c r="G7" s="146"/>
      <c r="H7" s="145" t="s">
        <v>6</v>
      </c>
      <c r="I7" s="145" t="s">
        <v>6</v>
      </c>
      <c r="K7" s="40" t="s">
        <v>22</v>
      </c>
      <c r="L7" s="40" t="s">
        <v>0</v>
      </c>
      <c r="M7" s="205" t="s">
        <v>46</v>
      </c>
      <c r="N7" s="71" t="s">
        <v>47</v>
      </c>
      <c r="O7" s="71" t="s">
        <v>48</v>
      </c>
      <c r="P7" s="71" t="s">
        <v>47</v>
      </c>
      <c r="Q7" s="72" t="s">
        <v>48</v>
      </c>
      <c r="S7" s="40" t="s">
        <v>52</v>
      </c>
      <c r="T7" s="99" t="s">
        <v>51</v>
      </c>
      <c r="U7" s="99" t="s">
        <v>53</v>
      </c>
      <c r="V7" s="99"/>
      <c r="W7" s="205" t="s">
        <v>0</v>
      </c>
      <c r="X7" s="71" t="s">
        <v>47</v>
      </c>
      <c r="Y7" s="71" t="s">
        <v>48</v>
      </c>
      <c r="Z7" s="71" t="s">
        <v>47</v>
      </c>
      <c r="AA7" s="72" t="s">
        <v>48</v>
      </c>
      <c r="AD7" s="152" t="str">
        <f t="shared" si="0"/>
        <v>Summer</v>
      </c>
      <c r="AE7">
        <f t="shared" si="1"/>
        <v>6</v>
      </c>
      <c r="AF7" s="150">
        <v>42887</v>
      </c>
      <c r="AG7" s="151">
        <v>416</v>
      </c>
      <c r="AH7" s="151">
        <v>304</v>
      </c>
      <c r="AI7">
        <f t="shared" si="2"/>
        <v>26</v>
      </c>
      <c r="AJ7">
        <f t="shared" si="3"/>
        <v>4</v>
      </c>
      <c r="AM7" s="155"/>
      <c r="AN7" s="155"/>
      <c r="AO7" s="153"/>
    </row>
    <row r="8" spans="2:41" x14ac:dyDescent="0.2">
      <c r="B8" s="204">
        <v>45658</v>
      </c>
      <c r="C8" s="73">
        <v>4.1373168071099418</v>
      </c>
      <c r="D8" s="73">
        <v>3.6555262667644213</v>
      </c>
      <c r="E8" s="203">
        <f t="shared" ref="E8:E71" si="4">YEAR(B8)</f>
        <v>2025</v>
      </c>
      <c r="G8" s="74">
        <f>YEAR(B8)</f>
        <v>2025</v>
      </c>
      <c r="H8" s="75">
        <f>ROUND(AVERAGEIF($E$8:$E$247,$G8,$C$8:$C$247),2)</f>
        <v>3.61</v>
      </c>
      <c r="I8" s="75">
        <f t="shared" ref="I8:I27" si="5">ROUND(AVERAGEIF($E$8:$E$247,$G8,$D$8:$D$247),2)</f>
        <v>3.07</v>
      </c>
      <c r="K8">
        <f>MONTH(M8)</f>
        <v>1</v>
      </c>
      <c r="L8" s="101">
        <f>YEAR(M8)</f>
        <v>2025</v>
      </c>
      <c r="M8" s="76">
        <f t="shared" ref="M8:M71" si="6">B8</f>
        <v>45658</v>
      </c>
      <c r="N8" s="77">
        <v>52.790384615384625</v>
      </c>
      <c r="O8" s="77">
        <v>44.465384615384629</v>
      </c>
      <c r="P8" s="77">
        <v>52.149756097560982</v>
      </c>
      <c r="Q8" s="78">
        <v>45.900243902439023</v>
      </c>
      <c r="S8" s="284">
        <v>48.860537634408601</v>
      </c>
      <c r="T8" s="100">
        <f>O8/S8</f>
        <v>0.91004697795366019</v>
      </c>
      <c r="U8" s="100">
        <f>Q8/S8</f>
        <v>0.93941340240421589</v>
      </c>
      <c r="W8" s="74">
        <f>G8</f>
        <v>2025</v>
      </c>
      <c r="X8" s="79">
        <f>ROUND(AVERAGEIF($E$8:$E$247,$W8,N$8:N$247),2)</f>
        <v>53.99</v>
      </c>
      <c r="Y8" s="79">
        <f>ROUND(AVERAGEIF($E$8:$E$247,$W8,O$8:O$247),2)</f>
        <v>49.04</v>
      </c>
      <c r="Z8" s="79">
        <f>ROUND(AVERAGEIF($E$8:$E$247,$W8,P$8:P$247),2)</f>
        <v>43.21</v>
      </c>
      <c r="AA8" s="79">
        <f>ROUND(AVERAGEIF($E$8:$E$247,$W8,Q$8:Q$247),2)</f>
        <v>44.51</v>
      </c>
      <c r="AD8" s="152" t="str">
        <f t="shared" si="0"/>
        <v>Summer</v>
      </c>
      <c r="AE8">
        <f t="shared" si="1"/>
        <v>7</v>
      </c>
      <c r="AF8" s="150">
        <v>42917</v>
      </c>
      <c r="AG8" s="151">
        <v>400</v>
      </c>
      <c r="AH8" s="151">
        <v>344</v>
      </c>
      <c r="AI8">
        <f t="shared" si="2"/>
        <v>25</v>
      </c>
      <c r="AJ8">
        <f t="shared" si="3"/>
        <v>6</v>
      </c>
      <c r="AM8" s="155"/>
      <c r="AN8" s="155"/>
      <c r="AO8" s="153"/>
    </row>
    <row r="9" spans="2:41" x14ac:dyDescent="0.2">
      <c r="B9" s="80">
        <f t="shared" ref="B9:B72" si="7">EDATE(B8,1)</f>
        <v>45689</v>
      </c>
      <c r="C9" s="73">
        <v>3.4952414285714291</v>
      </c>
      <c r="D9" s="73">
        <v>3.2233611708638574</v>
      </c>
      <c r="E9" s="81">
        <f t="shared" si="4"/>
        <v>2025</v>
      </c>
      <c r="G9" s="74">
        <f t="shared" ref="G9:G28" si="8">G8+1</f>
        <v>2026</v>
      </c>
      <c r="H9" s="75">
        <f t="shared" ref="H9:H27" si="9">ROUND(AVERAGEIF($E$8:$E$247,$G9,$C$8:$C$247),2)</f>
        <v>4.21</v>
      </c>
      <c r="I9" s="75">
        <f t="shared" si="5"/>
        <v>3.76</v>
      </c>
      <c r="K9">
        <f t="shared" ref="K9:K72" si="10">MONTH(M9)</f>
        <v>2</v>
      </c>
      <c r="L9" s="101">
        <f t="shared" ref="L9:L72" si="11">YEAR(M9)</f>
        <v>2025</v>
      </c>
      <c r="M9" s="76">
        <f t="shared" si="6"/>
        <v>45689</v>
      </c>
      <c r="N9" s="77">
        <v>67.865416666666661</v>
      </c>
      <c r="O9" s="77">
        <v>29.049583333333327</v>
      </c>
      <c r="P9" s="77">
        <v>64.009444444444426</v>
      </c>
      <c r="Q9" s="78">
        <v>36.246111111111105</v>
      </c>
      <c r="S9" s="284">
        <v>35.870528571428572</v>
      </c>
      <c r="T9" s="100">
        <f t="shared" ref="T9:T72" si="12">O9/S9</f>
        <v>0.80984542158299189</v>
      </c>
      <c r="U9" s="100">
        <f t="shared" ref="U9:U72" si="13">Q9/S9</f>
        <v>1.010470504746944</v>
      </c>
      <c r="W9" s="74">
        <f t="shared" ref="W9:W28" si="14">W8+1</f>
        <v>2026</v>
      </c>
      <c r="X9" s="79">
        <f t="shared" ref="X9:AA27" si="15">ROUND(AVERAGEIF($E$8:$E$247,$W9,N$8:N$247),2)</f>
        <v>64.180000000000007</v>
      </c>
      <c r="Y9" s="79">
        <f t="shared" si="15"/>
        <v>53.24</v>
      </c>
      <c r="Z9" s="79">
        <f t="shared" si="15"/>
        <v>52.2</v>
      </c>
      <c r="AA9" s="79">
        <f t="shared" si="15"/>
        <v>52.93</v>
      </c>
      <c r="AD9" s="152" t="str">
        <f t="shared" si="0"/>
        <v>Summer</v>
      </c>
      <c r="AE9">
        <f t="shared" si="1"/>
        <v>8</v>
      </c>
      <c r="AF9" s="150">
        <v>42948</v>
      </c>
      <c r="AG9" s="151">
        <v>432</v>
      </c>
      <c r="AH9" s="151">
        <v>312</v>
      </c>
      <c r="AI9">
        <f t="shared" si="2"/>
        <v>27</v>
      </c>
      <c r="AJ9">
        <f t="shared" si="3"/>
        <v>4</v>
      </c>
      <c r="AM9" s="155"/>
      <c r="AN9" s="155"/>
      <c r="AO9" s="153"/>
    </row>
    <row r="10" spans="2:41" x14ac:dyDescent="0.2">
      <c r="B10" s="80">
        <f t="shared" si="7"/>
        <v>45717</v>
      </c>
      <c r="C10" s="73">
        <v>2.7599303686635941</v>
      </c>
      <c r="D10" s="73">
        <v>2.0474585311048807</v>
      </c>
      <c r="E10" s="81">
        <f t="shared" si="4"/>
        <v>2025</v>
      </c>
      <c r="G10" s="74">
        <f t="shared" si="8"/>
        <v>2027</v>
      </c>
      <c r="H10" s="75">
        <f t="shared" si="9"/>
        <v>3.8</v>
      </c>
      <c r="I10" s="75">
        <f t="shared" si="5"/>
        <v>3.56</v>
      </c>
      <c r="K10">
        <f t="shared" si="10"/>
        <v>3</v>
      </c>
      <c r="L10" s="101">
        <f t="shared" si="11"/>
        <v>2025</v>
      </c>
      <c r="M10" s="76">
        <f t="shared" si="6"/>
        <v>45717</v>
      </c>
      <c r="N10" s="77">
        <v>34.505769230769239</v>
      </c>
      <c r="O10" s="77">
        <v>23.305384615384614</v>
      </c>
      <c r="P10" s="77">
        <v>30.719512195121947</v>
      </c>
      <c r="Q10" s="78">
        <v>32.79024390243903</v>
      </c>
      <c r="S10" s="284">
        <v>28.076655989232837</v>
      </c>
      <c r="T10" s="100">
        <f t="shared" si="12"/>
        <v>0.83006269066807792</v>
      </c>
      <c r="U10" s="100">
        <f t="shared" si="13"/>
        <v>1.1678828103679375</v>
      </c>
      <c r="W10" s="74">
        <f t="shared" si="14"/>
        <v>2027</v>
      </c>
      <c r="X10" s="79">
        <f t="shared" si="15"/>
        <v>62.83</v>
      </c>
      <c r="Y10" s="79">
        <f t="shared" si="15"/>
        <v>51.16</v>
      </c>
      <c r="Z10" s="79">
        <f t="shared" si="15"/>
        <v>53.16</v>
      </c>
      <c r="AA10" s="79">
        <f t="shared" si="15"/>
        <v>53.26</v>
      </c>
      <c r="AD10" s="152" t="str">
        <f t="shared" si="0"/>
        <v>Summer</v>
      </c>
      <c r="AE10">
        <f t="shared" si="1"/>
        <v>9</v>
      </c>
      <c r="AF10" s="150">
        <v>42979</v>
      </c>
      <c r="AG10" s="151">
        <v>400</v>
      </c>
      <c r="AH10" s="151">
        <v>320</v>
      </c>
      <c r="AI10">
        <f t="shared" si="2"/>
        <v>25</v>
      </c>
      <c r="AJ10">
        <f t="shared" si="3"/>
        <v>5</v>
      </c>
      <c r="AM10" s="155"/>
      <c r="AN10" s="155"/>
      <c r="AO10" s="153"/>
    </row>
    <row r="11" spans="2:41" x14ac:dyDescent="0.2">
      <c r="B11" s="80">
        <f t="shared" si="7"/>
        <v>45748</v>
      </c>
      <c r="C11" s="73">
        <v>2.3704965306122445</v>
      </c>
      <c r="D11" s="73">
        <v>1.8738216943763615</v>
      </c>
      <c r="E11" s="81">
        <f t="shared" si="4"/>
        <v>2025</v>
      </c>
      <c r="G11" s="74">
        <f t="shared" si="8"/>
        <v>2028</v>
      </c>
      <c r="H11" s="75">
        <f t="shared" si="9"/>
        <v>4.53</v>
      </c>
      <c r="I11" s="75">
        <f t="shared" si="5"/>
        <v>4.34</v>
      </c>
      <c r="K11">
        <f t="shared" si="10"/>
        <v>4</v>
      </c>
      <c r="L11" s="101">
        <f t="shared" si="11"/>
        <v>2025</v>
      </c>
      <c r="M11" s="76">
        <f t="shared" si="6"/>
        <v>45748</v>
      </c>
      <c r="N11" s="77">
        <v>18.649999999999999</v>
      </c>
      <c r="O11" s="77">
        <v>16.809999999999999</v>
      </c>
      <c r="P11" s="77">
        <v>18.21</v>
      </c>
      <c r="Q11" s="78">
        <v>29.48</v>
      </c>
      <c r="S11" s="98">
        <v>22.15955555555556</v>
      </c>
      <c r="T11" s="100">
        <f t="shared" si="12"/>
        <v>0.7585892216049257</v>
      </c>
      <c r="U11" s="100">
        <f t="shared" si="13"/>
        <v>1.330351591487996</v>
      </c>
      <c r="W11" s="74">
        <f t="shared" si="14"/>
        <v>2028</v>
      </c>
      <c r="X11" s="79">
        <f t="shared" si="15"/>
        <v>60.43</v>
      </c>
      <c r="Y11" s="79">
        <f t="shared" si="15"/>
        <v>51.24</v>
      </c>
      <c r="Z11" s="79">
        <f t="shared" si="15"/>
        <v>55.94</v>
      </c>
      <c r="AA11" s="79">
        <f t="shared" si="15"/>
        <v>54.97</v>
      </c>
      <c r="AD11" s="152" t="str">
        <f t="shared" si="0"/>
        <v>Winter</v>
      </c>
      <c r="AE11">
        <f t="shared" si="1"/>
        <v>10</v>
      </c>
      <c r="AF11" s="150">
        <v>43009</v>
      </c>
      <c r="AG11" s="151">
        <v>416</v>
      </c>
      <c r="AH11" s="151">
        <v>328</v>
      </c>
      <c r="AI11">
        <f t="shared" si="2"/>
        <v>26</v>
      </c>
      <c r="AJ11">
        <f t="shared" si="3"/>
        <v>5</v>
      </c>
      <c r="AM11" s="155"/>
      <c r="AN11" s="155"/>
      <c r="AO11" s="153"/>
    </row>
    <row r="12" spans="2:41" x14ac:dyDescent="0.2">
      <c r="B12" s="80">
        <f t="shared" si="7"/>
        <v>45778</v>
      </c>
      <c r="C12" s="73">
        <v>2.5026393877551021</v>
      </c>
      <c r="D12" s="73">
        <v>1.9147253944538121</v>
      </c>
      <c r="E12" s="81">
        <f t="shared" si="4"/>
        <v>2025</v>
      </c>
      <c r="G12" s="74">
        <f t="shared" si="8"/>
        <v>2029</v>
      </c>
      <c r="H12" s="75">
        <f t="shared" si="9"/>
        <v>5.71</v>
      </c>
      <c r="I12" s="75">
        <f t="shared" si="5"/>
        <v>5.5</v>
      </c>
      <c r="K12">
        <f t="shared" si="10"/>
        <v>5</v>
      </c>
      <c r="L12" s="101">
        <f t="shared" si="11"/>
        <v>2025</v>
      </c>
      <c r="M12" s="76">
        <f t="shared" si="6"/>
        <v>45778</v>
      </c>
      <c r="N12" s="77">
        <v>21.820599999999999</v>
      </c>
      <c r="O12" s="77">
        <v>18.752300000000002</v>
      </c>
      <c r="P12" s="77">
        <v>17.4057</v>
      </c>
      <c r="Q12" s="78">
        <v>28.525300000000001</v>
      </c>
      <c r="S12" s="98">
        <v>23.06082688172043</v>
      </c>
      <c r="T12" s="100">
        <f t="shared" si="12"/>
        <v>0.81316685200322725</v>
      </c>
      <c r="U12" s="100">
        <f t="shared" si="13"/>
        <v>1.2369591145324923</v>
      </c>
      <c r="W12" s="74">
        <f t="shared" si="14"/>
        <v>2029</v>
      </c>
      <c r="X12" s="79">
        <f t="shared" si="15"/>
        <v>59.4</v>
      </c>
      <c r="Y12" s="79">
        <f t="shared" si="15"/>
        <v>56.03</v>
      </c>
      <c r="Z12" s="79">
        <f t="shared" si="15"/>
        <v>58.53</v>
      </c>
      <c r="AA12" s="79">
        <f t="shared" si="15"/>
        <v>58.93</v>
      </c>
      <c r="AD12" s="152" t="str">
        <f t="shared" si="0"/>
        <v>Winter</v>
      </c>
      <c r="AE12">
        <f t="shared" si="1"/>
        <v>11</v>
      </c>
      <c r="AF12" s="150">
        <v>43040</v>
      </c>
      <c r="AG12" s="151">
        <v>400</v>
      </c>
      <c r="AH12" s="151">
        <v>320</v>
      </c>
      <c r="AI12">
        <f t="shared" si="2"/>
        <v>25</v>
      </c>
      <c r="AJ12">
        <f t="shared" si="3"/>
        <v>5</v>
      </c>
      <c r="AM12" s="155"/>
      <c r="AN12" s="155"/>
      <c r="AO12" s="153"/>
    </row>
    <row r="13" spans="2:41" x14ac:dyDescent="0.2">
      <c r="B13" s="80">
        <f t="shared" si="7"/>
        <v>45809</v>
      </c>
      <c r="C13" s="73">
        <v>2.7133536734693875</v>
      </c>
      <c r="D13" s="73">
        <v>2.1510521741726505</v>
      </c>
      <c r="E13" s="81">
        <f t="shared" si="4"/>
        <v>2025</v>
      </c>
      <c r="G13" s="74">
        <f t="shared" si="8"/>
        <v>2030</v>
      </c>
      <c r="H13" s="75">
        <f t="shared" si="9"/>
        <v>5.99</v>
      </c>
      <c r="I13" s="75">
        <f t="shared" si="5"/>
        <v>5.75</v>
      </c>
      <c r="K13">
        <f t="shared" si="10"/>
        <v>6</v>
      </c>
      <c r="L13" s="101">
        <f t="shared" si="11"/>
        <v>2025</v>
      </c>
      <c r="M13" s="76">
        <f t="shared" si="6"/>
        <v>45809</v>
      </c>
      <c r="N13" s="77">
        <v>28.915299999999998</v>
      </c>
      <c r="O13" s="77">
        <v>39.639200000000002</v>
      </c>
      <c r="P13" s="77">
        <v>19.785599999999999</v>
      </c>
      <c r="Q13" s="78">
        <v>35.712600000000002</v>
      </c>
      <c r="S13" s="98">
        <v>37.894044444444454</v>
      </c>
      <c r="T13" s="100">
        <f t="shared" si="12"/>
        <v>1.0460535575217915</v>
      </c>
      <c r="U13" s="100">
        <f t="shared" si="13"/>
        <v>0.94243305309776015</v>
      </c>
      <c r="W13" s="74">
        <f t="shared" si="14"/>
        <v>2030</v>
      </c>
      <c r="X13" s="79">
        <f t="shared" si="15"/>
        <v>59.62</v>
      </c>
      <c r="Y13" s="79">
        <f t="shared" si="15"/>
        <v>57.42</v>
      </c>
      <c r="Z13" s="79">
        <f t="shared" si="15"/>
        <v>57.74</v>
      </c>
      <c r="AA13" s="79">
        <f t="shared" si="15"/>
        <v>58.29</v>
      </c>
      <c r="AD13" s="152" t="str">
        <f t="shared" si="0"/>
        <v>Winter</v>
      </c>
      <c r="AE13">
        <f t="shared" si="1"/>
        <v>12</v>
      </c>
      <c r="AF13" s="150">
        <v>43070</v>
      </c>
      <c r="AG13" s="151">
        <v>400</v>
      </c>
      <c r="AH13" s="151">
        <v>344</v>
      </c>
      <c r="AI13">
        <f t="shared" si="2"/>
        <v>25</v>
      </c>
      <c r="AJ13">
        <f t="shared" si="3"/>
        <v>6</v>
      </c>
      <c r="AM13" s="155"/>
      <c r="AN13" s="155"/>
      <c r="AO13" s="153"/>
    </row>
    <row r="14" spans="2:41" x14ac:dyDescent="0.2">
      <c r="B14" s="80">
        <f t="shared" si="7"/>
        <v>45839</v>
      </c>
      <c r="C14" s="73">
        <v>3.6058026530612244</v>
      </c>
      <c r="D14" s="73">
        <v>2.8891686916506658</v>
      </c>
      <c r="E14" s="81">
        <f t="shared" si="4"/>
        <v>2025</v>
      </c>
      <c r="G14" s="74">
        <f t="shared" si="8"/>
        <v>2031</v>
      </c>
      <c r="H14" s="75">
        <f t="shared" si="9"/>
        <v>5.93</v>
      </c>
      <c r="I14" s="75">
        <f t="shared" si="5"/>
        <v>5.71</v>
      </c>
      <c r="K14">
        <f t="shared" si="10"/>
        <v>7</v>
      </c>
      <c r="L14" s="101">
        <f t="shared" si="11"/>
        <v>2025</v>
      </c>
      <c r="M14" s="76">
        <f t="shared" si="6"/>
        <v>45839</v>
      </c>
      <c r="N14" s="77">
        <v>66.274500000000003</v>
      </c>
      <c r="O14" s="77">
        <v>84.894099999999995</v>
      </c>
      <c r="P14" s="77">
        <v>36.110100000000003</v>
      </c>
      <c r="Q14" s="78">
        <v>53.416499999999999</v>
      </c>
      <c r="S14" s="98">
        <v>71.016878494623654</v>
      </c>
      <c r="T14" s="100">
        <f t="shared" si="12"/>
        <v>1.1954073707481654</v>
      </c>
      <c r="U14" s="100">
        <f t="shared" si="13"/>
        <v>0.75216626149013166</v>
      </c>
      <c r="W14" s="74">
        <f t="shared" si="14"/>
        <v>2031</v>
      </c>
      <c r="X14" s="79">
        <f t="shared" si="15"/>
        <v>60.8</v>
      </c>
      <c r="Y14" s="79">
        <f t="shared" si="15"/>
        <v>56.4</v>
      </c>
      <c r="Z14" s="79">
        <f t="shared" si="15"/>
        <v>59.3</v>
      </c>
      <c r="AA14" s="79">
        <f t="shared" si="15"/>
        <v>57.64</v>
      </c>
      <c r="AD14" s="152" t="str">
        <f t="shared" si="0"/>
        <v>Winter</v>
      </c>
      <c r="AE14">
        <f t="shared" si="1"/>
        <v>1</v>
      </c>
      <c r="AF14" s="150">
        <v>43101</v>
      </c>
      <c r="AG14" s="151">
        <v>416</v>
      </c>
      <c r="AH14" s="151">
        <v>328</v>
      </c>
      <c r="AI14">
        <f t="shared" si="2"/>
        <v>26</v>
      </c>
      <c r="AJ14">
        <f t="shared" si="3"/>
        <v>5</v>
      </c>
      <c r="AM14" s="155"/>
      <c r="AN14" s="155"/>
      <c r="AO14" s="153"/>
    </row>
    <row r="15" spans="2:41" x14ac:dyDescent="0.2">
      <c r="B15" s="80">
        <f t="shared" si="7"/>
        <v>45870</v>
      </c>
      <c r="C15" s="73">
        <v>3.8362108163265303</v>
      </c>
      <c r="D15" s="73">
        <v>3.2519064037696648</v>
      </c>
      <c r="E15" s="81">
        <f t="shared" si="4"/>
        <v>2025</v>
      </c>
      <c r="G15" s="74">
        <f t="shared" si="8"/>
        <v>2032</v>
      </c>
      <c r="H15" s="75">
        <f t="shared" si="9"/>
        <v>5.87</v>
      </c>
      <c r="I15" s="75">
        <f t="shared" si="5"/>
        <v>5.64</v>
      </c>
      <c r="K15">
        <f t="shared" si="10"/>
        <v>8</v>
      </c>
      <c r="L15" s="101">
        <f t="shared" si="11"/>
        <v>2025</v>
      </c>
      <c r="M15" s="76">
        <f t="shared" si="6"/>
        <v>45870</v>
      </c>
      <c r="N15" s="77">
        <v>89.221699999999998</v>
      </c>
      <c r="O15" s="77">
        <v>107.78660000000001</v>
      </c>
      <c r="P15" s="77">
        <v>48.506100000000004</v>
      </c>
      <c r="Q15" s="78">
        <v>59.219200000000001</v>
      </c>
      <c r="S15" s="98">
        <v>86.37516559139786</v>
      </c>
      <c r="T15" s="100">
        <f t="shared" si="12"/>
        <v>1.2478887798593641</v>
      </c>
      <c r="U15" s="100">
        <f t="shared" si="13"/>
        <v>0.68560447432470872</v>
      </c>
      <c r="W15" s="74">
        <f t="shared" si="14"/>
        <v>2032</v>
      </c>
      <c r="X15" s="79">
        <f t="shared" si="15"/>
        <v>59.12</v>
      </c>
      <c r="Y15" s="79">
        <f t="shared" si="15"/>
        <v>54.52</v>
      </c>
      <c r="Z15" s="79">
        <f t="shared" si="15"/>
        <v>58.38</v>
      </c>
      <c r="AA15" s="79">
        <f t="shared" si="15"/>
        <v>57.19</v>
      </c>
      <c r="AD15" s="152" t="str">
        <f t="shared" si="0"/>
        <v>Winter</v>
      </c>
      <c r="AE15">
        <f t="shared" si="1"/>
        <v>2</v>
      </c>
      <c r="AF15" s="150">
        <v>43132</v>
      </c>
      <c r="AG15" s="151">
        <v>384</v>
      </c>
      <c r="AH15" s="151">
        <v>288</v>
      </c>
      <c r="AI15">
        <f t="shared" si="2"/>
        <v>24</v>
      </c>
      <c r="AJ15">
        <f t="shared" si="3"/>
        <v>4</v>
      </c>
      <c r="AO15" s="153"/>
    </row>
    <row r="16" spans="2:41" x14ac:dyDescent="0.2">
      <c r="B16" s="80">
        <f t="shared" si="7"/>
        <v>45901</v>
      </c>
      <c r="C16" s="73">
        <v>3.6546802040816329</v>
      </c>
      <c r="D16" s="73">
        <v>2.9906057569181121</v>
      </c>
      <c r="E16" s="81">
        <f t="shared" si="4"/>
        <v>2025</v>
      </c>
      <c r="G16" s="74">
        <f t="shared" si="8"/>
        <v>2033</v>
      </c>
      <c r="H16" s="75">
        <f t="shared" si="9"/>
        <v>6</v>
      </c>
      <c r="I16" s="75">
        <f t="shared" si="5"/>
        <v>5.77</v>
      </c>
      <c r="K16">
        <f t="shared" si="10"/>
        <v>9</v>
      </c>
      <c r="L16" s="101">
        <f t="shared" si="11"/>
        <v>2025</v>
      </c>
      <c r="M16" s="76">
        <f t="shared" si="6"/>
        <v>45901</v>
      </c>
      <c r="N16" s="77">
        <v>67.832099999999997</v>
      </c>
      <c r="O16" s="77">
        <v>73.196899999999999</v>
      </c>
      <c r="P16" s="77">
        <v>48.669899999999998</v>
      </c>
      <c r="Q16" s="78">
        <v>55.773800000000001</v>
      </c>
      <c r="S16" s="98">
        <v>65.453299999999999</v>
      </c>
      <c r="T16" s="100">
        <f t="shared" si="12"/>
        <v>1.1183072511240839</v>
      </c>
      <c r="U16" s="100">
        <f t="shared" si="13"/>
        <v>0.85211593609489522</v>
      </c>
      <c r="W16" s="74">
        <f t="shared" si="14"/>
        <v>2033</v>
      </c>
      <c r="X16" s="79">
        <f t="shared" si="15"/>
        <v>54.31</v>
      </c>
      <c r="Y16" s="79">
        <f t="shared" si="15"/>
        <v>49.5</v>
      </c>
      <c r="Z16" s="79">
        <f t="shared" si="15"/>
        <v>54.23</v>
      </c>
      <c r="AA16" s="79">
        <f t="shared" si="15"/>
        <v>53.85</v>
      </c>
      <c r="AD16" s="152" t="str">
        <f t="shared" si="0"/>
        <v>Winter</v>
      </c>
      <c r="AE16">
        <f t="shared" si="1"/>
        <v>3</v>
      </c>
      <c r="AF16" s="150">
        <v>43160</v>
      </c>
      <c r="AG16" s="151">
        <v>432</v>
      </c>
      <c r="AH16" s="151">
        <v>312</v>
      </c>
      <c r="AI16">
        <f t="shared" si="2"/>
        <v>27</v>
      </c>
      <c r="AJ16">
        <f t="shared" si="3"/>
        <v>4</v>
      </c>
      <c r="AO16" t="s">
        <v>79</v>
      </c>
    </row>
    <row r="17" spans="2:41" x14ac:dyDescent="0.2">
      <c r="B17" s="80">
        <f t="shared" si="7"/>
        <v>45931</v>
      </c>
      <c r="C17" s="73">
        <v>3.585700612244898</v>
      </c>
      <c r="D17" s="73">
        <v>3.0321260956901974</v>
      </c>
      <c r="E17" s="81">
        <f t="shared" si="4"/>
        <v>2025</v>
      </c>
      <c r="G17" s="74">
        <f t="shared" si="8"/>
        <v>2034</v>
      </c>
      <c r="H17" s="75">
        <f t="shared" si="9"/>
        <v>6.07</v>
      </c>
      <c r="I17" s="75">
        <f t="shared" si="5"/>
        <v>5.83</v>
      </c>
      <c r="K17">
        <f t="shared" si="10"/>
        <v>10</v>
      </c>
      <c r="L17" s="101">
        <f t="shared" si="11"/>
        <v>2025</v>
      </c>
      <c r="M17" s="76">
        <f t="shared" si="6"/>
        <v>45931</v>
      </c>
      <c r="N17" s="77">
        <v>60.177500000000002</v>
      </c>
      <c r="O17" s="77">
        <v>48.957500000000003</v>
      </c>
      <c r="P17" s="77">
        <v>55.219499999999996</v>
      </c>
      <c r="Q17" s="78">
        <v>46.121600000000001</v>
      </c>
      <c r="S17" s="98">
        <v>47.768251612903228</v>
      </c>
      <c r="T17" s="100">
        <f t="shared" si="12"/>
        <v>1.0248962092381781</v>
      </c>
      <c r="U17" s="100">
        <f t="shared" si="13"/>
        <v>0.96552832567021496</v>
      </c>
      <c r="W17" s="74">
        <f t="shared" si="14"/>
        <v>2034</v>
      </c>
      <c r="X17" s="79">
        <f t="shared" si="15"/>
        <v>55.38</v>
      </c>
      <c r="Y17" s="79">
        <f t="shared" si="15"/>
        <v>49.08</v>
      </c>
      <c r="Z17" s="79">
        <f t="shared" si="15"/>
        <v>55.11</v>
      </c>
      <c r="AA17" s="79">
        <f t="shared" si="15"/>
        <v>53.65</v>
      </c>
      <c r="AD17" s="152" t="str">
        <f t="shared" si="0"/>
        <v>Winter</v>
      </c>
      <c r="AE17">
        <f t="shared" si="1"/>
        <v>4</v>
      </c>
      <c r="AF17" s="150">
        <v>43191</v>
      </c>
      <c r="AG17" s="151">
        <v>400</v>
      </c>
      <c r="AH17" s="151">
        <v>320</v>
      </c>
      <c r="AI17">
        <f t="shared" si="2"/>
        <v>25</v>
      </c>
      <c r="AJ17">
        <f t="shared" si="3"/>
        <v>5</v>
      </c>
      <c r="AL17" s="120" t="s">
        <v>78</v>
      </c>
      <c r="AM17" s="154">
        <f>SUM(AG2:AG253)</f>
        <v>103168</v>
      </c>
      <c r="AN17" s="154">
        <f>SUM(AH2:AH253)</f>
        <v>80912</v>
      </c>
      <c r="AO17" s="153">
        <f>AM17/SUM(AM17:AN17)</f>
        <v>0.56045197740112995</v>
      </c>
    </row>
    <row r="18" spans="2:41" x14ac:dyDescent="0.2">
      <c r="B18" s="80">
        <f t="shared" si="7"/>
        <v>45962</v>
      </c>
      <c r="C18" s="73">
        <v>4.6780475510204083</v>
      </c>
      <c r="D18" s="73">
        <v>4.1218808287837838</v>
      </c>
      <c r="E18" s="81">
        <f t="shared" si="4"/>
        <v>2025</v>
      </c>
      <c r="G18" s="74">
        <f t="shared" si="8"/>
        <v>2035</v>
      </c>
      <c r="H18" s="75">
        <f t="shared" si="9"/>
        <v>6.24</v>
      </c>
      <c r="I18" s="75">
        <f t="shared" si="5"/>
        <v>5.99</v>
      </c>
      <c r="K18">
        <f t="shared" si="10"/>
        <v>11</v>
      </c>
      <c r="L18" s="101">
        <f t="shared" si="11"/>
        <v>2025</v>
      </c>
      <c r="M18" s="76">
        <f t="shared" si="6"/>
        <v>45962</v>
      </c>
      <c r="N18" s="77">
        <v>59.600499999999997</v>
      </c>
      <c r="O18" s="77">
        <v>43.534100000000002</v>
      </c>
      <c r="P18" s="77">
        <v>55.729300000000002</v>
      </c>
      <c r="Q18" s="78">
        <v>50.9529</v>
      </c>
      <c r="S18" s="98">
        <v>47.001694452149792</v>
      </c>
      <c r="T18" s="100">
        <f t="shared" si="12"/>
        <v>0.9262240544182937</v>
      </c>
      <c r="U18" s="100">
        <f t="shared" si="13"/>
        <v>1.0840651724135764</v>
      </c>
      <c r="W18" s="74">
        <f t="shared" si="14"/>
        <v>2035</v>
      </c>
      <c r="X18" s="79">
        <f t="shared" si="15"/>
        <v>53.04</v>
      </c>
      <c r="Y18" s="79">
        <f t="shared" si="15"/>
        <v>47.36</v>
      </c>
      <c r="Z18" s="79">
        <f t="shared" si="15"/>
        <v>52.15</v>
      </c>
      <c r="AA18" s="79">
        <f t="shared" si="15"/>
        <v>51.86</v>
      </c>
      <c r="AD18" s="152" t="str">
        <f t="shared" si="0"/>
        <v>Winter</v>
      </c>
      <c r="AE18">
        <f t="shared" si="1"/>
        <v>5</v>
      </c>
      <c r="AF18" s="150">
        <v>43221</v>
      </c>
      <c r="AG18" s="151">
        <v>416</v>
      </c>
      <c r="AH18" s="151">
        <v>328</v>
      </c>
      <c r="AI18">
        <f t="shared" si="2"/>
        <v>26</v>
      </c>
      <c r="AJ18">
        <f t="shared" si="3"/>
        <v>5</v>
      </c>
    </row>
    <row r="19" spans="2:41" x14ac:dyDescent="0.2">
      <c r="B19" s="82">
        <f t="shared" si="7"/>
        <v>45992</v>
      </c>
      <c r="C19" s="83">
        <v>6.0347822448979596</v>
      </c>
      <c r="D19" s="83">
        <v>5.6972899204602658</v>
      </c>
      <c r="E19" s="84">
        <f t="shared" si="4"/>
        <v>2025</v>
      </c>
      <c r="G19" s="74">
        <f t="shared" si="8"/>
        <v>2036</v>
      </c>
      <c r="H19" s="75">
        <f t="shared" si="9"/>
        <v>6.4</v>
      </c>
      <c r="I19" s="75">
        <f t="shared" si="5"/>
        <v>6.15</v>
      </c>
      <c r="K19">
        <f t="shared" si="10"/>
        <v>12</v>
      </c>
      <c r="L19" s="101">
        <f t="shared" si="11"/>
        <v>2025</v>
      </c>
      <c r="M19" s="85">
        <f t="shared" si="6"/>
        <v>45992</v>
      </c>
      <c r="N19" s="86">
        <v>80.182599999999994</v>
      </c>
      <c r="O19" s="86">
        <v>58.060499999999998</v>
      </c>
      <c r="P19" s="86">
        <v>72.012699999999995</v>
      </c>
      <c r="Q19" s="87">
        <v>59.949300000000001</v>
      </c>
      <c r="S19" s="98">
        <v>58.893196774193548</v>
      </c>
      <c r="T19" s="100">
        <f t="shared" si="12"/>
        <v>0.98586090041289065</v>
      </c>
      <c r="U19" s="100">
        <f t="shared" si="13"/>
        <v>1.0179325165495046</v>
      </c>
      <c r="W19" s="74">
        <f t="shared" si="14"/>
        <v>2036</v>
      </c>
      <c r="X19" s="79">
        <f t="shared" si="15"/>
        <v>54.33</v>
      </c>
      <c r="Y19" s="79">
        <f t="shared" si="15"/>
        <v>46.43</v>
      </c>
      <c r="Z19" s="79">
        <f t="shared" si="15"/>
        <v>51.83</v>
      </c>
      <c r="AA19" s="79">
        <f t="shared" si="15"/>
        <v>49.54</v>
      </c>
      <c r="AD19" s="152" t="str">
        <f t="shared" si="0"/>
        <v>Summer</v>
      </c>
      <c r="AE19">
        <f t="shared" si="1"/>
        <v>6</v>
      </c>
      <c r="AF19" s="150">
        <v>43252</v>
      </c>
      <c r="AG19" s="151">
        <v>416</v>
      </c>
      <c r="AH19" s="151">
        <v>304</v>
      </c>
      <c r="AI19">
        <f t="shared" si="2"/>
        <v>26</v>
      </c>
      <c r="AJ19">
        <f t="shared" si="3"/>
        <v>4</v>
      </c>
      <c r="AL19" t="s">
        <v>77</v>
      </c>
      <c r="AM19">
        <f>SUMIF($AD$2:$AD$253,"Summer",$AG$2:$AG$253)</f>
        <v>34464</v>
      </c>
      <c r="AN19" s="217">
        <f>AM19/$AM$23</f>
        <v>0.18722294654498045</v>
      </c>
      <c r="AO19" s="217"/>
    </row>
    <row r="20" spans="2:41" x14ac:dyDescent="0.2">
      <c r="B20" s="204">
        <f>EDATE(B19,1)</f>
        <v>46023</v>
      </c>
      <c r="C20" s="73">
        <v>6.3108026530612253</v>
      </c>
      <c r="D20" s="73">
        <v>5.8530939639713591</v>
      </c>
      <c r="E20" s="203">
        <f t="shared" si="4"/>
        <v>2026</v>
      </c>
      <c r="G20" s="74">
        <f t="shared" si="8"/>
        <v>2037</v>
      </c>
      <c r="H20" s="75">
        <f t="shared" si="9"/>
        <v>6.61</v>
      </c>
      <c r="I20" s="75">
        <f t="shared" si="5"/>
        <v>6.34</v>
      </c>
      <c r="K20">
        <f t="shared" si="10"/>
        <v>1</v>
      </c>
      <c r="L20" s="101">
        <f t="shared" si="11"/>
        <v>2026</v>
      </c>
      <c r="M20" s="76">
        <f t="shared" si="6"/>
        <v>46023</v>
      </c>
      <c r="N20" s="202">
        <v>94.120900000000006</v>
      </c>
      <c r="O20" s="202">
        <v>66.681399999999996</v>
      </c>
      <c r="P20" s="202">
        <v>86.972200000000001</v>
      </c>
      <c r="Q20" s="201">
        <v>69.189400000000006</v>
      </c>
      <c r="S20" s="98">
        <v>67.787077419354844</v>
      </c>
      <c r="T20" s="100">
        <f t="shared" si="12"/>
        <v>0.98368896460139832</v>
      </c>
      <c r="U20" s="100">
        <f t="shared" si="13"/>
        <v>1.0206871668470068</v>
      </c>
      <c r="W20" s="74">
        <f t="shared" si="14"/>
        <v>2037</v>
      </c>
      <c r="X20" s="79">
        <f t="shared" si="15"/>
        <v>57.93</v>
      </c>
      <c r="Y20" s="79">
        <f t="shared" si="15"/>
        <v>49.9</v>
      </c>
      <c r="Z20" s="79">
        <f t="shared" si="15"/>
        <v>53.9</v>
      </c>
      <c r="AA20" s="79">
        <f t="shared" si="15"/>
        <v>51.51</v>
      </c>
      <c r="AD20" s="152" t="str">
        <f t="shared" si="0"/>
        <v>Summer</v>
      </c>
      <c r="AE20">
        <f t="shared" si="1"/>
        <v>7</v>
      </c>
      <c r="AF20" s="150">
        <v>43282</v>
      </c>
      <c r="AG20" s="151">
        <v>400</v>
      </c>
      <c r="AH20" s="151">
        <v>344</v>
      </c>
      <c r="AI20">
        <f t="shared" si="2"/>
        <v>25</v>
      </c>
      <c r="AJ20">
        <f t="shared" si="3"/>
        <v>6</v>
      </c>
      <c r="AL20" t="s">
        <v>76</v>
      </c>
      <c r="AM20">
        <f>SUMIF($AD$2:$AD$253,"Winter",$AG$2:$AG$253)</f>
        <v>68704</v>
      </c>
      <c r="AN20" s="217">
        <f>AM20/$AM$23</f>
        <v>0.3732290308561495</v>
      </c>
      <c r="AO20" s="217">
        <f>AN20+AN19</f>
        <v>0.56045197740112995</v>
      </c>
    </row>
    <row r="21" spans="2:41" x14ac:dyDescent="0.2">
      <c r="B21" s="80">
        <f t="shared" si="7"/>
        <v>46054</v>
      </c>
      <c r="C21" s="73">
        <v>5.5832516326530621</v>
      </c>
      <c r="D21" s="73">
        <v>5.3346035948991526</v>
      </c>
      <c r="E21" s="81">
        <f t="shared" si="4"/>
        <v>2026</v>
      </c>
      <c r="G21" s="74">
        <f t="shared" si="8"/>
        <v>2038</v>
      </c>
      <c r="H21" s="75">
        <f t="shared" si="9"/>
        <v>6.89</v>
      </c>
      <c r="I21" s="75">
        <f t="shared" si="5"/>
        <v>6.59</v>
      </c>
      <c r="K21">
        <f t="shared" si="10"/>
        <v>2</v>
      </c>
      <c r="L21" s="101">
        <f t="shared" si="11"/>
        <v>2026</v>
      </c>
      <c r="M21" s="76">
        <f t="shared" si="6"/>
        <v>46054</v>
      </c>
      <c r="N21" s="77">
        <v>72.213200000000001</v>
      </c>
      <c r="O21" s="77">
        <v>46.048499999999997</v>
      </c>
      <c r="P21" s="77">
        <v>65.387500000000003</v>
      </c>
      <c r="Q21" s="78">
        <v>59.739699999999999</v>
      </c>
      <c r="S21" s="98">
        <v>51.916157142857138</v>
      </c>
      <c r="T21" s="100">
        <f t="shared" si="12"/>
        <v>0.88697820744491607</v>
      </c>
      <c r="U21" s="100">
        <f t="shared" si="13"/>
        <v>1.1506957234067787</v>
      </c>
      <c r="W21" s="74">
        <f t="shared" si="14"/>
        <v>2038</v>
      </c>
      <c r="X21" s="79">
        <f t="shared" si="15"/>
        <v>61.55</v>
      </c>
      <c r="Y21" s="79">
        <f t="shared" si="15"/>
        <v>55.59</v>
      </c>
      <c r="Z21" s="79">
        <f t="shared" si="15"/>
        <v>58.46</v>
      </c>
      <c r="AA21" s="79">
        <f t="shared" si="15"/>
        <v>55.53</v>
      </c>
      <c r="AD21" s="152" t="str">
        <f t="shared" si="0"/>
        <v>Summer</v>
      </c>
      <c r="AE21">
        <f t="shared" si="1"/>
        <v>8</v>
      </c>
      <c r="AF21" s="150">
        <v>43313</v>
      </c>
      <c r="AG21" s="151">
        <v>432</v>
      </c>
      <c r="AH21" s="151">
        <v>312</v>
      </c>
      <c r="AI21">
        <f t="shared" si="2"/>
        <v>27</v>
      </c>
      <c r="AJ21">
        <f t="shared" si="3"/>
        <v>4</v>
      </c>
      <c r="AL21" t="s">
        <v>38</v>
      </c>
      <c r="AM21">
        <f>SUMIF($AD$2:$AD$253,"Summer",$AH$2:$AH$253)</f>
        <v>27024</v>
      </c>
      <c r="AN21" s="217">
        <f>AM21/$AM$23</f>
        <v>0.1468057366362451</v>
      </c>
    </row>
    <row r="22" spans="2:41" x14ac:dyDescent="0.2">
      <c r="B22" s="80">
        <f t="shared" si="7"/>
        <v>46082</v>
      </c>
      <c r="C22" s="73">
        <v>4.0108026530612246</v>
      </c>
      <c r="D22" s="73">
        <v>3.5891563831770883</v>
      </c>
      <c r="E22" s="81">
        <f t="shared" si="4"/>
        <v>2026</v>
      </c>
      <c r="G22" s="74">
        <f t="shared" si="8"/>
        <v>2039</v>
      </c>
      <c r="H22" s="75">
        <f t="shared" si="9"/>
        <v>7.16</v>
      </c>
      <c r="I22" s="75">
        <f t="shared" si="5"/>
        <v>6.83</v>
      </c>
      <c r="K22">
        <f t="shared" si="10"/>
        <v>3</v>
      </c>
      <c r="L22" s="101">
        <f t="shared" si="11"/>
        <v>2026</v>
      </c>
      <c r="M22" s="76">
        <f t="shared" si="6"/>
        <v>46082</v>
      </c>
      <c r="N22" s="77">
        <v>48.0289</v>
      </c>
      <c r="O22" s="77">
        <v>24.817499999999999</v>
      </c>
      <c r="P22" s="77">
        <v>42.125799999999998</v>
      </c>
      <c r="Q22" s="78">
        <v>43.282600000000002</v>
      </c>
      <c r="S22" s="98">
        <v>32.944132166890981</v>
      </c>
      <c r="T22" s="100">
        <f t="shared" si="12"/>
        <v>0.75332080002221802</v>
      </c>
      <c r="U22" s="100">
        <f t="shared" si="13"/>
        <v>1.3138181871276984</v>
      </c>
      <c r="W22" s="74">
        <f t="shared" si="14"/>
        <v>2039</v>
      </c>
      <c r="X22" s="79">
        <f t="shared" si="15"/>
        <v>62.54</v>
      </c>
      <c r="Y22" s="79">
        <f t="shared" si="15"/>
        <v>57.42</v>
      </c>
      <c r="Z22" s="79">
        <f t="shared" si="15"/>
        <v>59.49</v>
      </c>
      <c r="AA22" s="79">
        <f t="shared" si="15"/>
        <v>57.98</v>
      </c>
      <c r="AD22" s="152" t="str">
        <f t="shared" si="0"/>
        <v>Summer</v>
      </c>
      <c r="AE22">
        <f t="shared" si="1"/>
        <v>9</v>
      </c>
      <c r="AF22" s="150">
        <v>43344</v>
      </c>
      <c r="AG22" s="151">
        <v>384</v>
      </c>
      <c r="AH22" s="151">
        <v>336</v>
      </c>
      <c r="AI22">
        <f t="shared" si="2"/>
        <v>24</v>
      </c>
      <c r="AJ22">
        <f t="shared" si="3"/>
        <v>6</v>
      </c>
      <c r="AL22" t="s">
        <v>39</v>
      </c>
      <c r="AM22">
        <f>SUMIF($AD$2:$AD$253,"Winter",$AH$2:$AH$253)</f>
        <v>53888</v>
      </c>
      <c r="AN22" s="217">
        <f>AM22/$AM$23</f>
        <v>0.29274228596262497</v>
      </c>
      <c r="AO22" s="217">
        <f>AN21+AN22</f>
        <v>0.43954802259887005</v>
      </c>
    </row>
    <row r="23" spans="2:41" x14ac:dyDescent="0.2">
      <c r="B23" s="80">
        <f t="shared" si="7"/>
        <v>46113</v>
      </c>
      <c r="C23" s="73">
        <v>3.2761087755102039</v>
      </c>
      <c r="D23" s="73">
        <v>2.7717504068805972</v>
      </c>
      <c r="E23" s="81">
        <f t="shared" si="4"/>
        <v>2026</v>
      </c>
      <c r="G23" s="74">
        <f t="shared" si="8"/>
        <v>2040</v>
      </c>
      <c r="H23" s="75">
        <f t="shared" si="9"/>
        <v>7.44</v>
      </c>
      <c r="I23" s="75">
        <f t="shared" si="5"/>
        <v>7.06</v>
      </c>
      <c r="K23">
        <f t="shared" si="10"/>
        <v>4</v>
      </c>
      <c r="L23" s="101">
        <f t="shared" si="11"/>
        <v>2026</v>
      </c>
      <c r="M23" s="76">
        <f t="shared" si="6"/>
        <v>46113</v>
      </c>
      <c r="N23" s="77">
        <v>38.203400000000002</v>
      </c>
      <c r="O23" s="77">
        <v>21.088899999999999</v>
      </c>
      <c r="P23" s="77">
        <v>32.323700000000002</v>
      </c>
      <c r="Q23" s="78">
        <v>35.903599999999997</v>
      </c>
      <c r="S23" s="98">
        <v>27.343995555555558</v>
      </c>
      <c r="T23" s="100">
        <f t="shared" si="12"/>
        <v>0.77124427398158002</v>
      </c>
      <c r="U23" s="100">
        <f t="shared" si="13"/>
        <v>1.3130341513936268</v>
      </c>
      <c r="W23" s="74">
        <f t="shared" si="14"/>
        <v>2040</v>
      </c>
      <c r="X23" s="79">
        <f t="shared" si="15"/>
        <v>63.43</v>
      </c>
      <c r="Y23" s="79">
        <f t="shared" si="15"/>
        <v>59.32</v>
      </c>
      <c r="Z23" s="79">
        <f t="shared" si="15"/>
        <v>60.72</v>
      </c>
      <c r="AA23" s="79">
        <f t="shared" si="15"/>
        <v>60.69</v>
      </c>
      <c r="AD23" s="152" t="str">
        <f t="shared" si="0"/>
        <v>Winter</v>
      </c>
      <c r="AE23">
        <f t="shared" si="1"/>
        <v>10</v>
      </c>
      <c r="AF23" s="150">
        <v>43374</v>
      </c>
      <c r="AG23" s="151">
        <v>432</v>
      </c>
      <c r="AH23" s="151">
        <v>312</v>
      </c>
      <c r="AI23">
        <f t="shared" si="2"/>
        <v>27</v>
      </c>
      <c r="AJ23">
        <f t="shared" si="3"/>
        <v>4</v>
      </c>
      <c r="AM23">
        <f>SUM(AM19:AM22)</f>
        <v>184080</v>
      </c>
    </row>
    <row r="24" spans="2:41" x14ac:dyDescent="0.2">
      <c r="B24" s="80">
        <f t="shared" si="7"/>
        <v>46143</v>
      </c>
      <c r="C24" s="73">
        <v>3.1016189795918363</v>
      </c>
      <c r="D24" s="73">
        <v>2.4980655995784593</v>
      </c>
      <c r="E24" s="81">
        <f t="shared" si="4"/>
        <v>2026</v>
      </c>
      <c r="G24" s="74">
        <f t="shared" si="8"/>
        <v>2041</v>
      </c>
      <c r="H24" s="75">
        <f t="shared" si="9"/>
        <v>7.8</v>
      </c>
      <c r="I24" s="75">
        <f t="shared" si="5"/>
        <v>7.37</v>
      </c>
      <c r="K24">
        <f t="shared" si="10"/>
        <v>5</v>
      </c>
      <c r="L24" s="101">
        <f t="shared" si="11"/>
        <v>2026</v>
      </c>
      <c r="M24" s="76">
        <f t="shared" si="6"/>
        <v>46143</v>
      </c>
      <c r="N24" s="77">
        <v>26.789400000000001</v>
      </c>
      <c r="O24" s="77">
        <v>21.778199999999998</v>
      </c>
      <c r="P24" s="77">
        <v>24.031199999999998</v>
      </c>
      <c r="Q24" s="78">
        <v>33.363900000000001</v>
      </c>
      <c r="S24" s="98">
        <v>27.135029032258064</v>
      </c>
      <c r="T24" s="100">
        <f t="shared" si="12"/>
        <v>0.80258620597420849</v>
      </c>
      <c r="U24" s="100">
        <f t="shared" si="13"/>
        <v>1.229550923285804</v>
      </c>
      <c r="W24" s="74">
        <f t="shared" si="14"/>
        <v>2041</v>
      </c>
      <c r="X24" s="79">
        <f t="shared" si="15"/>
        <v>66.11</v>
      </c>
      <c r="Y24" s="79">
        <f t="shared" si="15"/>
        <v>63.37</v>
      </c>
      <c r="Z24" s="79">
        <f t="shared" si="15"/>
        <v>62.37</v>
      </c>
      <c r="AA24" s="79">
        <f t="shared" si="15"/>
        <v>63.37</v>
      </c>
      <c r="AD24" s="152" t="str">
        <f t="shared" si="0"/>
        <v>Winter</v>
      </c>
      <c r="AE24">
        <f t="shared" si="1"/>
        <v>11</v>
      </c>
      <c r="AF24" s="150">
        <v>43405</v>
      </c>
      <c r="AG24" s="151">
        <v>400</v>
      </c>
      <c r="AH24" s="151">
        <v>320</v>
      </c>
      <c r="AI24">
        <f t="shared" si="2"/>
        <v>25</v>
      </c>
      <c r="AJ24">
        <f t="shared" si="3"/>
        <v>5</v>
      </c>
    </row>
    <row r="25" spans="2:41" x14ac:dyDescent="0.2">
      <c r="B25" s="80">
        <f t="shared" si="7"/>
        <v>46174</v>
      </c>
      <c r="C25" s="73">
        <v>3.2796802040816324</v>
      </c>
      <c r="D25" s="73">
        <v>2.7692324655441709</v>
      </c>
      <c r="E25" s="81">
        <f t="shared" si="4"/>
        <v>2026</v>
      </c>
      <c r="G25" s="74">
        <f t="shared" si="8"/>
        <v>2042</v>
      </c>
      <c r="H25" s="75">
        <f t="shared" si="9"/>
        <v>8.15</v>
      </c>
      <c r="I25" s="75">
        <f t="shared" si="5"/>
        <v>7.68</v>
      </c>
      <c r="K25">
        <f t="shared" si="10"/>
        <v>6</v>
      </c>
      <c r="L25" s="101">
        <f t="shared" si="11"/>
        <v>2026</v>
      </c>
      <c r="M25" s="76">
        <f t="shared" si="6"/>
        <v>46174</v>
      </c>
      <c r="N25" s="77">
        <v>37.980400000000003</v>
      </c>
      <c r="O25" s="77">
        <v>41.773699999999998</v>
      </c>
      <c r="P25" s="77">
        <v>31.8828</v>
      </c>
      <c r="Q25" s="78">
        <v>41.018300000000004</v>
      </c>
      <c r="S25" s="98">
        <v>41.454753333333329</v>
      </c>
      <c r="T25" s="100">
        <f t="shared" si="12"/>
        <v>1.0076938503071542</v>
      </c>
      <c r="U25" s="100">
        <f t="shared" si="13"/>
        <v>0.98947157326389445</v>
      </c>
      <c r="W25" s="74">
        <f t="shared" si="14"/>
        <v>2042</v>
      </c>
      <c r="X25" s="79">
        <f t="shared" si="15"/>
        <v>68.349999999999994</v>
      </c>
      <c r="Y25" s="79">
        <f t="shared" si="15"/>
        <v>67.16</v>
      </c>
      <c r="Z25" s="79">
        <f t="shared" si="15"/>
        <v>62.35</v>
      </c>
      <c r="AA25" s="79">
        <f t="shared" si="15"/>
        <v>64.209999999999994</v>
      </c>
      <c r="AD25" s="152" t="str">
        <f t="shared" si="0"/>
        <v>Winter</v>
      </c>
      <c r="AE25">
        <f t="shared" si="1"/>
        <v>12</v>
      </c>
      <c r="AF25" s="150">
        <v>43435</v>
      </c>
      <c r="AG25" s="151">
        <v>400</v>
      </c>
      <c r="AH25" s="151">
        <v>344</v>
      </c>
      <c r="AI25">
        <f t="shared" si="2"/>
        <v>25</v>
      </c>
      <c r="AJ25">
        <f t="shared" si="3"/>
        <v>6</v>
      </c>
    </row>
    <row r="26" spans="2:41" x14ac:dyDescent="0.2">
      <c r="B26" s="80">
        <f t="shared" si="7"/>
        <v>46204</v>
      </c>
      <c r="C26" s="73">
        <v>3.727129183673469</v>
      </c>
      <c r="D26" s="73">
        <v>3.1428127413771687</v>
      </c>
      <c r="E26" s="81">
        <f t="shared" si="4"/>
        <v>2026</v>
      </c>
      <c r="G26" s="74">
        <f t="shared" si="8"/>
        <v>2043</v>
      </c>
      <c r="H26" s="75">
        <f t="shared" si="9"/>
        <v>8.5399999999999991</v>
      </c>
      <c r="I26" s="75">
        <f t="shared" si="5"/>
        <v>8.0500000000000007</v>
      </c>
      <c r="K26">
        <f t="shared" si="10"/>
        <v>7</v>
      </c>
      <c r="L26" s="101">
        <f t="shared" si="11"/>
        <v>2026</v>
      </c>
      <c r="M26" s="76">
        <f t="shared" si="6"/>
        <v>46204</v>
      </c>
      <c r="N26" s="77">
        <v>70.86</v>
      </c>
      <c r="O26" s="77">
        <v>92.417400000000001</v>
      </c>
      <c r="P26" s="77">
        <v>49.3309</v>
      </c>
      <c r="Q26" s="78">
        <v>62.377499999999998</v>
      </c>
      <c r="S26" s="98">
        <v>79.174003225806445</v>
      </c>
      <c r="T26" s="100">
        <f t="shared" si="12"/>
        <v>1.1672695106299351</v>
      </c>
      <c r="U26" s="100">
        <f t="shared" si="13"/>
        <v>0.7878533035913019</v>
      </c>
      <c r="W26" s="74">
        <f t="shared" si="14"/>
        <v>2043</v>
      </c>
      <c r="X26" s="79">
        <f t="shared" si="15"/>
        <v>73.069999999999993</v>
      </c>
      <c r="Y26" s="79">
        <f t="shared" si="15"/>
        <v>69.95</v>
      </c>
      <c r="Z26" s="79">
        <f t="shared" si="15"/>
        <v>65.81</v>
      </c>
      <c r="AA26" s="79">
        <f t="shared" si="15"/>
        <v>66.959999999999994</v>
      </c>
      <c r="AD26" s="152" t="str">
        <f t="shared" si="0"/>
        <v>Winter</v>
      </c>
      <c r="AE26">
        <f t="shared" si="1"/>
        <v>1</v>
      </c>
      <c r="AF26" s="150">
        <v>43466</v>
      </c>
      <c r="AG26" s="151">
        <v>416</v>
      </c>
      <c r="AH26" s="151">
        <v>328</v>
      </c>
      <c r="AI26">
        <f t="shared" si="2"/>
        <v>26</v>
      </c>
      <c r="AJ26">
        <f t="shared" si="3"/>
        <v>5</v>
      </c>
    </row>
    <row r="27" spans="2:41" x14ac:dyDescent="0.2">
      <c r="B27" s="80">
        <f t="shared" si="7"/>
        <v>46235</v>
      </c>
      <c r="C27" s="73">
        <v>3.7725373469387753</v>
      </c>
      <c r="D27" s="73">
        <v>3.1936854336845504</v>
      </c>
      <c r="E27" s="81">
        <f t="shared" si="4"/>
        <v>2026</v>
      </c>
      <c r="G27" s="74">
        <f t="shared" si="8"/>
        <v>2044</v>
      </c>
      <c r="H27" s="75">
        <f t="shared" si="9"/>
        <v>8.84</v>
      </c>
      <c r="I27" s="75">
        <f t="shared" si="5"/>
        <v>8.32</v>
      </c>
      <c r="K27">
        <f t="shared" si="10"/>
        <v>8</v>
      </c>
      <c r="L27" s="101">
        <f t="shared" si="11"/>
        <v>2026</v>
      </c>
      <c r="M27" s="76">
        <f t="shared" si="6"/>
        <v>46235</v>
      </c>
      <c r="N27" s="77">
        <v>102.0035</v>
      </c>
      <c r="O27" s="77">
        <v>103.5835</v>
      </c>
      <c r="P27" s="77">
        <v>55.988100000000003</v>
      </c>
      <c r="Q27" s="78">
        <v>67.908199999999994</v>
      </c>
      <c r="S27" s="98">
        <v>87.855679569892473</v>
      </c>
      <c r="T27" s="100">
        <f t="shared" si="12"/>
        <v>1.1790188239064894</v>
      </c>
      <c r="U27" s="100">
        <f t="shared" si="13"/>
        <v>0.77295173553323304</v>
      </c>
      <c r="W27" s="74">
        <f t="shared" si="14"/>
        <v>2044</v>
      </c>
      <c r="X27" s="79">
        <f t="shared" si="15"/>
        <v>74.39</v>
      </c>
      <c r="Y27" s="79">
        <f t="shared" si="15"/>
        <v>71.989999999999995</v>
      </c>
      <c r="Z27" s="79">
        <f t="shared" si="15"/>
        <v>69.430000000000007</v>
      </c>
      <c r="AA27" s="79">
        <f t="shared" si="15"/>
        <v>70.97</v>
      </c>
      <c r="AD27" s="152" t="str">
        <f t="shared" si="0"/>
        <v>Winter</v>
      </c>
      <c r="AE27">
        <f t="shared" si="1"/>
        <v>2</v>
      </c>
      <c r="AF27" s="150">
        <v>43497</v>
      </c>
      <c r="AG27" s="151">
        <v>384</v>
      </c>
      <c r="AH27" s="151">
        <v>288</v>
      </c>
      <c r="AI27">
        <f t="shared" si="2"/>
        <v>24</v>
      </c>
      <c r="AJ27">
        <f t="shared" si="3"/>
        <v>4</v>
      </c>
    </row>
    <row r="28" spans="2:41" x14ac:dyDescent="0.2">
      <c r="B28" s="80">
        <f t="shared" si="7"/>
        <v>46266</v>
      </c>
      <c r="C28" s="73">
        <v>3.7067210204081631</v>
      </c>
      <c r="D28" s="73">
        <v>3.171075348214603</v>
      </c>
      <c r="E28" s="81">
        <f t="shared" si="4"/>
        <v>2026</v>
      </c>
      <c r="G28" s="74">
        <f t="shared" si="8"/>
        <v>2045</v>
      </c>
      <c r="H28" s="75">
        <f>ROUND(AVERAGEIF($E$8:$E$259,$G28,$C$8:$C$259),2)</f>
        <v>9.2899999999999991</v>
      </c>
      <c r="I28" s="75">
        <f>ROUND(AVERAGEIF($E$8:$E$259,$G28,$D$8:$D$259),2)</f>
        <v>8.74</v>
      </c>
      <c r="K28">
        <f t="shared" si="10"/>
        <v>9</v>
      </c>
      <c r="L28" s="101">
        <f t="shared" si="11"/>
        <v>2026</v>
      </c>
      <c r="M28" s="76">
        <f t="shared" si="6"/>
        <v>46266</v>
      </c>
      <c r="N28" s="77">
        <v>70.697299999999998</v>
      </c>
      <c r="O28" s="77">
        <v>75.121899999999997</v>
      </c>
      <c r="P28" s="77">
        <v>51.173400000000001</v>
      </c>
      <c r="Q28" s="78">
        <v>62.006900000000002</v>
      </c>
      <c r="S28" s="98">
        <v>69.293011111111113</v>
      </c>
      <c r="T28" s="100">
        <f t="shared" si="12"/>
        <v>1.0841194342030003</v>
      </c>
      <c r="U28" s="100">
        <f t="shared" si="13"/>
        <v>0.89485070724624949</v>
      </c>
      <c r="W28" s="74">
        <f t="shared" si="14"/>
        <v>2045</v>
      </c>
      <c r="X28" s="79">
        <f>ROUND(AVERAGEIF($E$8:$E$259,$W28,N$8:N$259),2)</f>
        <v>79.42</v>
      </c>
      <c r="Y28" s="79">
        <f>ROUND(AVERAGEIF($E$8:$E$259,$W28,O$8:O$259),2)</f>
        <v>74.44</v>
      </c>
      <c r="Z28" s="79">
        <f>ROUND(AVERAGEIF($E$8:$E$259,$W28,P$8:P$259),2)</f>
        <v>71.760000000000005</v>
      </c>
      <c r="AA28" s="79">
        <f>ROUND(AVERAGEIF($E$8:$E$259,$W28,Q$8:Q$259),2)</f>
        <v>76.849999999999994</v>
      </c>
      <c r="AD28" s="152" t="str">
        <f t="shared" si="0"/>
        <v>Winter</v>
      </c>
      <c r="AE28">
        <f t="shared" si="1"/>
        <v>3</v>
      </c>
      <c r="AF28" s="150">
        <v>43525</v>
      </c>
      <c r="AG28" s="151">
        <v>416</v>
      </c>
      <c r="AH28" s="151">
        <v>328</v>
      </c>
      <c r="AI28">
        <f t="shared" si="2"/>
        <v>26</v>
      </c>
      <c r="AJ28">
        <f t="shared" si="3"/>
        <v>5</v>
      </c>
    </row>
    <row r="29" spans="2:41" x14ac:dyDescent="0.2">
      <c r="B29" s="80">
        <f t="shared" si="7"/>
        <v>46296</v>
      </c>
      <c r="C29" s="73">
        <v>3.4199863265306121</v>
      </c>
      <c r="D29" s="73">
        <v>3.0165559686506658</v>
      </c>
      <c r="E29" s="81">
        <f t="shared" si="4"/>
        <v>2026</v>
      </c>
      <c r="G29" s="74"/>
      <c r="H29" s="75"/>
      <c r="I29" s="75"/>
      <c r="K29">
        <f t="shared" si="10"/>
        <v>10</v>
      </c>
      <c r="L29" s="101">
        <f t="shared" si="11"/>
        <v>2026</v>
      </c>
      <c r="M29" s="76">
        <f t="shared" si="6"/>
        <v>46296</v>
      </c>
      <c r="N29" s="77">
        <v>61.546100000000003</v>
      </c>
      <c r="O29" s="77">
        <v>36.820599999999999</v>
      </c>
      <c r="P29" s="77">
        <v>54.404499999999999</v>
      </c>
      <c r="Q29" s="78">
        <v>43.2196</v>
      </c>
      <c r="S29" s="98">
        <v>39.504051612903226</v>
      </c>
      <c r="T29" s="100">
        <f t="shared" si="12"/>
        <v>0.93207148372531157</v>
      </c>
      <c r="U29" s="100">
        <f t="shared" si="13"/>
        <v>1.09405486868803</v>
      </c>
      <c r="W29" s="74"/>
      <c r="X29" s="79"/>
      <c r="Y29" s="79"/>
      <c r="Z29" s="79"/>
      <c r="AA29" s="79"/>
      <c r="AD29" s="152" t="str">
        <f t="shared" si="0"/>
        <v>Winter</v>
      </c>
      <c r="AE29">
        <f t="shared" si="1"/>
        <v>4</v>
      </c>
      <c r="AF29" s="150">
        <v>43556</v>
      </c>
      <c r="AG29" s="151">
        <v>416</v>
      </c>
      <c r="AH29" s="151">
        <v>304</v>
      </c>
      <c r="AI29">
        <f t="shared" si="2"/>
        <v>26</v>
      </c>
      <c r="AJ29">
        <f t="shared" si="3"/>
        <v>4</v>
      </c>
    </row>
    <row r="30" spans="2:41" x14ac:dyDescent="0.2">
      <c r="B30" s="80">
        <f t="shared" si="7"/>
        <v>46327</v>
      </c>
      <c r="C30" s="73">
        <v>4.449578163265306</v>
      </c>
      <c r="D30" s="73">
        <v>4.1851890680996364</v>
      </c>
      <c r="E30" s="81">
        <f t="shared" si="4"/>
        <v>2026</v>
      </c>
      <c r="G30" s="74"/>
      <c r="H30" s="75"/>
      <c r="I30" s="75"/>
      <c r="K30">
        <f t="shared" si="10"/>
        <v>11</v>
      </c>
      <c r="L30" s="101">
        <f t="shared" si="11"/>
        <v>2026</v>
      </c>
      <c r="M30" s="76">
        <f t="shared" si="6"/>
        <v>46327</v>
      </c>
      <c r="N30" s="77">
        <v>68.050399999999996</v>
      </c>
      <c r="O30" s="77">
        <v>44.290799999999997</v>
      </c>
      <c r="P30" s="77">
        <v>61.777099999999997</v>
      </c>
      <c r="Q30" s="78">
        <v>54.909100000000002</v>
      </c>
      <c r="S30" s="98">
        <v>49.253861165048534</v>
      </c>
      <c r="T30" s="100">
        <f t="shared" si="12"/>
        <v>0.8992350843638951</v>
      </c>
      <c r="U30" s="100">
        <f t="shared" si="13"/>
        <v>1.1148181828019714</v>
      </c>
      <c r="W30" s="74"/>
      <c r="X30" s="79"/>
      <c r="Y30" s="79"/>
      <c r="Z30" s="79"/>
      <c r="AA30" s="79"/>
      <c r="AD30" s="152" t="str">
        <f t="shared" si="0"/>
        <v>Winter</v>
      </c>
      <c r="AE30">
        <f t="shared" si="1"/>
        <v>5</v>
      </c>
      <c r="AF30" s="150">
        <v>43586</v>
      </c>
      <c r="AG30" s="151">
        <v>416</v>
      </c>
      <c r="AH30" s="151">
        <v>328</v>
      </c>
      <c r="AI30">
        <f t="shared" si="2"/>
        <v>26</v>
      </c>
      <c r="AJ30">
        <f t="shared" si="3"/>
        <v>5</v>
      </c>
    </row>
    <row r="31" spans="2:41" x14ac:dyDescent="0.2">
      <c r="B31" s="82">
        <f t="shared" si="7"/>
        <v>46357</v>
      </c>
      <c r="C31" s="83">
        <v>5.8715169387755104</v>
      </c>
      <c r="D31" s="83">
        <v>5.5903544934989915</v>
      </c>
      <c r="E31" s="84">
        <f t="shared" si="4"/>
        <v>2026</v>
      </c>
      <c r="G31" s="74"/>
      <c r="H31" s="75"/>
      <c r="I31" s="75"/>
      <c r="K31">
        <f t="shared" si="10"/>
        <v>12</v>
      </c>
      <c r="L31" s="101">
        <f t="shared" si="11"/>
        <v>2026</v>
      </c>
      <c r="M31" s="85">
        <f t="shared" si="6"/>
        <v>46357</v>
      </c>
      <c r="N31" s="86">
        <v>79.615499999999997</v>
      </c>
      <c r="O31" s="86">
        <v>64.512699999999995</v>
      </c>
      <c r="P31" s="86">
        <v>71.001199999999997</v>
      </c>
      <c r="Q31" s="87">
        <v>62.217300000000002</v>
      </c>
      <c r="S31" s="98">
        <v>63.50074946236559</v>
      </c>
      <c r="T31" s="100">
        <f t="shared" si="12"/>
        <v>1.0159360408530949</v>
      </c>
      <c r="U31" s="100">
        <f t="shared" si="13"/>
        <v>0.97978843599119658</v>
      </c>
      <c r="W31" s="74"/>
      <c r="X31" s="79"/>
      <c r="Y31" s="79"/>
      <c r="Z31" s="79"/>
      <c r="AA31" s="79"/>
      <c r="AD31" s="152" t="str">
        <f t="shared" si="0"/>
        <v>Summer</v>
      </c>
      <c r="AE31">
        <f t="shared" si="1"/>
        <v>6</v>
      </c>
      <c r="AF31" s="150">
        <v>43617</v>
      </c>
      <c r="AG31" s="151">
        <v>400</v>
      </c>
      <c r="AH31" s="151">
        <v>320</v>
      </c>
      <c r="AI31">
        <f t="shared" si="2"/>
        <v>25</v>
      </c>
      <c r="AJ31">
        <f t="shared" si="3"/>
        <v>5</v>
      </c>
    </row>
    <row r="32" spans="2:41" x14ac:dyDescent="0.2">
      <c r="B32" s="204">
        <f t="shared" si="7"/>
        <v>46388</v>
      </c>
      <c r="C32" s="73">
        <v>6.1980475510204087</v>
      </c>
      <c r="D32" s="73">
        <v>5.9320751034425161</v>
      </c>
      <c r="E32" s="203">
        <f t="shared" si="4"/>
        <v>2027</v>
      </c>
      <c r="G32" s="74"/>
      <c r="H32" s="89" t="s">
        <v>49</v>
      </c>
      <c r="I32" s="89" t="s">
        <v>49</v>
      </c>
      <c r="K32">
        <f t="shared" si="10"/>
        <v>1</v>
      </c>
      <c r="L32" s="101">
        <f t="shared" si="11"/>
        <v>2027</v>
      </c>
      <c r="M32" s="76">
        <f t="shared" si="6"/>
        <v>46388</v>
      </c>
      <c r="N32" s="202">
        <v>83.821299999999994</v>
      </c>
      <c r="O32" s="202">
        <v>63.585999999999999</v>
      </c>
      <c r="P32" s="202">
        <v>79.533500000000004</v>
      </c>
      <c r="Q32" s="201">
        <v>76.148700000000005</v>
      </c>
      <c r="S32" s="98">
        <v>69.394560215053758</v>
      </c>
      <c r="T32" s="100">
        <f t="shared" si="12"/>
        <v>0.91629660600120488</v>
      </c>
      <c r="U32" s="100">
        <f t="shared" si="13"/>
        <v>1.0973295279055759</v>
      </c>
      <c r="W32" s="74"/>
      <c r="X32" s="79"/>
      <c r="Y32" s="79"/>
      <c r="Z32" s="79"/>
      <c r="AA32" s="79"/>
      <c r="AD32" s="152" t="str">
        <f t="shared" si="0"/>
        <v>Summer</v>
      </c>
      <c r="AE32">
        <f t="shared" si="1"/>
        <v>7</v>
      </c>
      <c r="AF32" s="150">
        <v>43647</v>
      </c>
      <c r="AG32" s="151">
        <v>416</v>
      </c>
      <c r="AH32" s="151">
        <v>328</v>
      </c>
      <c r="AI32">
        <f t="shared" si="2"/>
        <v>26</v>
      </c>
      <c r="AJ32">
        <f t="shared" si="3"/>
        <v>5</v>
      </c>
    </row>
    <row r="33" spans="2:36" x14ac:dyDescent="0.2">
      <c r="B33" s="80">
        <f t="shared" si="7"/>
        <v>46419</v>
      </c>
      <c r="C33" s="73">
        <v>5.4587618367346948</v>
      </c>
      <c r="D33" s="73">
        <v>5.0808567720568778</v>
      </c>
      <c r="E33" s="81">
        <f t="shared" si="4"/>
        <v>2027</v>
      </c>
      <c r="G33" s="74"/>
      <c r="H33" s="91">
        <f>ROUND(AVERAGE(H8:H30)-AVERAGE(C8:C260),2)</f>
        <v>0</v>
      </c>
      <c r="I33" s="91">
        <f>ROUND(AVERAGE(I8:I30)-AVERAGE(D8:D260),2)</f>
        <v>0</v>
      </c>
      <c r="K33">
        <f t="shared" si="10"/>
        <v>2</v>
      </c>
      <c r="L33" s="101">
        <f t="shared" si="11"/>
        <v>2027</v>
      </c>
      <c r="M33" s="76">
        <f t="shared" si="6"/>
        <v>46419</v>
      </c>
      <c r="N33" s="77">
        <v>71.465800000000002</v>
      </c>
      <c r="O33" s="77">
        <v>44.476500000000001</v>
      </c>
      <c r="P33" s="77">
        <v>70.045400000000001</v>
      </c>
      <c r="Q33" s="78">
        <v>60.4206</v>
      </c>
      <c r="S33" s="98">
        <v>51.309685714285713</v>
      </c>
      <c r="T33" s="100">
        <f t="shared" si="12"/>
        <v>0.86682464296632389</v>
      </c>
      <c r="U33" s="100">
        <f t="shared" si="13"/>
        <v>1.1775671427115684</v>
      </c>
      <c r="W33" s="74"/>
      <c r="X33" s="79"/>
      <c r="Y33" s="79"/>
      <c r="Z33" s="79"/>
      <c r="AA33" s="79"/>
      <c r="AD33" s="152" t="str">
        <f t="shared" si="0"/>
        <v>Summer</v>
      </c>
      <c r="AE33">
        <f t="shared" si="1"/>
        <v>8</v>
      </c>
      <c r="AF33" s="150">
        <v>43678</v>
      </c>
      <c r="AG33" s="151">
        <v>432</v>
      </c>
      <c r="AH33" s="151">
        <v>312</v>
      </c>
      <c r="AI33">
        <f t="shared" si="2"/>
        <v>27</v>
      </c>
      <c r="AJ33">
        <f t="shared" si="3"/>
        <v>4</v>
      </c>
    </row>
    <row r="34" spans="2:36" x14ac:dyDescent="0.2">
      <c r="B34" s="80">
        <f t="shared" si="7"/>
        <v>46447</v>
      </c>
      <c r="C34" s="73">
        <v>3.4914148979591837</v>
      </c>
      <c r="D34" s="73">
        <v>3.1944562320528442</v>
      </c>
      <c r="E34" s="81">
        <f t="shared" si="4"/>
        <v>2027</v>
      </c>
      <c r="G34" s="74"/>
      <c r="H34" s="75"/>
      <c r="I34" s="75"/>
      <c r="K34">
        <f t="shared" si="10"/>
        <v>3</v>
      </c>
      <c r="L34" s="101">
        <f t="shared" si="11"/>
        <v>2027</v>
      </c>
      <c r="M34" s="76">
        <f t="shared" si="6"/>
        <v>46447</v>
      </c>
      <c r="N34" s="77">
        <v>44.944099999999999</v>
      </c>
      <c r="O34" s="77">
        <v>21.5944</v>
      </c>
      <c r="P34" s="77">
        <v>47.457500000000003</v>
      </c>
      <c r="Q34" s="78">
        <v>33.841200000000001</v>
      </c>
      <c r="S34" s="98">
        <v>26.720584118438758</v>
      </c>
      <c r="T34" s="100">
        <f t="shared" si="12"/>
        <v>0.80815598582287751</v>
      </c>
      <c r="U34" s="100">
        <f t="shared" si="13"/>
        <v>1.2664842897894437</v>
      </c>
      <c r="W34" s="74"/>
      <c r="X34" s="79"/>
      <c r="Y34" s="79"/>
      <c r="Z34" s="79"/>
      <c r="AA34" s="79"/>
      <c r="AD34" s="152" t="str">
        <f t="shared" si="0"/>
        <v>Summer</v>
      </c>
      <c r="AE34">
        <f t="shared" si="1"/>
        <v>9</v>
      </c>
      <c r="AF34" s="150">
        <v>43709</v>
      </c>
      <c r="AG34" s="151">
        <v>384</v>
      </c>
      <c r="AH34" s="151">
        <v>336</v>
      </c>
      <c r="AI34">
        <f t="shared" si="2"/>
        <v>24</v>
      </c>
      <c r="AJ34">
        <f t="shared" si="3"/>
        <v>6</v>
      </c>
    </row>
    <row r="35" spans="2:36" x14ac:dyDescent="0.2">
      <c r="B35" s="80">
        <f t="shared" si="7"/>
        <v>46478</v>
      </c>
      <c r="C35" s="73">
        <v>2.6317210204081634</v>
      </c>
      <c r="D35" s="73">
        <v>2.4275118556006454</v>
      </c>
      <c r="E35" s="81">
        <f t="shared" si="4"/>
        <v>2027</v>
      </c>
      <c r="G35" s="74"/>
      <c r="K35">
        <f t="shared" si="10"/>
        <v>4</v>
      </c>
      <c r="L35" s="101">
        <f t="shared" si="11"/>
        <v>2027</v>
      </c>
      <c r="M35" s="76">
        <f t="shared" si="6"/>
        <v>46478</v>
      </c>
      <c r="N35" s="77">
        <v>35.391800000000003</v>
      </c>
      <c r="O35" s="77">
        <v>23.8416</v>
      </c>
      <c r="P35" s="77">
        <v>32.868699999999997</v>
      </c>
      <c r="Q35" s="78">
        <v>33.117600000000003</v>
      </c>
      <c r="S35" s="98">
        <v>27.758133333333337</v>
      </c>
      <c r="T35" s="100">
        <f t="shared" si="12"/>
        <v>0.85890501762846672</v>
      </c>
      <c r="U35" s="100">
        <f t="shared" si="13"/>
        <v>1.1930773442978875</v>
      </c>
      <c r="X35" s="88"/>
      <c r="Y35" s="88"/>
      <c r="Z35" s="88"/>
      <c r="AA35" s="88"/>
      <c r="AD35" s="152" t="str">
        <f t="shared" si="0"/>
        <v>Winter</v>
      </c>
      <c r="AE35">
        <f t="shared" si="1"/>
        <v>10</v>
      </c>
      <c r="AF35" s="150">
        <v>43739</v>
      </c>
      <c r="AG35" s="151">
        <v>432</v>
      </c>
      <c r="AH35" s="151">
        <v>312</v>
      </c>
      <c r="AI35">
        <f t="shared" si="2"/>
        <v>27</v>
      </c>
      <c r="AJ35">
        <f t="shared" si="3"/>
        <v>4</v>
      </c>
    </row>
    <row r="36" spans="2:36" x14ac:dyDescent="0.2">
      <c r="B36" s="80">
        <f t="shared" si="7"/>
        <v>46508</v>
      </c>
      <c r="C36" s="73">
        <v>2.5740679591836733</v>
      </c>
      <c r="D36" s="73">
        <v>2.3521277751815246</v>
      </c>
      <c r="E36" s="81">
        <f t="shared" si="4"/>
        <v>2027</v>
      </c>
      <c r="G36" s="74"/>
      <c r="K36">
        <f t="shared" si="10"/>
        <v>5</v>
      </c>
      <c r="L36" s="101">
        <f t="shared" si="11"/>
        <v>2027</v>
      </c>
      <c r="M36" s="76">
        <f t="shared" si="6"/>
        <v>46508</v>
      </c>
      <c r="N36" s="77">
        <v>33.200099999999999</v>
      </c>
      <c r="O36" s="77">
        <v>21.233799999999999</v>
      </c>
      <c r="P36" s="77">
        <v>30.0535</v>
      </c>
      <c r="Q36" s="78">
        <v>33.057600000000001</v>
      </c>
      <c r="S36" s="98">
        <v>26.700718279569891</v>
      </c>
      <c r="T36" s="100">
        <f t="shared" si="12"/>
        <v>0.79525201448408545</v>
      </c>
      <c r="U36" s="100">
        <f t="shared" si="13"/>
        <v>1.2380790529254821</v>
      </c>
      <c r="X36" s="90" t="s">
        <v>49</v>
      </c>
      <c r="Y36" s="90"/>
      <c r="Z36" s="90"/>
      <c r="AA36" s="90"/>
      <c r="AD36" s="152" t="str">
        <f t="shared" si="0"/>
        <v>Winter</v>
      </c>
      <c r="AE36">
        <f t="shared" si="1"/>
        <v>11</v>
      </c>
      <c r="AF36" s="150">
        <v>43770</v>
      </c>
      <c r="AG36" s="151">
        <v>400</v>
      </c>
      <c r="AH36" s="151">
        <v>320</v>
      </c>
      <c r="AI36">
        <f t="shared" si="2"/>
        <v>25</v>
      </c>
      <c r="AJ36">
        <f t="shared" si="3"/>
        <v>5</v>
      </c>
    </row>
    <row r="37" spans="2:36" x14ac:dyDescent="0.2">
      <c r="B37" s="80">
        <f t="shared" si="7"/>
        <v>46539</v>
      </c>
      <c r="C37" s="73">
        <v>2.6929455102040811</v>
      </c>
      <c r="D37" s="73">
        <v>2.464150471373538</v>
      </c>
      <c r="E37" s="81">
        <f t="shared" si="4"/>
        <v>2027</v>
      </c>
      <c r="K37">
        <f t="shared" si="10"/>
        <v>6</v>
      </c>
      <c r="L37" s="101">
        <f t="shared" si="11"/>
        <v>2027</v>
      </c>
      <c r="M37" s="76">
        <f t="shared" si="6"/>
        <v>46539</v>
      </c>
      <c r="N37" s="77">
        <v>34.806100000000001</v>
      </c>
      <c r="O37" s="77">
        <v>33.666600000000003</v>
      </c>
      <c r="P37" s="77">
        <v>27.121400000000001</v>
      </c>
      <c r="Q37" s="78">
        <v>42.201599999999999</v>
      </c>
      <c r="S37" s="98">
        <v>37.270266666666664</v>
      </c>
      <c r="T37" s="100">
        <f t="shared" si="12"/>
        <v>0.90330987704228938</v>
      </c>
      <c r="U37" s="100">
        <f t="shared" si="13"/>
        <v>1.1323127998368674</v>
      </c>
      <c r="X37" s="91">
        <f>ROUND(AVERAGE(X8:X34)-AVERAGE(N8:N260),2)</f>
        <v>0</v>
      </c>
      <c r="Y37" s="91">
        <f>ROUND(AVERAGE(Y8:Y34)-AVERAGE(O8:O260),2)</f>
        <v>0</v>
      </c>
      <c r="Z37" s="91">
        <f>ROUND(AVERAGE(Z8:Z34)-AVERAGE(P8:P260),2)</f>
        <v>0</v>
      </c>
      <c r="AA37" s="91">
        <f>ROUND(AVERAGE(AA8:AA34)-AVERAGE(Q8:Q260),2)</f>
        <v>0</v>
      </c>
      <c r="AD37" s="152" t="str">
        <f t="shared" si="0"/>
        <v>Winter</v>
      </c>
      <c r="AE37">
        <f t="shared" si="1"/>
        <v>12</v>
      </c>
      <c r="AF37" s="150">
        <v>43800</v>
      </c>
      <c r="AG37" s="151">
        <v>400</v>
      </c>
      <c r="AH37" s="151">
        <v>344</v>
      </c>
      <c r="AI37">
        <f t="shared" si="2"/>
        <v>25</v>
      </c>
      <c r="AJ37">
        <f t="shared" si="3"/>
        <v>6</v>
      </c>
    </row>
    <row r="38" spans="2:36" x14ac:dyDescent="0.2">
      <c r="B38" s="80">
        <f t="shared" si="7"/>
        <v>46569</v>
      </c>
      <c r="C38" s="73">
        <v>3.3419251020408161</v>
      </c>
      <c r="D38" s="73">
        <v>2.9327958792960871</v>
      </c>
      <c r="E38" s="81">
        <f t="shared" si="4"/>
        <v>2027</v>
      </c>
      <c r="K38">
        <f t="shared" si="10"/>
        <v>7</v>
      </c>
      <c r="L38" s="101">
        <f t="shared" si="11"/>
        <v>2027</v>
      </c>
      <c r="M38" s="76">
        <f t="shared" si="6"/>
        <v>46569</v>
      </c>
      <c r="N38" s="77">
        <v>71.239599999999996</v>
      </c>
      <c r="O38" s="77">
        <v>97.905199999999994</v>
      </c>
      <c r="P38" s="77">
        <v>50.103700000000003</v>
      </c>
      <c r="Q38" s="78">
        <v>66.787999999999997</v>
      </c>
      <c r="S38" s="98">
        <v>84.186864516129035</v>
      </c>
      <c r="T38" s="100">
        <f t="shared" si="12"/>
        <v>1.1629510204794802</v>
      </c>
      <c r="U38" s="100">
        <f t="shared" si="13"/>
        <v>0.7933304130504153</v>
      </c>
      <c r="AD38" s="152" t="str">
        <f t="shared" si="0"/>
        <v>Winter</v>
      </c>
      <c r="AE38">
        <f t="shared" si="1"/>
        <v>1</v>
      </c>
      <c r="AF38" s="150">
        <v>43831</v>
      </c>
      <c r="AG38" s="151">
        <v>416</v>
      </c>
      <c r="AH38" s="151">
        <v>328</v>
      </c>
      <c r="AI38">
        <f t="shared" si="2"/>
        <v>26</v>
      </c>
      <c r="AJ38">
        <f t="shared" si="3"/>
        <v>5</v>
      </c>
    </row>
    <row r="39" spans="2:36" x14ac:dyDescent="0.2">
      <c r="B39" s="80">
        <f t="shared" si="7"/>
        <v>46600</v>
      </c>
      <c r="C39" s="73">
        <v>3.3903944897959182</v>
      </c>
      <c r="D39" s="73">
        <v>2.9950763874542154</v>
      </c>
      <c r="E39" s="81">
        <f t="shared" si="4"/>
        <v>2027</v>
      </c>
      <c r="K39">
        <f t="shared" si="10"/>
        <v>8</v>
      </c>
      <c r="L39" s="101">
        <f t="shared" si="11"/>
        <v>2027</v>
      </c>
      <c r="M39" s="76">
        <f t="shared" si="6"/>
        <v>46600</v>
      </c>
      <c r="N39" s="77">
        <v>100.9182</v>
      </c>
      <c r="O39" s="77">
        <v>104.94589999999999</v>
      </c>
      <c r="P39" s="77">
        <v>49.4482</v>
      </c>
      <c r="Q39" s="78">
        <v>71.554699999999997</v>
      </c>
      <c r="S39" s="98">
        <v>90.225048387096777</v>
      </c>
      <c r="T39" s="100">
        <f t="shared" si="12"/>
        <v>1.1631570376082887</v>
      </c>
      <c r="U39" s="100">
        <f t="shared" si="13"/>
        <v>0.79306912303338972</v>
      </c>
      <c r="AD39" s="152" t="str">
        <f t="shared" si="0"/>
        <v>Winter</v>
      </c>
      <c r="AE39">
        <f t="shared" si="1"/>
        <v>2</v>
      </c>
      <c r="AF39" s="150">
        <v>43862</v>
      </c>
      <c r="AG39" s="151">
        <v>400</v>
      </c>
      <c r="AH39" s="151">
        <v>296</v>
      </c>
      <c r="AI39">
        <f t="shared" si="2"/>
        <v>25</v>
      </c>
      <c r="AJ39">
        <f t="shared" si="3"/>
        <v>4</v>
      </c>
    </row>
    <row r="40" spans="2:36" x14ac:dyDescent="0.2">
      <c r="B40" s="80">
        <f t="shared" si="7"/>
        <v>46631</v>
      </c>
      <c r="C40" s="73">
        <v>3.3301904081632654</v>
      </c>
      <c r="D40" s="73">
        <v>2.9633708812384025</v>
      </c>
      <c r="E40" s="81">
        <f t="shared" si="4"/>
        <v>2027</v>
      </c>
      <c r="K40">
        <f t="shared" si="10"/>
        <v>9</v>
      </c>
      <c r="L40" s="101">
        <f t="shared" si="11"/>
        <v>2027</v>
      </c>
      <c r="M40" s="76">
        <f t="shared" si="6"/>
        <v>46631</v>
      </c>
      <c r="N40" s="77">
        <v>75.000500000000002</v>
      </c>
      <c r="O40" s="77">
        <v>64.840299999999999</v>
      </c>
      <c r="P40" s="77">
        <v>56.731000000000002</v>
      </c>
      <c r="Q40" s="78">
        <v>59.683399999999999</v>
      </c>
      <c r="S40" s="98">
        <v>62.548344444444439</v>
      </c>
      <c r="T40" s="100">
        <f t="shared" si="12"/>
        <v>1.036642945163661</v>
      </c>
      <c r="U40" s="100">
        <f t="shared" si="13"/>
        <v>0.95419631854542386</v>
      </c>
      <c r="AD40" s="152" t="str">
        <f t="shared" si="0"/>
        <v>Winter</v>
      </c>
      <c r="AE40">
        <f t="shared" si="1"/>
        <v>3</v>
      </c>
      <c r="AF40" s="150">
        <v>43891</v>
      </c>
      <c r="AG40" s="151">
        <v>416</v>
      </c>
      <c r="AH40" s="151">
        <v>328</v>
      </c>
      <c r="AI40">
        <f t="shared" si="2"/>
        <v>26</v>
      </c>
      <c r="AJ40">
        <f t="shared" si="3"/>
        <v>5</v>
      </c>
    </row>
    <row r="41" spans="2:36" x14ac:dyDescent="0.2">
      <c r="B41" s="80">
        <f t="shared" si="7"/>
        <v>46661</v>
      </c>
      <c r="C41" s="73">
        <v>2.9939659183673468</v>
      </c>
      <c r="D41" s="73">
        <v>2.8283270071133524</v>
      </c>
      <c r="E41" s="81">
        <f t="shared" si="4"/>
        <v>2027</v>
      </c>
      <c r="K41">
        <f t="shared" si="10"/>
        <v>10</v>
      </c>
      <c r="L41" s="101">
        <f t="shared" si="11"/>
        <v>2027</v>
      </c>
      <c r="M41" s="76">
        <f t="shared" si="6"/>
        <v>46661</v>
      </c>
      <c r="N41" s="77">
        <v>59.897300000000001</v>
      </c>
      <c r="O41" s="77">
        <v>32.854799999999997</v>
      </c>
      <c r="P41" s="77">
        <v>58.773099999999999</v>
      </c>
      <c r="Q41" s="78">
        <v>47.009</v>
      </c>
      <c r="S41" s="98">
        <v>39.094823655913977</v>
      </c>
      <c r="T41" s="100">
        <f t="shared" si="12"/>
        <v>0.84038747147616222</v>
      </c>
      <c r="U41" s="100">
        <f t="shared" si="13"/>
        <v>1.2024354020302332</v>
      </c>
      <c r="AD41" s="152" t="str">
        <f t="shared" si="0"/>
        <v>Winter</v>
      </c>
      <c r="AE41">
        <f t="shared" si="1"/>
        <v>4</v>
      </c>
      <c r="AF41" s="150">
        <v>43922</v>
      </c>
      <c r="AG41" s="151">
        <v>416</v>
      </c>
      <c r="AH41" s="151">
        <v>304</v>
      </c>
      <c r="AI41">
        <f t="shared" si="2"/>
        <v>26</v>
      </c>
      <c r="AJ41">
        <f t="shared" si="3"/>
        <v>4</v>
      </c>
    </row>
    <row r="42" spans="2:36" x14ac:dyDescent="0.2">
      <c r="B42" s="80">
        <f t="shared" si="7"/>
        <v>46692</v>
      </c>
      <c r="C42" s="73">
        <v>3.9684557142857138</v>
      </c>
      <c r="D42" s="73">
        <v>3.9652546003465106</v>
      </c>
      <c r="E42" s="81">
        <f t="shared" si="4"/>
        <v>2027</v>
      </c>
      <c r="K42">
        <f t="shared" si="10"/>
        <v>11</v>
      </c>
      <c r="L42" s="101">
        <f t="shared" si="11"/>
        <v>2027</v>
      </c>
      <c r="M42" s="76">
        <f t="shared" si="6"/>
        <v>46692</v>
      </c>
      <c r="N42" s="77">
        <v>65.992400000000004</v>
      </c>
      <c r="O42" s="77">
        <v>35.817599999999999</v>
      </c>
      <c r="P42" s="77">
        <v>64.193399999999997</v>
      </c>
      <c r="Q42" s="78">
        <v>48.436</v>
      </c>
      <c r="S42" s="98">
        <v>41.435500693481274</v>
      </c>
      <c r="T42" s="100">
        <f t="shared" si="12"/>
        <v>0.86441817766268492</v>
      </c>
      <c r="U42" s="100">
        <f t="shared" si="13"/>
        <v>1.1689493113237572</v>
      </c>
      <c r="AD42" s="152" t="str">
        <f t="shared" si="0"/>
        <v>Winter</v>
      </c>
      <c r="AE42">
        <f t="shared" si="1"/>
        <v>5</v>
      </c>
      <c r="AF42" s="150">
        <v>43952</v>
      </c>
      <c r="AG42" s="151">
        <v>400</v>
      </c>
      <c r="AH42" s="151">
        <v>344</v>
      </c>
      <c r="AI42">
        <f t="shared" si="2"/>
        <v>25</v>
      </c>
      <c r="AJ42">
        <f t="shared" si="3"/>
        <v>6</v>
      </c>
    </row>
    <row r="43" spans="2:36" x14ac:dyDescent="0.2">
      <c r="B43" s="82">
        <f t="shared" si="7"/>
        <v>46722</v>
      </c>
      <c r="C43" s="83">
        <v>5.5301904081632651</v>
      </c>
      <c r="D43" s="83">
        <v>5.6056676877490919</v>
      </c>
      <c r="E43" s="84">
        <f t="shared" si="4"/>
        <v>2027</v>
      </c>
      <c r="K43">
        <f t="shared" si="10"/>
        <v>12</v>
      </c>
      <c r="L43" s="101">
        <f t="shared" si="11"/>
        <v>2027</v>
      </c>
      <c r="M43" s="85">
        <f t="shared" si="6"/>
        <v>46722</v>
      </c>
      <c r="N43" s="86">
        <v>77.298000000000002</v>
      </c>
      <c r="O43" s="86">
        <v>69.14</v>
      </c>
      <c r="P43" s="86">
        <v>71.583299999999994</v>
      </c>
      <c r="Q43" s="87">
        <v>66.888300000000001</v>
      </c>
      <c r="S43" s="98">
        <v>68.14731505376345</v>
      </c>
      <c r="T43" s="100">
        <f t="shared" si="12"/>
        <v>1.0145667506555964</v>
      </c>
      <c r="U43" s="100">
        <f t="shared" si="13"/>
        <v>0.98152509672948707</v>
      </c>
      <c r="AD43" s="152" t="str">
        <f t="shared" si="0"/>
        <v>Summer</v>
      </c>
      <c r="AE43">
        <f t="shared" si="1"/>
        <v>6</v>
      </c>
      <c r="AF43" s="150">
        <v>43983</v>
      </c>
      <c r="AG43" s="151">
        <v>416</v>
      </c>
      <c r="AH43" s="151">
        <v>304</v>
      </c>
      <c r="AI43">
        <f t="shared" si="2"/>
        <v>26</v>
      </c>
      <c r="AJ43">
        <f t="shared" si="3"/>
        <v>4</v>
      </c>
    </row>
    <row r="44" spans="2:36" x14ac:dyDescent="0.2">
      <c r="B44" s="204">
        <f t="shared" si="7"/>
        <v>46753</v>
      </c>
      <c r="C44" s="73">
        <v>5.8587618367346943</v>
      </c>
      <c r="D44" s="73">
        <v>5.8942032102803541</v>
      </c>
      <c r="E44" s="203">
        <f t="shared" si="4"/>
        <v>2028</v>
      </c>
      <c r="K44">
        <f t="shared" si="10"/>
        <v>1</v>
      </c>
      <c r="L44" s="101">
        <f t="shared" si="11"/>
        <v>2028</v>
      </c>
      <c r="M44" s="76">
        <f t="shared" si="6"/>
        <v>46753</v>
      </c>
      <c r="N44" s="202">
        <v>73.150000000000006</v>
      </c>
      <c r="O44" s="202">
        <v>57.36</v>
      </c>
      <c r="P44" s="202">
        <v>73.95</v>
      </c>
      <c r="Q44" s="201">
        <v>72.019099999999995</v>
      </c>
      <c r="S44" s="98">
        <v>64.137863440860215</v>
      </c>
      <c r="T44" s="100">
        <f t="shared" si="12"/>
        <v>0.89432352315399621</v>
      </c>
      <c r="U44" s="100">
        <f t="shared" si="13"/>
        <v>1.1228796242395391</v>
      </c>
      <c r="AD44" s="152" t="str">
        <f t="shared" si="0"/>
        <v>Summer</v>
      </c>
      <c r="AE44">
        <f t="shared" si="1"/>
        <v>7</v>
      </c>
      <c r="AF44" s="150">
        <v>44013</v>
      </c>
      <c r="AG44" s="151">
        <v>416</v>
      </c>
      <c r="AH44" s="151">
        <v>328</v>
      </c>
      <c r="AI44">
        <f t="shared" si="2"/>
        <v>26</v>
      </c>
      <c r="AJ44">
        <f t="shared" si="3"/>
        <v>5</v>
      </c>
    </row>
    <row r="45" spans="2:36" x14ac:dyDescent="0.2">
      <c r="B45" s="80">
        <f t="shared" si="7"/>
        <v>46784</v>
      </c>
      <c r="C45" s="73">
        <v>5.1102924489795916</v>
      </c>
      <c r="D45" s="73">
        <v>5.0510525684828558</v>
      </c>
      <c r="E45" s="81">
        <f t="shared" si="4"/>
        <v>2028</v>
      </c>
      <c r="K45">
        <f t="shared" si="10"/>
        <v>2</v>
      </c>
      <c r="L45" s="101">
        <f t="shared" si="11"/>
        <v>2028</v>
      </c>
      <c r="M45" s="76">
        <f t="shared" si="6"/>
        <v>46784</v>
      </c>
      <c r="N45" s="77">
        <v>63.731499999999997</v>
      </c>
      <c r="O45" s="77">
        <v>43.410299999999999</v>
      </c>
      <c r="P45" s="77">
        <v>66.253299999999996</v>
      </c>
      <c r="Q45" s="78">
        <v>56.414400000000001</v>
      </c>
      <c r="S45" s="98">
        <v>48.94077931034483</v>
      </c>
      <c r="T45" s="100">
        <f t="shared" si="12"/>
        <v>0.88699650090827575</v>
      </c>
      <c r="U45" s="100">
        <f t="shared" si="13"/>
        <v>1.1527074312050327</v>
      </c>
      <c r="AD45" s="152" t="str">
        <f t="shared" si="0"/>
        <v>Summer</v>
      </c>
      <c r="AE45">
        <f t="shared" si="1"/>
        <v>8</v>
      </c>
      <c r="AF45" s="150">
        <v>44044</v>
      </c>
      <c r="AG45" s="151">
        <v>416</v>
      </c>
      <c r="AH45" s="151">
        <v>328</v>
      </c>
      <c r="AI45">
        <f t="shared" si="2"/>
        <v>26</v>
      </c>
      <c r="AJ45">
        <f t="shared" si="3"/>
        <v>5</v>
      </c>
    </row>
    <row r="46" spans="2:36" x14ac:dyDescent="0.2">
      <c r="B46" s="80">
        <f t="shared" si="7"/>
        <v>46813</v>
      </c>
      <c r="C46" s="73">
        <v>3.2414148979591833</v>
      </c>
      <c r="D46" s="73">
        <v>2.9953333202436463</v>
      </c>
      <c r="E46" s="81">
        <f t="shared" si="4"/>
        <v>2028</v>
      </c>
      <c r="K46">
        <f t="shared" si="10"/>
        <v>3</v>
      </c>
      <c r="L46" s="101">
        <f t="shared" si="11"/>
        <v>2028</v>
      </c>
      <c r="M46" s="76">
        <f t="shared" si="6"/>
        <v>46813</v>
      </c>
      <c r="N46" s="77">
        <v>53.075299999999999</v>
      </c>
      <c r="O46" s="77">
        <v>23.0962</v>
      </c>
      <c r="P46" s="77">
        <v>58.015500000000003</v>
      </c>
      <c r="Q46" s="78">
        <v>38.769799999999996</v>
      </c>
      <c r="S46" s="98">
        <v>29.656751278600268</v>
      </c>
      <c r="T46" s="100">
        <f t="shared" si="12"/>
        <v>0.77878388576788471</v>
      </c>
      <c r="U46" s="100">
        <f t="shared" si="13"/>
        <v>1.3072841200909124</v>
      </c>
      <c r="AD46" s="152" t="str">
        <f t="shared" si="0"/>
        <v>Summer</v>
      </c>
      <c r="AE46">
        <f t="shared" si="1"/>
        <v>9</v>
      </c>
      <c r="AF46" s="150">
        <v>44075</v>
      </c>
      <c r="AG46" s="151">
        <v>400</v>
      </c>
      <c r="AH46" s="151">
        <v>320</v>
      </c>
      <c r="AI46">
        <f t="shared" si="2"/>
        <v>25</v>
      </c>
      <c r="AJ46">
        <f t="shared" si="3"/>
        <v>5</v>
      </c>
    </row>
    <row r="47" spans="2:36" x14ac:dyDescent="0.2">
      <c r="B47" s="80">
        <f t="shared" si="7"/>
        <v>46844</v>
      </c>
      <c r="C47" s="73">
        <v>2.4608026530612244</v>
      </c>
      <c r="D47" s="73">
        <v>2.3401547071940296</v>
      </c>
      <c r="E47" s="81">
        <f t="shared" si="4"/>
        <v>2028</v>
      </c>
      <c r="K47">
        <f t="shared" si="10"/>
        <v>4</v>
      </c>
      <c r="L47" s="101">
        <f t="shared" si="11"/>
        <v>2028</v>
      </c>
      <c r="M47" s="76">
        <f t="shared" si="6"/>
        <v>46844</v>
      </c>
      <c r="N47" s="77">
        <v>41.927</v>
      </c>
      <c r="O47" s="77">
        <v>18.1204</v>
      </c>
      <c r="P47" s="77">
        <v>40.130200000000002</v>
      </c>
      <c r="Q47" s="78">
        <v>30.2287</v>
      </c>
      <c r="S47" s="98">
        <v>23.501866666666665</v>
      </c>
      <c r="T47" s="100">
        <f t="shared" si="12"/>
        <v>0.77101960695320659</v>
      </c>
      <c r="U47" s="100">
        <f t="shared" si="13"/>
        <v>1.2862254913084918</v>
      </c>
      <c r="AD47" s="152" t="str">
        <f t="shared" si="0"/>
        <v>Winter</v>
      </c>
      <c r="AE47">
        <f t="shared" si="1"/>
        <v>10</v>
      </c>
      <c r="AF47" s="150">
        <v>44105</v>
      </c>
      <c r="AG47" s="151">
        <v>432</v>
      </c>
      <c r="AH47" s="151">
        <v>312</v>
      </c>
      <c r="AI47">
        <f t="shared" si="2"/>
        <v>27</v>
      </c>
      <c r="AJ47">
        <f t="shared" si="3"/>
        <v>4</v>
      </c>
    </row>
    <row r="48" spans="2:36" x14ac:dyDescent="0.2">
      <c r="B48" s="80">
        <f t="shared" si="7"/>
        <v>46874</v>
      </c>
      <c r="C48" s="73">
        <v>4.0046802040816329</v>
      </c>
      <c r="D48" s="73">
        <v>3.7285167281645828</v>
      </c>
      <c r="E48" s="81">
        <f t="shared" si="4"/>
        <v>2028</v>
      </c>
      <c r="K48">
        <f t="shared" si="10"/>
        <v>5</v>
      </c>
      <c r="L48" s="101">
        <f t="shared" si="11"/>
        <v>2028</v>
      </c>
      <c r="M48" s="76">
        <f t="shared" si="6"/>
        <v>46874</v>
      </c>
      <c r="N48" s="77">
        <v>31.6524</v>
      </c>
      <c r="O48" s="77">
        <v>30.598299999999998</v>
      </c>
      <c r="P48" s="77">
        <v>29.131399999999999</v>
      </c>
      <c r="Q48" s="78">
        <v>35.924199999999999</v>
      </c>
      <c r="S48" s="98">
        <v>32.946277419354836</v>
      </c>
      <c r="T48" s="100">
        <f t="shared" si="12"/>
        <v>0.92873314974348276</v>
      </c>
      <c r="U48" s="100">
        <f t="shared" si="13"/>
        <v>1.090387224715583</v>
      </c>
      <c r="AD48" s="152" t="str">
        <f t="shared" si="0"/>
        <v>Winter</v>
      </c>
      <c r="AE48">
        <f t="shared" si="1"/>
        <v>11</v>
      </c>
      <c r="AF48" s="150">
        <v>44136</v>
      </c>
      <c r="AG48" s="151">
        <v>384</v>
      </c>
      <c r="AH48" s="151">
        <v>336</v>
      </c>
      <c r="AI48">
        <f t="shared" si="2"/>
        <v>24</v>
      </c>
      <c r="AJ48">
        <f t="shared" si="3"/>
        <v>6</v>
      </c>
    </row>
    <row r="49" spans="2:36" x14ac:dyDescent="0.2">
      <c r="B49" s="80">
        <f t="shared" si="7"/>
        <v>46905</v>
      </c>
      <c r="C49" s="73">
        <v>4.0937618367346937</v>
      </c>
      <c r="D49" s="73">
        <v>3.790077824512303</v>
      </c>
      <c r="E49" s="81">
        <f t="shared" si="4"/>
        <v>2028</v>
      </c>
      <c r="K49">
        <f t="shared" si="10"/>
        <v>6</v>
      </c>
      <c r="L49" s="101">
        <f t="shared" si="11"/>
        <v>2028</v>
      </c>
      <c r="M49" s="76">
        <f t="shared" si="6"/>
        <v>46905</v>
      </c>
      <c r="N49" s="77">
        <v>36.958500000000001</v>
      </c>
      <c r="O49" s="77">
        <v>41.035600000000002</v>
      </c>
      <c r="P49" s="77">
        <v>32.3444</v>
      </c>
      <c r="Q49" s="78">
        <v>44.913899999999998</v>
      </c>
      <c r="S49" s="98">
        <v>42.673104444444448</v>
      </c>
      <c r="T49" s="100">
        <f t="shared" si="12"/>
        <v>0.96162677954269082</v>
      </c>
      <c r="U49" s="100">
        <f t="shared" si="13"/>
        <v>1.0525107227310544</v>
      </c>
      <c r="AD49" s="152" t="str">
        <f t="shared" si="0"/>
        <v>Winter</v>
      </c>
      <c r="AE49">
        <f t="shared" si="1"/>
        <v>12</v>
      </c>
      <c r="AF49" s="150">
        <v>44166</v>
      </c>
      <c r="AG49" s="151">
        <v>416</v>
      </c>
      <c r="AH49" s="151">
        <v>328</v>
      </c>
      <c r="AI49">
        <f t="shared" si="2"/>
        <v>26</v>
      </c>
      <c r="AJ49">
        <f t="shared" si="3"/>
        <v>5</v>
      </c>
    </row>
    <row r="50" spans="2:36" x14ac:dyDescent="0.2">
      <c r="B50" s="80">
        <f t="shared" si="7"/>
        <v>46935</v>
      </c>
      <c r="C50" s="73">
        <v>4.5195781632653063</v>
      </c>
      <c r="D50" s="73">
        <v>4.0970611213247272</v>
      </c>
      <c r="E50" s="81">
        <f t="shared" si="4"/>
        <v>2028</v>
      </c>
      <c r="K50">
        <f t="shared" si="10"/>
        <v>7</v>
      </c>
      <c r="L50" s="101">
        <f t="shared" si="11"/>
        <v>2028</v>
      </c>
      <c r="M50" s="76">
        <f t="shared" si="6"/>
        <v>46935</v>
      </c>
      <c r="N50" s="77">
        <v>68.745400000000004</v>
      </c>
      <c r="O50" s="77">
        <v>84.674800000000005</v>
      </c>
      <c r="P50" s="77">
        <v>56.381799999999998</v>
      </c>
      <c r="Q50" s="78">
        <v>68.6875</v>
      </c>
      <c r="S50" s="98">
        <v>77.28282258064516</v>
      </c>
      <c r="T50" s="100">
        <f t="shared" si="12"/>
        <v>1.0956483882513641</v>
      </c>
      <c r="U50" s="100">
        <f t="shared" si="13"/>
        <v>0.88878094389376261</v>
      </c>
      <c r="AD50" s="152" t="str">
        <f t="shared" si="0"/>
        <v>Winter</v>
      </c>
      <c r="AE50">
        <f t="shared" si="1"/>
        <v>1</v>
      </c>
      <c r="AF50" s="150">
        <v>44197</v>
      </c>
      <c r="AG50" s="151">
        <v>400</v>
      </c>
      <c r="AH50" s="151">
        <v>344</v>
      </c>
      <c r="AI50">
        <f t="shared" si="2"/>
        <v>25</v>
      </c>
      <c r="AJ50">
        <f t="shared" si="3"/>
        <v>6</v>
      </c>
    </row>
    <row r="51" spans="2:36" x14ac:dyDescent="0.2">
      <c r="B51" s="80">
        <f t="shared" si="7"/>
        <v>46966</v>
      </c>
      <c r="C51" s="73">
        <v>4.6248842857142858</v>
      </c>
      <c r="D51" s="73">
        <v>4.258569072761194</v>
      </c>
      <c r="E51" s="81">
        <f t="shared" si="4"/>
        <v>2028</v>
      </c>
      <c r="K51">
        <f t="shared" si="10"/>
        <v>8</v>
      </c>
      <c r="L51" s="101">
        <f t="shared" si="11"/>
        <v>2028</v>
      </c>
      <c r="M51" s="76">
        <f t="shared" si="6"/>
        <v>46966</v>
      </c>
      <c r="N51" s="77">
        <v>87.346199999999996</v>
      </c>
      <c r="O51" s="77">
        <v>89.585999999999999</v>
      </c>
      <c r="P51" s="77">
        <v>57.512</v>
      </c>
      <c r="Q51" s="78">
        <v>70.484700000000004</v>
      </c>
      <c r="S51" s="98">
        <v>81.575777419354836</v>
      </c>
      <c r="T51" s="100">
        <f t="shared" si="12"/>
        <v>1.0981936407356216</v>
      </c>
      <c r="U51" s="100">
        <f t="shared" si="13"/>
        <v>0.86403957436606249</v>
      </c>
      <c r="AD51" s="152" t="str">
        <f t="shared" si="0"/>
        <v>Winter</v>
      </c>
      <c r="AE51">
        <f t="shared" si="1"/>
        <v>2</v>
      </c>
      <c r="AF51" s="150">
        <v>44228</v>
      </c>
      <c r="AG51" s="151">
        <v>384</v>
      </c>
      <c r="AH51" s="151">
        <v>288</v>
      </c>
      <c r="AI51">
        <f t="shared" si="2"/>
        <v>24</v>
      </c>
      <c r="AJ51">
        <f t="shared" si="3"/>
        <v>4</v>
      </c>
    </row>
    <row r="52" spans="2:36" x14ac:dyDescent="0.2">
      <c r="B52" s="80">
        <f t="shared" si="7"/>
        <v>46997</v>
      </c>
      <c r="C52" s="73">
        <v>4.6672312244897958</v>
      </c>
      <c r="D52" s="73">
        <v>4.2881163435457843</v>
      </c>
      <c r="E52" s="81">
        <f t="shared" si="4"/>
        <v>2028</v>
      </c>
      <c r="K52">
        <f t="shared" si="10"/>
        <v>9</v>
      </c>
      <c r="L52" s="101">
        <f t="shared" si="11"/>
        <v>2028</v>
      </c>
      <c r="M52" s="76">
        <f t="shared" si="6"/>
        <v>46997</v>
      </c>
      <c r="N52" s="77">
        <v>67.647499999999994</v>
      </c>
      <c r="O52" s="77">
        <v>63.540799999999997</v>
      </c>
      <c r="P52" s="77">
        <v>58.755099999999999</v>
      </c>
      <c r="Q52" s="78">
        <v>62.152000000000001</v>
      </c>
      <c r="S52" s="98">
        <v>62.923555555555552</v>
      </c>
      <c r="T52" s="100">
        <f t="shared" si="12"/>
        <v>1.0098094336690728</v>
      </c>
      <c r="U52" s="100">
        <f t="shared" si="13"/>
        <v>0.98773820791365896</v>
      </c>
      <c r="AD52" s="152" t="str">
        <f t="shared" si="0"/>
        <v>Winter</v>
      </c>
      <c r="AE52">
        <f t="shared" si="1"/>
        <v>3</v>
      </c>
      <c r="AF52" s="150">
        <v>44256</v>
      </c>
      <c r="AG52" s="151">
        <v>432</v>
      </c>
      <c r="AH52" s="151">
        <v>312</v>
      </c>
      <c r="AI52">
        <f t="shared" si="2"/>
        <v>27</v>
      </c>
      <c r="AJ52">
        <f t="shared" si="3"/>
        <v>4</v>
      </c>
    </row>
    <row r="53" spans="2:36" x14ac:dyDescent="0.2">
      <c r="B53" s="80">
        <f t="shared" si="7"/>
        <v>47027</v>
      </c>
      <c r="C53" s="73">
        <v>4.5318230612244905</v>
      </c>
      <c r="D53" s="73">
        <v>4.3816912654566362</v>
      </c>
      <c r="E53" s="81">
        <f t="shared" si="4"/>
        <v>2028</v>
      </c>
      <c r="K53">
        <f t="shared" si="10"/>
        <v>10</v>
      </c>
      <c r="L53" s="101">
        <f t="shared" si="11"/>
        <v>2028</v>
      </c>
      <c r="M53" s="76">
        <f t="shared" si="6"/>
        <v>47027</v>
      </c>
      <c r="N53" s="77">
        <v>58.916400000000003</v>
      </c>
      <c r="O53" s="77">
        <v>44.017800000000001</v>
      </c>
      <c r="P53" s="77">
        <v>60.281399999999998</v>
      </c>
      <c r="Q53" s="78">
        <v>54.200699999999998</v>
      </c>
      <c r="S53" s="98">
        <v>48.507035483870965</v>
      </c>
      <c r="T53" s="100">
        <f t="shared" si="12"/>
        <v>0.90745186880439899</v>
      </c>
      <c r="U53" s="100">
        <f t="shared" si="13"/>
        <v>1.117378117613933</v>
      </c>
      <c r="AD53" s="152" t="str">
        <f t="shared" si="0"/>
        <v>Winter</v>
      </c>
      <c r="AE53">
        <f t="shared" si="1"/>
        <v>4</v>
      </c>
      <c r="AF53" s="150">
        <v>44287</v>
      </c>
      <c r="AG53" s="151">
        <v>416</v>
      </c>
      <c r="AH53" s="151">
        <v>304</v>
      </c>
      <c r="AI53">
        <f t="shared" si="2"/>
        <v>26</v>
      </c>
      <c r="AJ53">
        <f t="shared" si="3"/>
        <v>4</v>
      </c>
    </row>
    <row r="54" spans="2:36" x14ac:dyDescent="0.2">
      <c r="B54" s="80">
        <f t="shared" si="7"/>
        <v>47058</v>
      </c>
      <c r="C54" s="73">
        <v>5.1804965306122455</v>
      </c>
      <c r="D54" s="73">
        <v>5.1623558528644606</v>
      </c>
      <c r="E54" s="81">
        <f t="shared" si="4"/>
        <v>2028</v>
      </c>
      <c r="K54">
        <f t="shared" si="10"/>
        <v>11</v>
      </c>
      <c r="L54" s="101">
        <f t="shared" si="11"/>
        <v>2028</v>
      </c>
      <c r="M54" s="76">
        <f t="shared" si="6"/>
        <v>47058</v>
      </c>
      <c r="N54" s="77">
        <v>65.493200000000002</v>
      </c>
      <c r="O54" s="77">
        <v>49.839300000000001</v>
      </c>
      <c r="P54" s="77">
        <v>64.492900000000006</v>
      </c>
      <c r="Q54" s="78">
        <v>55.5015</v>
      </c>
      <c r="S54" s="98">
        <v>52.360196255201103</v>
      </c>
      <c r="T54" s="100">
        <f t="shared" si="12"/>
        <v>0.9518547210382029</v>
      </c>
      <c r="U54" s="100">
        <f t="shared" si="13"/>
        <v>1.0599941170863518</v>
      </c>
      <c r="AD54" s="152" t="str">
        <f t="shared" si="0"/>
        <v>Winter</v>
      </c>
      <c r="AE54">
        <f t="shared" si="1"/>
        <v>5</v>
      </c>
      <c r="AF54" s="150">
        <v>44317</v>
      </c>
      <c r="AG54" s="151">
        <v>400</v>
      </c>
      <c r="AH54" s="151">
        <v>344</v>
      </c>
      <c r="AI54">
        <f t="shared" si="2"/>
        <v>25</v>
      </c>
      <c r="AJ54">
        <f t="shared" si="3"/>
        <v>6</v>
      </c>
    </row>
    <row r="55" spans="2:36" x14ac:dyDescent="0.2">
      <c r="B55" s="82">
        <f t="shared" si="7"/>
        <v>47088</v>
      </c>
      <c r="C55" s="83">
        <v>6.0809046938775513</v>
      </c>
      <c r="D55" s="83">
        <v>6.0752380537135942</v>
      </c>
      <c r="E55" s="84">
        <f t="shared" si="4"/>
        <v>2028</v>
      </c>
      <c r="K55">
        <f t="shared" si="10"/>
        <v>12</v>
      </c>
      <c r="L55" s="101">
        <f t="shared" si="11"/>
        <v>2028</v>
      </c>
      <c r="M55" s="85">
        <f t="shared" si="6"/>
        <v>47088</v>
      </c>
      <c r="N55" s="86">
        <v>76.572900000000004</v>
      </c>
      <c r="O55" s="86">
        <v>69.580500000000001</v>
      </c>
      <c r="P55" s="86">
        <v>74.048599999999993</v>
      </c>
      <c r="Q55" s="87">
        <v>70.363900000000001</v>
      </c>
      <c r="S55" s="98">
        <v>69.942717204301076</v>
      </c>
      <c r="T55" s="100">
        <f t="shared" si="12"/>
        <v>0.99482123059012639</v>
      </c>
      <c r="U55" s="100">
        <f t="shared" si="13"/>
        <v>1.006021824895202</v>
      </c>
      <c r="AD55" s="152" t="str">
        <f t="shared" si="0"/>
        <v>Summer</v>
      </c>
      <c r="AE55">
        <f t="shared" si="1"/>
        <v>6</v>
      </c>
      <c r="AF55" s="150">
        <v>44348</v>
      </c>
      <c r="AG55" s="151">
        <v>416</v>
      </c>
      <c r="AH55" s="151">
        <v>304</v>
      </c>
      <c r="AI55">
        <f t="shared" si="2"/>
        <v>26</v>
      </c>
      <c r="AJ55">
        <f t="shared" si="3"/>
        <v>4</v>
      </c>
    </row>
    <row r="56" spans="2:36" x14ac:dyDescent="0.2">
      <c r="B56" s="204">
        <f t="shared" si="7"/>
        <v>47119</v>
      </c>
      <c r="C56" s="73">
        <v>6.618149591836735</v>
      </c>
      <c r="D56" s="73">
        <v>6.6036460284578453</v>
      </c>
      <c r="E56" s="203">
        <f t="shared" si="4"/>
        <v>2029</v>
      </c>
      <c r="K56">
        <f t="shared" si="10"/>
        <v>1</v>
      </c>
      <c r="L56" s="101">
        <f t="shared" si="11"/>
        <v>2029</v>
      </c>
      <c r="M56" s="76">
        <f t="shared" si="6"/>
        <v>47119</v>
      </c>
      <c r="N56" s="202">
        <v>73.818299999999994</v>
      </c>
      <c r="O56" s="202">
        <v>63.856099999999998</v>
      </c>
      <c r="P56" s="202">
        <v>71.784700000000001</v>
      </c>
      <c r="Q56" s="201">
        <v>71.062200000000004</v>
      </c>
      <c r="S56" s="98">
        <v>67.032982795698928</v>
      </c>
      <c r="T56" s="100">
        <f t="shared" si="12"/>
        <v>0.95260716943804613</v>
      </c>
      <c r="U56" s="100">
        <f t="shared" si="13"/>
        <v>1.0601079802249171</v>
      </c>
      <c r="AD56" s="152" t="str">
        <f t="shared" si="0"/>
        <v>Summer</v>
      </c>
      <c r="AE56">
        <f t="shared" si="1"/>
        <v>7</v>
      </c>
      <c r="AF56" s="150">
        <v>44378</v>
      </c>
      <c r="AG56" s="151">
        <v>416</v>
      </c>
      <c r="AH56" s="151">
        <v>328</v>
      </c>
      <c r="AI56">
        <f t="shared" si="2"/>
        <v>26</v>
      </c>
      <c r="AJ56">
        <f t="shared" si="3"/>
        <v>5</v>
      </c>
    </row>
    <row r="57" spans="2:36" x14ac:dyDescent="0.2">
      <c r="B57" s="80">
        <f t="shared" si="7"/>
        <v>47150</v>
      </c>
      <c r="C57" s="73">
        <v>5.9685577551020419</v>
      </c>
      <c r="D57" s="73">
        <v>5.9252406912436459</v>
      </c>
      <c r="E57" s="81">
        <f t="shared" si="4"/>
        <v>2029</v>
      </c>
      <c r="K57">
        <f t="shared" si="10"/>
        <v>2</v>
      </c>
      <c r="L57" s="101">
        <f t="shared" si="11"/>
        <v>2029</v>
      </c>
      <c r="M57" s="76">
        <f t="shared" si="6"/>
        <v>47150</v>
      </c>
      <c r="N57" s="77">
        <v>76.971100000000007</v>
      </c>
      <c r="O57" s="77">
        <v>59.380099999999999</v>
      </c>
      <c r="P57" s="77">
        <v>75.624899999999997</v>
      </c>
      <c r="Q57" s="78">
        <v>66.683000000000007</v>
      </c>
      <c r="S57" s="98">
        <v>62.509914285714281</v>
      </c>
      <c r="T57" s="100">
        <f t="shared" si="12"/>
        <v>0.94993091381618555</v>
      </c>
      <c r="U57" s="100">
        <f t="shared" si="13"/>
        <v>1.0667587815784196</v>
      </c>
      <c r="AD57" s="152" t="str">
        <f t="shared" si="0"/>
        <v>Summer</v>
      </c>
      <c r="AE57">
        <f t="shared" si="1"/>
        <v>8</v>
      </c>
      <c r="AF57" s="150">
        <v>44409</v>
      </c>
      <c r="AG57" s="151">
        <v>416</v>
      </c>
      <c r="AH57" s="151">
        <v>328</v>
      </c>
      <c r="AI57">
        <f t="shared" si="2"/>
        <v>26</v>
      </c>
      <c r="AJ57">
        <f t="shared" si="3"/>
        <v>5</v>
      </c>
    </row>
    <row r="58" spans="2:36" x14ac:dyDescent="0.2">
      <c r="B58" s="80">
        <f t="shared" si="7"/>
        <v>47178</v>
      </c>
      <c r="C58" s="73">
        <v>4.4599863265306121</v>
      </c>
      <c r="D58" s="73">
        <v>4.2693602499173045</v>
      </c>
      <c r="E58" s="81">
        <f t="shared" si="4"/>
        <v>2029</v>
      </c>
      <c r="K58">
        <f t="shared" si="10"/>
        <v>3</v>
      </c>
      <c r="L58" s="101">
        <f t="shared" si="11"/>
        <v>2029</v>
      </c>
      <c r="M58" s="76">
        <f t="shared" si="6"/>
        <v>47178</v>
      </c>
      <c r="N58" s="77">
        <v>53.370100000000001</v>
      </c>
      <c r="O58" s="77">
        <v>35.879100000000001</v>
      </c>
      <c r="P58" s="77">
        <v>56.571599999999997</v>
      </c>
      <c r="Q58" s="78">
        <v>45.660499999999999</v>
      </c>
      <c r="S58" s="98">
        <v>39.9733333781965</v>
      </c>
      <c r="T58" s="100">
        <f t="shared" si="12"/>
        <v>0.89757588291524115</v>
      </c>
      <c r="U58" s="100">
        <f t="shared" si="13"/>
        <v>1.1422740147286683</v>
      </c>
      <c r="AD58" s="152" t="str">
        <f t="shared" si="0"/>
        <v>Summer</v>
      </c>
      <c r="AE58">
        <f t="shared" si="1"/>
        <v>9</v>
      </c>
      <c r="AF58" s="150">
        <v>44440</v>
      </c>
      <c r="AG58" s="151">
        <v>400</v>
      </c>
      <c r="AH58" s="151">
        <v>320</v>
      </c>
      <c r="AI58">
        <f t="shared" si="2"/>
        <v>25</v>
      </c>
      <c r="AJ58">
        <f t="shared" si="3"/>
        <v>5</v>
      </c>
    </row>
    <row r="59" spans="2:36" x14ac:dyDescent="0.2">
      <c r="B59" s="80">
        <f t="shared" si="7"/>
        <v>47209</v>
      </c>
      <c r="C59" s="73">
        <v>3.9152924489795917</v>
      </c>
      <c r="D59" s="73">
        <v>3.7504587883820091</v>
      </c>
      <c r="E59" s="81">
        <f t="shared" si="4"/>
        <v>2029</v>
      </c>
      <c r="K59">
        <f t="shared" si="10"/>
        <v>4</v>
      </c>
      <c r="L59" s="101">
        <f t="shared" si="11"/>
        <v>2029</v>
      </c>
      <c r="M59" s="76">
        <f t="shared" si="6"/>
        <v>47209</v>
      </c>
      <c r="N59" s="77">
        <v>40.288699999999999</v>
      </c>
      <c r="O59" s="77">
        <v>27.927600000000002</v>
      </c>
      <c r="P59" s="77">
        <v>40.493299999999998</v>
      </c>
      <c r="Q59" s="78">
        <v>34.8872</v>
      </c>
      <c r="S59" s="98">
        <v>31.020755555555557</v>
      </c>
      <c r="T59" s="100">
        <f t="shared" si="12"/>
        <v>0.90028754941136191</v>
      </c>
      <c r="U59" s="100">
        <f t="shared" si="13"/>
        <v>1.1246405632357976</v>
      </c>
      <c r="AD59" s="152" t="str">
        <f t="shared" si="0"/>
        <v>Winter</v>
      </c>
      <c r="AE59">
        <f t="shared" si="1"/>
        <v>10</v>
      </c>
      <c r="AF59" s="150">
        <v>44470</v>
      </c>
      <c r="AG59" s="151">
        <v>416</v>
      </c>
      <c r="AH59" s="151">
        <v>328</v>
      </c>
      <c r="AI59">
        <f t="shared" si="2"/>
        <v>26</v>
      </c>
      <c r="AJ59">
        <f t="shared" si="3"/>
        <v>5</v>
      </c>
    </row>
    <row r="60" spans="2:36" x14ac:dyDescent="0.2">
      <c r="B60" s="80">
        <f t="shared" si="7"/>
        <v>47239</v>
      </c>
      <c r="C60" s="73">
        <v>5.435394489795919</v>
      </c>
      <c r="D60" s="73">
        <v>5.1049056811476401</v>
      </c>
      <c r="E60" s="81">
        <f t="shared" si="4"/>
        <v>2029</v>
      </c>
      <c r="K60">
        <f t="shared" si="10"/>
        <v>5</v>
      </c>
      <c r="L60" s="101">
        <f t="shared" si="11"/>
        <v>2029</v>
      </c>
      <c r="M60" s="76">
        <f t="shared" si="6"/>
        <v>47239</v>
      </c>
      <c r="N60" s="77">
        <v>30.104700000000001</v>
      </c>
      <c r="O60" s="77">
        <v>39.962800000000001</v>
      </c>
      <c r="P60" s="77">
        <v>28.209399999999999</v>
      </c>
      <c r="Q60" s="78">
        <v>38.790799999999997</v>
      </c>
      <c r="S60" s="98">
        <v>39.44611182795699</v>
      </c>
      <c r="T60" s="100">
        <f t="shared" si="12"/>
        <v>1.0130985830567163</v>
      </c>
      <c r="U60" s="100">
        <f t="shared" si="13"/>
        <v>0.98338716295245743</v>
      </c>
      <c r="AD60" s="152" t="str">
        <f t="shared" si="0"/>
        <v>Winter</v>
      </c>
      <c r="AE60">
        <f t="shared" si="1"/>
        <v>11</v>
      </c>
      <c r="AF60" s="150">
        <v>44501</v>
      </c>
      <c r="AG60" s="151">
        <v>400</v>
      </c>
      <c r="AH60" s="151">
        <v>320</v>
      </c>
      <c r="AI60">
        <f t="shared" si="2"/>
        <v>25</v>
      </c>
      <c r="AJ60">
        <f t="shared" si="3"/>
        <v>5</v>
      </c>
    </row>
    <row r="61" spans="2:36" x14ac:dyDescent="0.2">
      <c r="B61" s="80">
        <f t="shared" si="7"/>
        <v>47270</v>
      </c>
      <c r="C61" s="73">
        <v>5.4946802040816332</v>
      </c>
      <c r="D61" s="73">
        <v>5.1160051776510684</v>
      </c>
      <c r="E61" s="81">
        <f t="shared" si="4"/>
        <v>2029</v>
      </c>
      <c r="K61">
        <f t="shared" si="10"/>
        <v>6</v>
      </c>
      <c r="L61" s="101">
        <f t="shared" si="11"/>
        <v>2029</v>
      </c>
      <c r="M61" s="76">
        <f t="shared" si="6"/>
        <v>47270</v>
      </c>
      <c r="N61" s="77">
        <v>39.110900000000001</v>
      </c>
      <c r="O61" s="77">
        <v>48.404600000000002</v>
      </c>
      <c r="P61" s="77">
        <v>37.567399999999999</v>
      </c>
      <c r="Q61" s="78">
        <v>47.626300000000001</v>
      </c>
      <c r="S61" s="98">
        <v>48.075984444444444</v>
      </c>
      <c r="T61" s="100">
        <f t="shared" si="12"/>
        <v>1.0068353370056373</v>
      </c>
      <c r="U61" s="100">
        <f t="shared" si="13"/>
        <v>0.99064638093965418</v>
      </c>
      <c r="AD61" s="152" t="str">
        <f t="shared" si="0"/>
        <v>Winter</v>
      </c>
      <c r="AE61">
        <f t="shared" si="1"/>
        <v>12</v>
      </c>
      <c r="AF61" s="150">
        <v>44531</v>
      </c>
      <c r="AG61" s="151">
        <v>416</v>
      </c>
      <c r="AH61" s="151">
        <v>328</v>
      </c>
      <c r="AI61">
        <f t="shared" si="2"/>
        <v>26</v>
      </c>
      <c r="AJ61">
        <f t="shared" si="3"/>
        <v>5</v>
      </c>
    </row>
    <row r="62" spans="2:36" x14ac:dyDescent="0.2">
      <c r="B62" s="80">
        <f t="shared" si="7"/>
        <v>47300</v>
      </c>
      <c r="C62" s="73">
        <v>5.697231224489796</v>
      </c>
      <c r="D62" s="73">
        <v>5.2614291364691406</v>
      </c>
      <c r="E62" s="81">
        <f t="shared" si="4"/>
        <v>2029</v>
      </c>
      <c r="K62">
        <f t="shared" si="10"/>
        <v>7</v>
      </c>
      <c r="L62" s="101">
        <f t="shared" si="11"/>
        <v>2029</v>
      </c>
      <c r="M62" s="76">
        <f t="shared" si="6"/>
        <v>47300</v>
      </c>
      <c r="N62" s="77">
        <v>66.251300000000001</v>
      </c>
      <c r="O62" s="77">
        <v>71.444500000000005</v>
      </c>
      <c r="P62" s="77">
        <v>62.6599</v>
      </c>
      <c r="Q62" s="78">
        <v>70.587000000000003</v>
      </c>
      <c r="S62" s="98">
        <v>71.048021505376354</v>
      </c>
      <c r="T62" s="100">
        <f t="shared" si="12"/>
        <v>1.00558042977444</v>
      </c>
      <c r="U62" s="100">
        <f t="shared" si="13"/>
        <v>0.99351112816925569</v>
      </c>
      <c r="AD62" s="152" t="str">
        <f t="shared" si="0"/>
        <v>Winter</v>
      </c>
      <c r="AE62">
        <f t="shared" si="1"/>
        <v>1</v>
      </c>
      <c r="AF62" s="150">
        <v>44562</v>
      </c>
      <c r="AG62" s="151">
        <v>400</v>
      </c>
      <c r="AH62" s="151">
        <v>344</v>
      </c>
      <c r="AI62">
        <f t="shared" si="2"/>
        <v>25</v>
      </c>
      <c r="AJ62">
        <f t="shared" si="3"/>
        <v>6</v>
      </c>
    </row>
    <row r="63" spans="2:36" x14ac:dyDescent="0.2">
      <c r="B63" s="80">
        <f t="shared" si="7"/>
        <v>47331</v>
      </c>
      <c r="C63" s="73">
        <v>5.8593740816326534</v>
      </c>
      <c r="D63" s="73">
        <v>5.5221131446260587</v>
      </c>
      <c r="E63" s="81">
        <f t="shared" si="4"/>
        <v>2029</v>
      </c>
      <c r="K63">
        <f t="shared" si="10"/>
        <v>8</v>
      </c>
      <c r="L63" s="101">
        <f t="shared" si="11"/>
        <v>2029</v>
      </c>
      <c r="M63" s="76">
        <f t="shared" si="6"/>
        <v>47331</v>
      </c>
      <c r="N63" s="77">
        <v>73.774199999999993</v>
      </c>
      <c r="O63" s="77">
        <v>74.226200000000006</v>
      </c>
      <c r="P63" s="77">
        <v>65.575699999999998</v>
      </c>
      <c r="Q63" s="78">
        <v>69.414699999999996</v>
      </c>
      <c r="S63" s="98">
        <v>72.208474193548383</v>
      </c>
      <c r="T63" s="100">
        <f t="shared" si="12"/>
        <v>1.0279430611017106</v>
      </c>
      <c r="U63" s="100">
        <f t="shared" si="13"/>
        <v>0.96130960770532381</v>
      </c>
      <c r="AD63" s="152" t="str">
        <f t="shared" si="0"/>
        <v>Winter</v>
      </c>
      <c r="AE63">
        <f t="shared" si="1"/>
        <v>2</v>
      </c>
      <c r="AF63" s="150">
        <v>44593</v>
      </c>
      <c r="AG63" s="151">
        <v>384</v>
      </c>
      <c r="AH63" s="151">
        <v>288</v>
      </c>
      <c r="AI63">
        <f t="shared" si="2"/>
        <v>24</v>
      </c>
      <c r="AJ63">
        <f t="shared" si="3"/>
        <v>4</v>
      </c>
    </row>
    <row r="64" spans="2:36" x14ac:dyDescent="0.2">
      <c r="B64" s="80">
        <f t="shared" si="7"/>
        <v>47362</v>
      </c>
      <c r="C64" s="73">
        <v>6.0041700000000002</v>
      </c>
      <c r="D64" s="73">
        <v>5.6128618058531661</v>
      </c>
      <c r="E64" s="81">
        <f t="shared" si="4"/>
        <v>2029</v>
      </c>
      <c r="K64">
        <f t="shared" si="10"/>
        <v>9</v>
      </c>
      <c r="L64" s="101">
        <f t="shared" si="11"/>
        <v>2029</v>
      </c>
      <c r="M64" s="76">
        <f t="shared" si="6"/>
        <v>47362</v>
      </c>
      <c r="N64" s="77">
        <v>60.294600000000003</v>
      </c>
      <c r="O64" s="77">
        <v>62.241399999999999</v>
      </c>
      <c r="P64" s="77">
        <v>60.779200000000003</v>
      </c>
      <c r="Q64" s="78">
        <v>64.620699999999999</v>
      </c>
      <c r="S64" s="98">
        <v>63.351739999999999</v>
      </c>
      <c r="T64" s="100">
        <f t="shared" si="12"/>
        <v>0.98247340957012386</v>
      </c>
      <c r="U64" s="100">
        <f t="shared" si="13"/>
        <v>1.0200303890627156</v>
      </c>
      <c r="AD64" s="152" t="str">
        <f t="shared" si="0"/>
        <v>Winter</v>
      </c>
      <c r="AE64">
        <f t="shared" si="1"/>
        <v>3</v>
      </c>
      <c r="AF64" s="150">
        <v>44621</v>
      </c>
      <c r="AG64" s="151">
        <v>432</v>
      </c>
      <c r="AH64" s="151">
        <v>312</v>
      </c>
      <c r="AI64">
        <f t="shared" si="2"/>
        <v>27</v>
      </c>
      <c r="AJ64">
        <f t="shared" si="3"/>
        <v>4</v>
      </c>
    </row>
    <row r="65" spans="2:36" x14ac:dyDescent="0.2">
      <c r="B65" s="80">
        <f t="shared" si="7"/>
        <v>47392</v>
      </c>
      <c r="C65" s="73">
        <v>6.0696802040816333</v>
      </c>
      <c r="D65" s="73">
        <v>5.9350041372420321</v>
      </c>
      <c r="E65" s="81">
        <f t="shared" si="4"/>
        <v>2029</v>
      </c>
      <c r="K65">
        <f t="shared" si="10"/>
        <v>10</v>
      </c>
      <c r="L65" s="101">
        <f t="shared" si="11"/>
        <v>2029</v>
      </c>
      <c r="M65" s="76">
        <f t="shared" si="6"/>
        <v>47392</v>
      </c>
      <c r="N65" s="77">
        <v>57.935499999999998</v>
      </c>
      <c r="O65" s="77">
        <v>55.180799999999998</v>
      </c>
      <c r="P65" s="77">
        <v>61.789700000000003</v>
      </c>
      <c r="Q65" s="78">
        <v>61.392400000000002</v>
      </c>
      <c r="S65" s="98">
        <v>57.785664516129032</v>
      </c>
      <c r="T65" s="100">
        <f t="shared" si="12"/>
        <v>0.95492195966004734</v>
      </c>
      <c r="U65" s="100">
        <f t="shared" si="13"/>
        <v>1.0624157481630114</v>
      </c>
      <c r="AD65" s="152" t="str">
        <f t="shared" si="0"/>
        <v>Winter</v>
      </c>
      <c r="AE65">
        <f t="shared" si="1"/>
        <v>4</v>
      </c>
      <c r="AF65" s="150">
        <v>44652</v>
      </c>
      <c r="AG65" s="151">
        <v>416</v>
      </c>
      <c r="AH65" s="151">
        <v>304</v>
      </c>
      <c r="AI65">
        <f t="shared" si="2"/>
        <v>26</v>
      </c>
      <c r="AJ65">
        <f t="shared" si="3"/>
        <v>4</v>
      </c>
    </row>
    <row r="66" spans="2:36" x14ac:dyDescent="0.2">
      <c r="B66" s="80">
        <f t="shared" si="7"/>
        <v>47423</v>
      </c>
      <c r="C66" s="73">
        <v>6.3925373469387763</v>
      </c>
      <c r="D66" s="73">
        <v>6.3593543322666388</v>
      </c>
      <c r="E66" s="81">
        <f t="shared" si="4"/>
        <v>2029</v>
      </c>
      <c r="K66">
        <f t="shared" si="10"/>
        <v>11</v>
      </c>
      <c r="L66" s="101">
        <f t="shared" si="11"/>
        <v>2029</v>
      </c>
      <c r="M66" s="76">
        <f t="shared" si="6"/>
        <v>47423</v>
      </c>
      <c r="N66" s="77">
        <v>64.993899999999996</v>
      </c>
      <c r="O66" s="77">
        <v>63.860999999999997</v>
      </c>
      <c r="P66" s="77">
        <v>64.792400000000001</v>
      </c>
      <c r="Q66" s="78">
        <v>62.567100000000003</v>
      </c>
      <c r="S66" s="98">
        <v>63.284936338418859</v>
      </c>
      <c r="T66" s="100">
        <f t="shared" si="12"/>
        <v>1.009102697970661</v>
      </c>
      <c r="U66" s="100">
        <f t="shared" si="13"/>
        <v>0.98865707417986182</v>
      </c>
      <c r="AD66" s="152" t="str">
        <f t="shared" ref="AD66:AD129" si="16">IF(AND(AE66&gt;=6,AE66&lt;=9),"Summer","Winter")</f>
        <v>Winter</v>
      </c>
      <c r="AE66">
        <f t="shared" ref="AE66:AE129" si="17">MONTH(AF66)</f>
        <v>5</v>
      </c>
      <c r="AF66" s="150">
        <v>44682</v>
      </c>
      <c r="AG66" s="151">
        <v>400</v>
      </c>
      <c r="AH66" s="151">
        <v>344</v>
      </c>
      <c r="AI66">
        <f t="shared" ref="AI66:AI129" si="18">AG66/16</f>
        <v>25</v>
      </c>
      <c r="AJ66">
        <f t="shared" ref="AJ66:AJ129" si="19">EDATE(AF66,1)-AF66-AI66</f>
        <v>6</v>
      </c>
    </row>
    <row r="67" spans="2:36" x14ac:dyDescent="0.2">
      <c r="B67" s="82">
        <f t="shared" si="7"/>
        <v>47453</v>
      </c>
      <c r="C67" s="83">
        <v>6.6316189795918374</v>
      </c>
      <c r="D67" s="83">
        <v>6.5448084196780956</v>
      </c>
      <c r="E67" s="84">
        <f t="shared" si="4"/>
        <v>2029</v>
      </c>
      <c r="K67">
        <f t="shared" si="10"/>
        <v>12</v>
      </c>
      <c r="L67" s="101">
        <f t="shared" si="11"/>
        <v>2029</v>
      </c>
      <c r="M67" s="85">
        <f t="shared" si="6"/>
        <v>47453</v>
      </c>
      <c r="N67" s="86">
        <v>75.847700000000003</v>
      </c>
      <c r="O67" s="86">
        <v>70.021100000000004</v>
      </c>
      <c r="P67" s="86">
        <v>76.513900000000007</v>
      </c>
      <c r="Q67" s="87">
        <v>73.839600000000004</v>
      </c>
      <c r="S67" s="98">
        <v>71.786643010752698</v>
      </c>
      <c r="T67" s="100">
        <f t="shared" si="12"/>
        <v>0.97540568918248149</v>
      </c>
      <c r="U67" s="100">
        <f t="shared" si="13"/>
        <v>1.0285980358343236</v>
      </c>
      <c r="AD67" s="152" t="str">
        <f t="shared" si="16"/>
        <v>Summer</v>
      </c>
      <c r="AE67">
        <f t="shared" si="17"/>
        <v>6</v>
      </c>
      <c r="AF67" s="150">
        <v>44713</v>
      </c>
      <c r="AG67" s="151">
        <v>416</v>
      </c>
      <c r="AH67" s="151">
        <v>304</v>
      </c>
      <c r="AI67">
        <f t="shared" si="18"/>
        <v>26</v>
      </c>
      <c r="AJ67">
        <f t="shared" si="19"/>
        <v>4</v>
      </c>
    </row>
    <row r="68" spans="2:36" x14ac:dyDescent="0.2">
      <c r="B68" s="204">
        <f t="shared" si="7"/>
        <v>47484</v>
      </c>
      <c r="C68" s="73">
        <v>7.3774353061224494</v>
      </c>
      <c r="D68" s="73">
        <v>7.3131402331932227</v>
      </c>
      <c r="E68" s="203">
        <f t="shared" si="4"/>
        <v>2030</v>
      </c>
      <c r="K68">
        <f t="shared" si="10"/>
        <v>1</v>
      </c>
      <c r="L68" s="101">
        <f t="shared" si="11"/>
        <v>2030</v>
      </c>
      <c r="M68" s="76">
        <f t="shared" si="6"/>
        <v>47484</v>
      </c>
      <c r="N68" s="202">
        <v>74.486500000000007</v>
      </c>
      <c r="O68" s="202">
        <v>70.352199999999996</v>
      </c>
      <c r="P68" s="202">
        <v>69.619399999999999</v>
      </c>
      <c r="Q68" s="201">
        <v>70.1053</v>
      </c>
      <c r="S68" s="98">
        <v>70.243351612903226</v>
      </c>
      <c r="T68" s="100">
        <f t="shared" si="12"/>
        <v>1.0015495898842728</v>
      </c>
      <c r="U68" s="100">
        <f t="shared" si="13"/>
        <v>0.99803466648823935</v>
      </c>
      <c r="AD68" s="152" t="str">
        <f t="shared" si="16"/>
        <v>Summer</v>
      </c>
      <c r="AE68">
        <f t="shared" si="17"/>
        <v>7</v>
      </c>
      <c r="AF68" s="150">
        <v>44743</v>
      </c>
      <c r="AG68" s="151">
        <v>400</v>
      </c>
      <c r="AH68" s="151">
        <v>344</v>
      </c>
      <c r="AI68">
        <f t="shared" si="18"/>
        <v>25</v>
      </c>
      <c r="AJ68">
        <f t="shared" si="19"/>
        <v>6</v>
      </c>
    </row>
    <row r="69" spans="2:36" x14ac:dyDescent="0.2">
      <c r="B69" s="80">
        <f t="shared" si="7"/>
        <v>47515</v>
      </c>
      <c r="C69" s="73">
        <v>6.8269251020408168</v>
      </c>
      <c r="D69" s="73">
        <v>6.7993774274465508</v>
      </c>
      <c r="E69" s="81">
        <f t="shared" si="4"/>
        <v>2030</v>
      </c>
      <c r="K69">
        <f t="shared" si="10"/>
        <v>2</v>
      </c>
      <c r="L69" s="101">
        <f t="shared" si="11"/>
        <v>2030</v>
      </c>
      <c r="M69" s="76">
        <f t="shared" si="6"/>
        <v>47515</v>
      </c>
      <c r="N69" s="77">
        <v>90.210700000000003</v>
      </c>
      <c r="O69" s="77">
        <v>75.349999999999994</v>
      </c>
      <c r="P69" s="77">
        <v>84.996499999999997</v>
      </c>
      <c r="Q69" s="78">
        <v>76.951700000000002</v>
      </c>
      <c r="S69" s="98">
        <v>76.036442857142859</v>
      </c>
      <c r="T69" s="100">
        <f t="shared" si="12"/>
        <v>0.99097218608144844</v>
      </c>
      <c r="U69" s="100">
        <f t="shared" si="13"/>
        <v>1.0120370852247353</v>
      </c>
      <c r="AD69" s="152" t="str">
        <f t="shared" si="16"/>
        <v>Summer</v>
      </c>
      <c r="AE69">
        <f t="shared" si="17"/>
        <v>8</v>
      </c>
      <c r="AF69" s="150">
        <v>44774</v>
      </c>
      <c r="AG69" s="151">
        <v>432</v>
      </c>
      <c r="AH69" s="151">
        <v>312</v>
      </c>
      <c r="AI69">
        <f t="shared" si="18"/>
        <v>27</v>
      </c>
      <c r="AJ69">
        <f t="shared" si="19"/>
        <v>4</v>
      </c>
    </row>
    <row r="70" spans="2:36" x14ac:dyDescent="0.2">
      <c r="B70" s="80">
        <f t="shared" si="7"/>
        <v>47543</v>
      </c>
      <c r="C70" s="73">
        <v>5.678557755102041</v>
      </c>
      <c r="D70" s="73">
        <v>5.5433357930330773</v>
      </c>
      <c r="E70" s="81">
        <f t="shared" si="4"/>
        <v>2030</v>
      </c>
      <c r="K70">
        <f t="shared" si="10"/>
        <v>3</v>
      </c>
      <c r="L70" s="101">
        <f t="shared" si="11"/>
        <v>2030</v>
      </c>
      <c r="M70" s="76">
        <f t="shared" si="6"/>
        <v>47543</v>
      </c>
      <c r="N70" s="77">
        <v>53.664900000000003</v>
      </c>
      <c r="O70" s="77">
        <v>48.661999999999999</v>
      </c>
      <c r="P70" s="77">
        <v>55.127699999999997</v>
      </c>
      <c r="Q70" s="78">
        <v>52.551299999999998</v>
      </c>
      <c r="S70" s="98">
        <v>50.373710767160162</v>
      </c>
      <c r="T70" s="100">
        <f t="shared" si="12"/>
        <v>0.96601976028583403</v>
      </c>
      <c r="U70" s="100">
        <f t="shared" si="13"/>
        <v>1.0432286841623639</v>
      </c>
      <c r="AD70" s="152" t="str">
        <f t="shared" si="16"/>
        <v>Summer</v>
      </c>
      <c r="AE70">
        <f t="shared" si="17"/>
        <v>9</v>
      </c>
      <c r="AF70" s="150">
        <v>44805</v>
      </c>
      <c r="AG70" s="151">
        <v>400</v>
      </c>
      <c r="AH70" s="151">
        <v>320</v>
      </c>
      <c r="AI70">
        <f t="shared" si="18"/>
        <v>25</v>
      </c>
      <c r="AJ70">
        <f t="shared" si="19"/>
        <v>5</v>
      </c>
    </row>
    <row r="71" spans="2:36" x14ac:dyDescent="0.2">
      <c r="B71" s="80">
        <f t="shared" si="7"/>
        <v>47574</v>
      </c>
      <c r="C71" s="73">
        <v>5.3696802040816332</v>
      </c>
      <c r="D71" s="73">
        <v>5.1607114830121015</v>
      </c>
      <c r="E71" s="81">
        <f t="shared" si="4"/>
        <v>2030</v>
      </c>
      <c r="K71">
        <f t="shared" si="10"/>
        <v>4</v>
      </c>
      <c r="L71" s="101">
        <f t="shared" si="11"/>
        <v>2030</v>
      </c>
      <c r="M71" s="76">
        <f t="shared" si="6"/>
        <v>47574</v>
      </c>
      <c r="N71" s="77">
        <v>38.650399999999998</v>
      </c>
      <c r="O71" s="77">
        <v>37.7348</v>
      </c>
      <c r="P71" s="77">
        <v>40.856400000000001</v>
      </c>
      <c r="Q71" s="78">
        <v>39.5458</v>
      </c>
      <c r="S71" s="98">
        <v>38.49944444444445</v>
      </c>
      <c r="T71" s="100">
        <f t="shared" si="12"/>
        <v>0.98013881874197306</v>
      </c>
      <c r="U71" s="100">
        <f t="shared" si="13"/>
        <v>1.0271784585636154</v>
      </c>
      <c r="AD71" s="152" t="str">
        <f t="shared" si="16"/>
        <v>Winter</v>
      </c>
      <c r="AE71">
        <f t="shared" si="17"/>
        <v>10</v>
      </c>
      <c r="AF71" s="150">
        <v>44835</v>
      </c>
      <c r="AG71" s="151">
        <v>416</v>
      </c>
      <c r="AH71" s="151">
        <v>328</v>
      </c>
      <c r="AI71">
        <f t="shared" si="18"/>
        <v>26</v>
      </c>
      <c r="AJ71">
        <f t="shared" si="19"/>
        <v>5</v>
      </c>
    </row>
    <row r="72" spans="2:36" x14ac:dyDescent="0.2">
      <c r="B72" s="80">
        <f t="shared" si="7"/>
        <v>47604</v>
      </c>
      <c r="C72" s="73">
        <v>5.3851904081632656</v>
      </c>
      <c r="D72" s="73">
        <v>4.9905192032928598</v>
      </c>
      <c r="E72" s="81">
        <f t="shared" ref="E72:E135" si="20">YEAR(B72)</f>
        <v>2030</v>
      </c>
      <c r="K72">
        <f t="shared" si="10"/>
        <v>5</v>
      </c>
      <c r="L72" s="101">
        <f t="shared" si="11"/>
        <v>2030</v>
      </c>
      <c r="M72" s="76">
        <f t="shared" ref="M72:M135" si="21">B72</f>
        <v>47604</v>
      </c>
      <c r="N72" s="77">
        <v>29.677499999999998</v>
      </c>
      <c r="O72" s="77">
        <v>37.781799999999997</v>
      </c>
      <c r="P72" s="77">
        <v>27.393799999999999</v>
      </c>
      <c r="Q72" s="78">
        <v>37.061900000000001</v>
      </c>
      <c r="S72" s="98">
        <v>37.464424731182795</v>
      </c>
      <c r="T72" s="100">
        <f t="shared" si="12"/>
        <v>1.0084713770755711</v>
      </c>
      <c r="U72" s="100">
        <f t="shared" si="13"/>
        <v>0.98925581444073907</v>
      </c>
      <c r="AD72" s="152" t="str">
        <f t="shared" si="16"/>
        <v>Winter</v>
      </c>
      <c r="AE72">
        <f t="shared" si="17"/>
        <v>11</v>
      </c>
      <c r="AF72" s="150">
        <v>44866</v>
      </c>
      <c r="AG72" s="151">
        <v>400</v>
      </c>
      <c r="AH72" s="151">
        <v>320</v>
      </c>
      <c r="AI72">
        <f t="shared" si="18"/>
        <v>25</v>
      </c>
      <c r="AJ72">
        <f t="shared" si="19"/>
        <v>5</v>
      </c>
    </row>
    <row r="73" spans="2:36" x14ac:dyDescent="0.2">
      <c r="B73" s="80">
        <f t="shared" ref="B73:B136" si="22">EDATE(B72,1)</f>
        <v>47635</v>
      </c>
      <c r="C73" s="73">
        <v>5.4336597959183672</v>
      </c>
      <c r="D73" s="73">
        <v>5.0087614313424762</v>
      </c>
      <c r="E73" s="81">
        <f t="shared" si="20"/>
        <v>2030</v>
      </c>
      <c r="K73">
        <f t="shared" ref="K73:K136" si="23">MONTH(M73)</f>
        <v>6</v>
      </c>
      <c r="L73" s="101">
        <f t="shared" ref="L73:L136" si="24">YEAR(M73)</f>
        <v>2030</v>
      </c>
      <c r="M73" s="76">
        <f t="shared" si="21"/>
        <v>47635</v>
      </c>
      <c r="N73" s="77">
        <v>39.549700000000001</v>
      </c>
      <c r="O73" s="77">
        <v>47.033900000000003</v>
      </c>
      <c r="P73" s="77">
        <v>36.735300000000002</v>
      </c>
      <c r="Q73" s="78">
        <v>45.907200000000003</v>
      </c>
      <c r="S73" s="98">
        <v>46.533144444444446</v>
      </c>
      <c r="T73" s="100">
        <f t="shared" ref="T73:T136" si="25">O73/S73</f>
        <v>1.0107612662229049</v>
      </c>
      <c r="U73" s="100">
        <f t="shared" ref="U73:U136" si="26">Q73/S73</f>
        <v>0.98654841722136888</v>
      </c>
      <c r="AD73" s="152" t="str">
        <f t="shared" si="16"/>
        <v>Winter</v>
      </c>
      <c r="AE73">
        <f t="shared" si="17"/>
        <v>12</v>
      </c>
      <c r="AF73" s="150">
        <v>44896</v>
      </c>
      <c r="AG73" s="151">
        <v>416</v>
      </c>
      <c r="AH73" s="151">
        <v>328</v>
      </c>
      <c r="AI73">
        <f t="shared" si="18"/>
        <v>26</v>
      </c>
      <c r="AJ73">
        <f t="shared" si="19"/>
        <v>5</v>
      </c>
    </row>
    <row r="74" spans="2:36" x14ac:dyDescent="0.2">
      <c r="B74" s="80">
        <f t="shared" si="22"/>
        <v>47665</v>
      </c>
      <c r="C74" s="73">
        <v>5.5746802040816332</v>
      </c>
      <c r="D74" s="73">
        <v>5.0908257642868087</v>
      </c>
      <c r="E74" s="81">
        <f t="shared" si="20"/>
        <v>2030</v>
      </c>
      <c r="K74">
        <f t="shared" si="23"/>
        <v>7</v>
      </c>
      <c r="L74" s="101">
        <f t="shared" si="24"/>
        <v>2030</v>
      </c>
      <c r="M74" s="76">
        <f t="shared" si="21"/>
        <v>47665</v>
      </c>
      <c r="N74" s="77">
        <v>61.445999999999998</v>
      </c>
      <c r="O74" s="77">
        <v>63.689399999999999</v>
      </c>
      <c r="P74" s="77">
        <v>59.797600000000003</v>
      </c>
      <c r="Q74" s="78">
        <v>64.483000000000004</v>
      </c>
      <c r="S74" s="98">
        <v>64.039266666666663</v>
      </c>
      <c r="T74" s="100">
        <f t="shared" si="25"/>
        <v>0.9945366853045372</v>
      </c>
      <c r="U74" s="100">
        <f t="shared" si="26"/>
        <v>1.0069290820527823</v>
      </c>
      <c r="AD74" s="152" t="str">
        <f t="shared" si="16"/>
        <v>Winter</v>
      </c>
      <c r="AE74">
        <f t="shared" si="17"/>
        <v>1</v>
      </c>
      <c r="AF74" s="150">
        <v>44927</v>
      </c>
      <c r="AG74" s="151">
        <v>400</v>
      </c>
      <c r="AH74" s="151">
        <v>344</v>
      </c>
      <c r="AI74">
        <f t="shared" si="18"/>
        <v>25</v>
      </c>
      <c r="AJ74">
        <f t="shared" si="19"/>
        <v>6</v>
      </c>
    </row>
    <row r="75" spans="2:36" x14ac:dyDescent="0.2">
      <c r="B75" s="80">
        <f t="shared" si="22"/>
        <v>47696</v>
      </c>
      <c r="C75" s="73">
        <v>5.715292448979592</v>
      </c>
      <c r="D75" s="73">
        <v>5.3818278415966114</v>
      </c>
      <c r="E75" s="81">
        <f t="shared" si="20"/>
        <v>2030</v>
      </c>
      <c r="K75">
        <f t="shared" si="23"/>
        <v>8</v>
      </c>
      <c r="L75" s="101">
        <f t="shared" si="24"/>
        <v>2030</v>
      </c>
      <c r="M75" s="76">
        <f t="shared" si="21"/>
        <v>47696</v>
      </c>
      <c r="N75" s="77">
        <v>69.998699999999999</v>
      </c>
      <c r="O75" s="77">
        <v>67.114500000000007</v>
      </c>
      <c r="P75" s="77">
        <v>61.143000000000001</v>
      </c>
      <c r="Q75" s="78">
        <v>63.756100000000004</v>
      </c>
      <c r="S75" s="98">
        <v>65.706138709677433</v>
      </c>
      <c r="T75" s="100">
        <f t="shared" si="25"/>
        <v>1.0214342421877112</v>
      </c>
      <c r="U75" s="100">
        <f t="shared" si="26"/>
        <v>0.97032181850932264</v>
      </c>
      <c r="AD75" s="152" t="str">
        <f t="shared" si="16"/>
        <v>Winter</v>
      </c>
      <c r="AE75">
        <f t="shared" si="17"/>
        <v>2</v>
      </c>
      <c r="AF75" s="150">
        <v>44958</v>
      </c>
      <c r="AG75" s="151">
        <v>384</v>
      </c>
      <c r="AH75" s="151">
        <v>288</v>
      </c>
      <c r="AI75">
        <f t="shared" si="18"/>
        <v>24</v>
      </c>
      <c r="AJ75">
        <f t="shared" si="19"/>
        <v>4</v>
      </c>
    </row>
    <row r="76" spans="2:36" x14ac:dyDescent="0.2">
      <c r="B76" s="80">
        <f t="shared" si="22"/>
        <v>47727</v>
      </c>
      <c r="C76" s="73">
        <v>5.8327414285714285</v>
      </c>
      <c r="D76" s="73">
        <v>5.4204191465691807</v>
      </c>
      <c r="E76" s="81">
        <f t="shared" si="20"/>
        <v>2030</v>
      </c>
      <c r="K76">
        <f t="shared" si="23"/>
        <v>9</v>
      </c>
      <c r="L76" s="101">
        <f t="shared" si="24"/>
        <v>2030</v>
      </c>
      <c r="M76" s="76">
        <f t="shared" si="21"/>
        <v>47727</v>
      </c>
      <c r="N76" s="77">
        <v>59.288600000000002</v>
      </c>
      <c r="O76" s="77">
        <v>57.703099999999999</v>
      </c>
      <c r="P76" s="77">
        <v>57.581400000000002</v>
      </c>
      <c r="Q76" s="78">
        <v>59.639200000000002</v>
      </c>
      <c r="S76" s="98">
        <v>58.606613333333328</v>
      </c>
      <c r="T76" s="100">
        <f t="shared" si="25"/>
        <v>0.9845834235772255</v>
      </c>
      <c r="U76" s="100">
        <f t="shared" si="26"/>
        <v>1.0176189444831711</v>
      </c>
      <c r="AD76" s="152" t="str">
        <f t="shared" si="16"/>
        <v>Winter</v>
      </c>
      <c r="AE76">
        <f t="shared" si="17"/>
        <v>3</v>
      </c>
      <c r="AF76" s="150">
        <v>44986</v>
      </c>
      <c r="AG76" s="151">
        <v>432</v>
      </c>
      <c r="AH76" s="151">
        <v>312</v>
      </c>
      <c r="AI76">
        <f t="shared" si="18"/>
        <v>27</v>
      </c>
      <c r="AJ76">
        <f t="shared" si="19"/>
        <v>4</v>
      </c>
    </row>
    <row r="77" spans="2:36" x14ac:dyDescent="0.2">
      <c r="B77" s="80">
        <f t="shared" si="22"/>
        <v>47757</v>
      </c>
      <c r="C77" s="73">
        <v>5.9376393877551026</v>
      </c>
      <c r="D77" s="73">
        <v>5.7374742087273098</v>
      </c>
      <c r="E77" s="81">
        <f t="shared" si="20"/>
        <v>2030</v>
      </c>
      <c r="K77">
        <f t="shared" si="23"/>
        <v>10</v>
      </c>
      <c r="L77" s="101">
        <f t="shared" si="24"/>
        <v>2030</v>
      </c>
      <c r="M77" s="76">
        <f t="shared" si="21"/>
        <v>47757</v>
      </c>
      <c r="N77" s="77">
        <v>55.677500000000002</v>
      </c>
      <c r="O77" s="77">
        <v>52.322499999999998</v>
      </c>
      <c r="P77" s="77">
        <v>58.688000000000002</v>
      </c>
      <c r="Q77" s="78">
        <v>55.9285</v>
      </c>
      <c r="S77" s="98">
        <v>53.834693548387094</v>
      </c>
      <c r="T77" s="100">
        <f t="shared" si="25"/>
        <v>0.97191042711094988</v>
      </c>
      <c r="U77" s="100">
        <f t="shared" si="26"/>
        <v>1.038893254769454</v>
      </c>
      <c r="AD77" s="152" t="str">
        <f t="shared" si="16"/>
        <v>Winter</v>
      </c>
      <c r="AE77">
        <f t="shared" si="17"/>
        <v>4</v>
      </c>
      <c r="AF77" s="150">
        <v>45017</v>
      </c>
      <c r="AG77" s="151">
        <v>400</v>
      </c>
      <c r="AH77" s="151">
        <v>320</v>
      </c>
      <c r="AI77">
        <f t="shared" si="18"/>
        <v>25</v>
      </c>
      <c r="AJ77">
        <f t="shared" si="19"/>
        <v>5</v>
      </c>
    </row>
    <row r="78" spans="2:36" x14ac:dyDescent="0.2">
      <c r="B78" s="80">
        <f t="shared" si="22"/>
        <v>47788</v>
      </c>
      <c r="C78" s="73">
        <v>6.2324353061224489</v>
      </c>
      <c r="D78" s="73">
        <v>6.2063765494392893</v>
      </c>
      <c r="E78" s="81">
        <f t="shared" si="20"/>
        <v>2030</v>
      </c>
      <c r="K78">
        <f t="shared" si="23"/>
        <v>11</v>
      </c>
      <c r="L78" s="101">
        <f t="shared" si="24"/>
        <v>2030</v>
      </c>
      <c r="M78" s="76">
        <f t="shared" si="21"/>
        <v>47788</v>
      </c>
      <c r="N78" s="77">
        <v>66.475200000000001</v>
      </c>
      <c r="O78" s="77">
        <v>62.741100000000003</v>
      </c>
      <c r="P78" s="77">
        <v>65.293300000000002</v>
      </c>
      <c r="Q78" s="78">
        <v>62.591999999999999</v>
      </c>
      <c r="S78" s="98">
        <v>62.674718446601936</v>
      </c>
      <c r="T78" s="100">
        <f t="shared" si="25"/>
        <v>1.0010591440223959</v>
      </c>
      <c r="U78" s="100">
        <f t="shared" si="26"/>
        <v>0.99868019436461586</v>
      </c>
      <c r="AD78" s="152" t="str">
        <f t="shared" si="16"/>
        <v>Winter</v>
      </c>
      <c r="AE78">
        <f t="shared" si="17"/>
        <v>5</v>
      </c>
      <c r="AF78" s="150">
        <v>45047</v>
      </c>
      <c r="AG78" s="151">
        <v>416</v>
      </c>
      <c r="AH78" s="151">
        <v>328</v>
      </c>
      <c r="AI78">
        <f t="shared" si="18"/>
        <v>26</v>
      </c>
      <c r="AJ78">
        <f t="shared" si="19"/>
        <v>5</v>
      </c>
    </row>
    <row r="79" spans="2:36" x14ac:dyDescent="0.2">
      <c r="B79" s="82">
        <f t="shared" si="22"/>
        <v>47818</v>
      </c>
      <c r="C79" s="83">
        <v>6.487537346938776</v>
      </c>
      <c r="D79" s="83">
        <v>6.4046772763223077</v>
      </c>
      <c r="E79" s="84">
        <f t="shared" si="20"/>
        <v>2030</v>
      </c>
      <c r="K79">
        <f t="shared" si="23"/>
        <v>12</v>
      </c>
      <c r="L79" s="101">
        <f t="shared" si="24"/>
        <v>2030</v>
      </c>
      <c r="M79" s="85">
        <f t="shared" si="21"/>
        <v>47818</v>
      </c>
      <c r="N79" s="86">
        <v>76.353200000000001</v>
      </c>
      <c r="O79" s="86">
        <v>68.504499999999993</v>
      </c>
      <c r="P79" s="86">
        <v>75.637</v>
      </c>
      <c r="Q79" s="87">
        <v>70.965299999999999</v>
      </c>
      <c r="S79" s="98">
        <v>69.642289247311822</v>
      </c>
      <c r="T79" s="100">
        <f t="shared" si="25"/>
        <v>0.98366238014848506</v>
      </c>
      <c r="U79" s="100">
        <f t="shared" si="26"/>
        <v>1.0189972323854826</v>
      </c>
      <c r="AD79" s="152" t="str">
        <f t="shared" si="16"/>
        <v>Summer</v>
      </c>
      <c r="AE79">
        <f t="shared" si="17"/>
        <v>6</v>
      </c>
      <c r="AF79" s="150">
        <v>45078</v>
      </c>
      <c r="AG79" s="151">
        <v>416</v>
      </c>
      <c r="AH79" s="151">
        <v>304</v>
      </c>
      <c r="AI79">
        <f t="shared" si="18"/>
        <v>26</v>
      </c>
      <c r="AJ79">
        <f t="shared" si="19"/>
        <v>4</v>
      </c>
    </row>
    <row r="80" spans="2:36" x14ac:dyDescent="0.2">
      <c r="B80" s="204">
        <f t="shared" si="22"/>
        <v>47849</v>
      </c>
      <c r="C80" s="73">
        <v>6.9418230612244898</v>
      </c>
      <c r="D80" s="73">
        <v>6.8658716333513512</v>
      </c>
      <c r="E80" s="203">
        <f t="shared" si="20"/>
        <v>2031</v>
      </c>
      <c r="K80">
        <f t="shared" si="23"/>
        <v>1</v>
      </c>
      <c r="L80" s="101">
        <f t="shared" si="24"/>
        <v>2031</v>
      </c>
      <c r="M80" s="76">
        <f t="shared" si="21"/>
        <v>47849</v>
      </c>
      <c r="N80" s="202">
        <v>75.9709</v>
      </c>
      <c r="O80" s="202">
        <v>69.524900000000002</v>
      </c>
      <c r="P80" s="202">
        <v>71.991200000000006</v>
      </c>
      <c r="Q80" s="201">
        <v>70.534700000000001</v>
      </c>
      <c r="S80" s="98">
        <v>69.970080645161289</v>
      </c>
      <c r="T80" s="100">
        <f t="shared" si="25"/>
        <v>0.99363755706644208</v>
      </c>
      <c r="U80" s="100">
        <f t="shared" si="26"/>
        <v>1.0080694398181711</v>
      </c>
      <c r="AD80" s="152" t="str">
        <f t="shared" si="16"/>
        <v>Summer</v>
      </c>
      <c r="AE80">
        <f t="shared" si="17"/>
        <v>7</v>
      </c>
      <c r="AF80" s="150">
        <v>45108</v>
      </c>
      <c r="AG80" s="151">
        <v>400</v>
      </c>
      <c r="AH80" s="151">
        <v>344</v>
      </c>
      <c r="AI80">
        <f t="shared" si="18"/>
        <v>25</v>
      </c>
      <c r="AJ80">
        <f t="shared" si="19"/>
        <v>6</v>
      </c>
    </row>
    <row r="81" spans="2:36" x14ac:dyDescent="0.2">
      <c r="B81" s="80">
        <f t="shared" si="22"/>
        <v>47880</v>
      </c>
      <c r="C81" s="73">
        <v>6.6855985714285717</v>
      </c>
      <c r="D81" s="73">
        <v>6.6463996446192004</v>
      </c>
      <c r="E81" s="81">
        <f t="shared" si="20"/>
        <v>2031</v>
      </c>
      <c r="K81">
        <f t="shared" si="23"/>
        <v>2</v>
      </c>
      <c r="L81" s="101">
        <f t="shared" si="24"/>
        <v>2031</v>
      </c>
      <c r="M81" s="76">
        <f t="shared" si="21"/>
        <v>47880</v>
      </c>
      <c r="N81" s="77">
        <v>94.897199999999998</v>
      </c>
      <c r="O81" s="77">
        <v>76.398499999999999</v>
      </c>
      <c r="P81" s="77">
        <v>93.972399999999993</v>
      </c>
      <c r="Q81" s="78">
        <v>79.608199999999997</v>
      </c>
      <c r="S81" s="98">
        <v>77.774085714285704</v>
      </c>
      <c r="T81" s="100">
        <f t="shared" si="25"/>
        <v>0.98231305837089344</v>
      </c>
      <c r="U81" s="100">
        <f t="shared" si="26"/>
        <v>1.023582588838809</v>
      </c>
      <c r="AD81" s="152" t="str">
        <f t="shared" si="16"/>
        <v>Summer</v>
      </c>
      <c r="AE81">
        <f t="shared" si="17"/>
        <v>8</v>
      </c>
      <c r="AF81" s="150">
        <v>45139</v>
      </c>
      <c r="AG81" s="151">
        <v>432</v>
      </c>
      <c r="AH81" s="151">
        <v>312</v>
      </c>
      <c r="AI81">
        <f t="shared" si="18"/>
        <v>27</v>
      </c>
      <c r="AJ81">
        <f t="shared" si="19"/>
        <v>4</v>
      </c>
    </row>
    <row r="82" spans="2:36" x14ac:dyDescent="0.2">
      <c r="B82" s="80">
        <f t="shared" si="22"/>
        <v>47908</v>
      </c>
      <c r="C82" s="73">
        <v>5.6622312244897968</v>
      </c>
      <c r="D82" s="73">
        <v>5.5740649546490513</v>
      </c>
      <c r="E82" s="81">
        <f t="shared" si="20"/>
        <v>2031</v>
      </c>
      <c r="K82">
        <f t="shared" si="23"/>
        <v>3</v>
      </c>
      <c r="L82" s="101">
        <f t="shared" si="24"/>
        <v>2031</v>
      </c>
      <c r="M82" s="76">
        <f t="shared" si="21"/>
        <v>47908</v>
      </c>
      <c r="N82" s="77">
        <v>50.881900000000002</v>
      </c>
      <c r="O82" s="77">
        <v>45.047800000000002</v>
      </c>
      <c r="P82" s="77">
        <v>55.360900000000001</v>
      </c>
      <c r="Q82" s="78">
        <v>51.257899999999999</v>
      </c>
      <c r="S82" s="98">
        <v>47.780912651413189</v>
      </c>
      <c r="T82" s="100">
        <f t="shared" si="25"/>
        <v>0.9427990697592431</v>
      </c>
      <c r="U82" s="100">
        <f t="shared" si="26"/>
        <v>1.0727693791442046</v>
      </c>
      <c r="AD82" s="152" t="str">
        <f t="shared" si="16"/>
        <v>Summer</v>
      </c>
      <c r="AE82">
        <f t="shared" si="17"/>
        <v>9</v>
      </c>
      <c r="AF82" s="150">
        <v>45170</v>
      </c>
      <c r="AG82" s="151">
        <v>400</v>
      </c>
      <c r="AH82" s="151">
        <v>320</v>
      </c>
      <c r="AI82">
        <f t="shared" si="18"/>
        <v>25</v>
      </c>
      <c r="AJ82">
        <f t="shared" si="19"/>
        <v>5</v>
      </c>
    </row>
    <row r="83" spans="2:36" x14ac:dyDescent="0.2">
      <c r="B83" s="80">
        <f t="shared" si="22"/>
        <v>47939</v>
      </c>
      <c r="C83" s="73">
        <v>5.3783536734693884</v>
      </c>
      <c r="D83" s="73">
        <v>5.148892574698265</v>
      </c>
      <c r="E83" s="81">
        <f t="shared" si="20"/>
        <v>2031</v>
      </c>
      <c r="K83">
        <f t="shared" si="23"/>
        <v>4</v>
      </c>
      <c r="L83" s="101">
        <f t="shared" si="24"/>
        <v>2031</v>
      </c>
      <c r="M83" s="76">
        <f t="shared" si="21"/>
        <v>47939</v>
      </c>
      <c r="N83" s="77">
        <v>41.204300000000003</v>
      </c>
      <c r="O83" s="77">
        <v>39.4833</v>
      </c>
      <c r="P83" s="77">
        <v>41.9557</v>
      </c>
      <c r="Q83" s="78">
        <v>38.359400000000001</v>
      </c>
      <c r="S83" s="98">
        <v>39.008764444444445</v>
      </c>
      <c r="T83" s="100">
        <f t="shared" si="25"/>
        <v>1.012164844550034</v>
      </c>
      <c r="U83" s="100">
        <f t="shared" si="26"/>
        <v>0.98335337061574313</v>
      </c>
      <c r="AD83" s="152" t="str">
        <f t="shared" si="16"/>
        <v>Winter</v>
      </c>
      <c r="AE83">
        <f t="shared" si="17"/>
        <v>10</v>
      </c>
      <c r="AF83" s="150">
        <v>45200</v>
      </c>
      <c r="AG83" s="151">
        <v>416</v>
      </c>
      <c r="AH83" s="151">
        <v>328</v>
      </c>
      <c r="AI83">
        <f t="shared" si="18"/>
        <v>26</v>
      </c>
      <c r="AJ83">
        <f t="shared" si="19"/>
        <v>5</v>
      </c>
    </row>
    <row r="84" spans="2:36" x14ac:dyDescent="0.2">
      <c r="B84" s="80">
        <f t="shared" si="22"/>
        <v>47969</v>
      </c>
      <c r="C84" s="73">
        <v>5.39182306122449</v>
      </c>
      <c r="D84" s="73">
        <v>4.9939621026712375</v>
      </c>
      <c r="E84" s="81">
        <f t="shared" si="20"/>
        <v>2031</v>
      </c>
      <c r="K84">
        <f t="shared" si="23"/>
        <v>5</v>
      </c>
      <c r="L84" s="101">
        <f t="shared" si="24"/>
        <v>2031</v>
      </c>
      <c r="M84" s="76">
        <f t="shared" si="21"/>
        <v>47969</v>
      </c>
      <c r="N84" s="77">
        <v>24.3551</v>
      </c>
      <c r="O84" s="77">
        <v>31.368400000000001</v>
      </c>
      <c r="P84" s="77">
        <v>26.782399999999999</v>
      </c>
      <c r="Q84" s="78">
        <v>34.863</v>
      </c>
      <c r="S84" s="98">
        <v>32.909030107526881</v>
      </c>
      <c r="T84" s="100">
        <f t="shared" si="25"/>
        <v>0.95318518648246309</v>
      </c>
      <c r="U84" s="100">
        <f t="shared" si="26"/>
        <v>1.0593748854368763</v>
      </c>
      <c r="AD84" s="152" t="str">
        <f t="shared" si="16"/>
        <v>Winter</v>
      </c>
      <c r="AE84">
        <f t="shared" si="17"/>
        <v>11</v>
      </c>
      <c r="AF84" s="150">
        <v>45231</v>
      </c>
      <c r="AG84" s="151">
        <v>400</v>
      </c>
      <c r="AH84" s="151">
        <v>320</v>
      </c>
      <c r="AI84">
        <f t="shared" si="18"/>
        <v>25</v>
      </c>
      <c r="AJ84">
        <f t="shared" si="19"/>
        <v>5</v>
      </c>
    </row>
    <row r="85" spans="2:36" x14ac:dyDescent="0.2">
      <c r="B85" s="80">
        <f t="shared" si="22"/>
        <v>48000</v>
      </c>
      <c r="C85" s="73">
        <v>5.4327414285714291</v>
      </c>
      <c r="D85" s="73">
        <v>5.0106113474263809</v>
      </c>
      <c r="E85" s="81">
        <f t="shared" si="20"/>
        <v>2031</v>
      </c>
      <c r="K85">
        <f t="shared" si="23"/>
        <v>6</v>
      </c>
      <c r="L85" s="101">
        <f t="shared" si="24"/>
        <v>2031</v>
      </c>
      <c r="M85" s="76">
        <f t="shared" si="21"/>
        <v>48000</v>
      </c>
      <c r="N85" s="77">
        <v>38.571800000000003</v>
      </c>
      <c r="O85" s="77">
        <v>44.785600000000002</v>
      </c>
      <c r="P85" s="77">
        <v>36.546199999999999</v>
      </c>
      <c r="Q85" s="78">
        <v>43.800400000000003</v>
      </c>
      <c r="S85" s="98">
        <v>44.347733333333338</v>
      </c>
      <c r="T85" s="100">
        <f t="shared" si="25"/>
        <v>1.0098734847027131</v>
      </c>
      <c r="U85" s="100">
        <f t="shared" si="26"/>
        <v>0.98765814412160857</v>
      </c>
      <c r="AD85" s="152" t="str">
        <f t="shared" si="16"/>
        <v>Winter</v>
      </c>
      <c r="AE85">
        <f t="shared" si="17"/>
        <v>12</v>
      </c>
      <c r="AF85" s="150">
        <v>45261</v>
      </c>
      <c r="AG85" s="151">
        <v>400</v>
      </c>
      <c r="AH85" s="151">
        <v>344</v>
      </c>
      <c r="AI85">
        <f t="shared" si="18"/>
        <v>25</v>
      </c>
      <c r="AJ85">
        <f t="shared" si="19"/>
        <v>6</v>
      </c>
    </row>
    <row r="86" spans="2:36" x14ac:dyDescent="0.2">
      <c r="B86" s="80">
        <f t="shared" si="22"/>
        <v>48030</v>
      </c>
      <c r="C86" s="73">
        <v>5.5226393877551025</v>
      </c>
      <c r="D86" s="73">
        <v>5.0564995436187976</v>
      </c>
      <c r="E86" s="81">
        <f t="shared" si="20"/>
        <v>2031</v>
      </c>
      <c r="K86">
        <f t="shared" si="23"/>
        <v>7</v>
      </c>
      <c r="L86" s="101">
        <f t="shared" si="24"/>
        <v>2031</v>
      </c>
      <c r="M86" s="76">
        <f t="shared" si="21"/>
        <v>48030</v>
      </c>
      <c r="N86" s="77">
        <v>64.269000000000005</v>
      </c>
      <c r="O86" s="77">
        <v>64.777299999999997</v>
      </c>
      <c r="P86" s="77">
        <v>60.933500000000002</v>
      </c>
      <c r="Q86" s="78">
        <v>64.369500000000002</v>
      </c>
      <c r="S86" s="98">
        <v>64.59751720430107</v>
      </c>
      <c r="T86" s="100">
        <f t="shared" si="25"/>
        <v>1.0027831223780681</v>
      </c>
      <c r="U86" s="100">
        <f t="shared" si="26"/>
        <v>0.99647018625220651</v>
      </c>
      <c r="AD86" s="152" t="str">
        <f t="shared" si="16"/>
        <v>Winter</v>
      </c>
      <c r="AE86">
        <f t="shared" si="17"/>
        <v>1</v>
      </c>
      <c r="AF86" s="150">
        <v>45292</v>
      </c>
      <c r="AG86" s="151">
        <v>416</v>
      </c>
      <c r="AH86" s="151">
        <v>328</v>
      </c>
      <c r="AI86">
        <f t="shared" si="18"/>
        <v>26</v>
      </c>
      <c r="AJ86">
        <f t="shared" si="19"/>
        <v>5</v>
      </c>
    </row>
    <row r="87" spans="2:36" x14ac:dyDescent="0.2">
      <c r="B87" s="80">
        <f t="shared" si="22"/>
        <v>48061</v>
      </c>
      <c r="C87" s="73">
        <v>5.6611087755102041</v>
      </c>
      <c r="D87" s="73">
        <v>5.3679020844094385</v>
      </c>
      <c r="E87" s="81">
        <f t="shared" si="20"/>
        <v>2031</v>
      </c>
      <c r="K87">
        <f t="shared" si="23"/>
        <v>8</v>
      </c>
      <c r="L87" s="101">
        <f t="shared" si="24"/>
        <v>2031</v>
      </c>
      <c r="M87" s="76">
        <f t="shared" si="21"/>
        <v>48061</v>
      </c>
      <c r="N87" s="77">
        <v>70.608099999999993</v>
      </c>
      <c r="O87" s="77">
        <v>65.8322</v>
      </c>
      <c r="P87" s="77">
        <v>62.625700000000002</v>
      </c>
      <c r="Q87" s="78">
        <v>63.5822</v>
      </c>
      <c r="S87" s="98">
        <v>64.840264516129039</v>
      </c>
      <c r="T87" s="100">
        <f t="shared" si="25"/>
        <v>1.0152981406117525</v>
      </c>
      <c r="U87" s="100">
        <f t="shared" si="26"/>
        <v>0.98059748019972848</v>
      </c>
      <c r="AD87" s="152" t="str">
        <f t="shared" si="16"/>
        <v>Winter</v>
      </c>
      <c r="AE87">
        <f t="shared" si="17"/>
        <v>2</v>
      </c>
      <c r="AF87" s="150">
        <v>45323</v>
      </c>
      <c r="AG87" s="151">
        <v>400</v>
      </c>
      <c r="AH87" s="151">
        <v>296</v>
      </c>
      <c r="AI87">
        <f t="shared" si="18"/>
        <v>25</v>
      </c>
      <c r="AJ87">
        <f t="shared" si="19"/>
        <v>4</v>
      </c>
    </row>
    <row r="88" spans="2:36" x14ac:dyDescent="0.2">
      <c r="B88" s="80">
        <f t="shared" si="22"/>
        <v>48092</v>
      </c>
      <c r="C88" s="73">
        <v>5.8005985714285719</v>
      </c>
      <c r="D88" s="73">
        <v>5.4615797794360628</v>
      </c>
      <c r="E88" s="81">
        <f t="shared" si="20"/>
        <v>2031</v>
      </c>
      <c r="K88">
        <f t="shared" si="23"/>
        <v>9</v>
      </c>
      <c r="L88" s="101">
        <f t="shared" si="24"/>
        <v>2031</v>
      </c>
      <c r="M88" s="76">
        <f t="shared" si="21"/>
        <v>48092</v>
      </c>
      <c r="N88" s="77">
        <v>63.256900000000002</v>
      </c>
      <c r="O88" s="77">
        <v>56.881999999999998</v>
      </c>
      <c r="P88" s="77">
        <v>56.194200000000002</v>
      </c>
      <c r="Q88" s="78">
        <v>57.179299999999998</v>
      </c>
      <c r="S88" s="98">
        <v>57.014133333333326</v>
      </c>
      <c r="T88" s="100">
        <f t="shared" si="25"/>
        <v>0.99768244599000022</v>
      </c>
      <c r="U88" s="100">
        <f t="shared" si="26"/>
        <v>1.0028969425124998</v>
      </c>
      <c r="AD88" s="152" t="str">
        <f t="shared" si="16"/>
        <v>Winter</v>
      </c>
      <c r="AE88">
        <f t="shared" si="17"/>
        <v>3</v>
      </c>
      <c r="AF88" s="150">
        <v>45352</v>
      </c>
      <c r="AG88" s="151">
        <v>416</v>
      </c>
      <c r="AH88" s="151">
        <v>328</v>
      </c>
      <c r="AI88">
        <f t="shared" si="18"/>
        <v>26</v>
      </c>
      <c r="AJ88">
        <f t="shared" si="19"/>
        <v>5</v>
      </c>
    </row>
    <row r="89" spans="2:36" x14ac:dyDescent="0.2">
      <c r="B89" s="80">
        <f t="shared" si="22"/>
        <v>48122</v>
      </c>
      <c r="C89" s="73">
        <v>5.9172312244897967</v>
      </c>
      <c r="D89" s="73">
        <v>5.7474432009572407</v>
      </c>
      <c r="E89" s="81">
        <f t="shared" si="20"/>
        <v>2031</v>
      </c>
      <c r="K89">
        <f t="shared" si="23"/>
        <v>10</v>
      </c>
      <c r="L89" s="101">
        <f t="shared" si="24"/>
        <v>2031</v>
      </c>
      <c r="M89" s="76">
        <f t="shared" si="21"/>
        <v>48122</v>
      </c>
      <c r="N89" s="77">
        <v>56.152900000000002</v>
      </c>
      <c r="O89" s="77">
        <v>49.742400000000004</v>
      </c>
      <c r="P89" s="77">
        <v>58.670099999999998</v>
      </c>
      <c r="Q89" s="78">
        <v>54.215699999999998</v>
      </c>
      <c r="S89" s="98">
        <v>51.618300000000005</v>
      </c>
      <c r="T89" s="100">
        <f t="shared" si="25"/>
        <v>0.96365823748554291</v>
      </c>
      <c r="U89" s="100">
        <f t="shared" si="26"/>
        <v>1.0503193634815557</v>
      </c>
      <c r="AD89" s="152" t="str">
        <f t="shared" si="16"/>
        <v>Winter</v>
      </c>
      <c r="AE89">
        <f t="shared" si="17"/>
        <v>4</v>
      </c>
      <c r="AF89" s="150">
        <v>45383</v>
      </c>
      <c r="AG89" s="151">
        <v>416</v>
      </c>
      <c r="AH89" s="151">
        <v>304</v>
      </c>
      <c r="AI89">
        <f t="shared" si="18"/>
        <v>26</v>
      </c>
      <c r="AJ89">
        <f t="shared" si="19"/>
        <v>4</v>
      </c>
    </row>
    <row r="90" spans="2:36" x14ac:dyDescent="0.2">
      <c r="B90" s="80">
        <f t="shared" si="22"/>
        <v>48153</v>
      </c>
      <c r="C90" s="73">
        <v>6.2662108163265309</v>
      </c>
      <c r="D90" s="73">
        <v>6.2211244915526418</v>
      </c>
      <c r="E90" s="81">
        <f t="shared" si="20"/>
        <v>2031</v>
      </c>
      <c r="K90">
        <f t="shared" si="23"/>
        <v>11</v>
      </c>
      <c r="L90" s="101">
        <f t="shared" si="24"/>
        <v>2031</v>
      </c>
      <c r="M90" s="76">
        <f t="shared" si="21"/>
        <v>48153</v>
      </c>
      <c r="N90" s="77">
        <v>70.514399999999995</v>
      </c>
      <c r="O90" s="77">
        <v>63.519500000000001</v>
      </c>
      <c r="P90" s="77">
        <v>66.463899999999995</v>
      </c>
      <c r="Q90" s="78">
        <v>61.504899999999999</v>
      </c>
      <c r="S90" s="98">
        <v>62.577863106796116</v>
      </c>
      <c r="T90" s="100">
        <f t="shared" si="25"/>
        <v>1.0150474440393862</v>
      </c>
      <c r="U90" s="100">
        <f t="shared" si="26"/>
        <v>0.98285395100556594</v>
      </c>
      <c r="AD90" s="152" t="str">
        <f t="shared" si="16"/>
        <v>Winter</v>
      </c>
      <c r="AE90">
        <f t="shared" si="17"/>
        <v>5</v>
      </c>
      <c r="AF90" s="150">
        <v>45413</v>
      </c>
      <c r="AG90" s="151">
        <v>416</v>
      </c>
      <c r="AH90" s="151">
        <v>328</v>
      </c>
      <c r="AI90">
        <f t="shared" si="18"/>
        <v>26</v>
      </c>
      <c r="AJ90">
        <f t="shared" si="19"/>
        <v>5</v>
      </c>
    </row>
    <row r="91" spans="2:36" x14ac:dyDescent="0.2">
      <c r="B91" s="82">
        <f t="shared" si="22"/>
        <v>48183</v>
      </c>
      <c r="C91" s="83">
        <v>6.4885577551020415</v>
      </c>
      <c r="D91" s="83">
        <v>6.3952735362291246</v>
      </c>
      <c r="E91" s="84">
        <f t="shared" si="20"/>
        <v>2031</v>
      </c>
      <c r="K91">
        <f t="shared" si="23"/>
        <v>12</v>
      </c>
      <c r="L91" s="101">
        <f t="shared" si="24"/>
        <v>2031</v>
      </c>
      <c r="M91" s="85">
        <f t="shared" si="21"/>
        <v>48183</v>
      </c>
      <c r="N91" s="86">
        <v>78.932599999999994</v>
      </c>
      <c r="O91" s="86">
        <v>69.435400000000001</v>
      </c>
      <c r="P91" s="86">
        <v>80.135199999999998</v>
      </c>
      <c r="Q91" s="87">
        <v>72.434200000000004</v>
      </c>
      <c r="S91" s="98">
        <v>70.757451612903225</v>
      </c>
      <c r="T91" s="100">
        <f t="shared" si="25"/>
        <v>0.98131572600811223</v>
      </c>
      <c r="U91" s="100">
        <f t="shared" si="26"/>
        <v>1.0236971279897114</v>
      </c>
      <c r="AD91" s="152" t="str">
        <f t="shared" si="16"/>
        <v>Summer</v>
      </c>
      <c r="AE91">
        <f t="shared" si="17"/>
        <v>6</v>
      </c>
      <c r="AF91" s="150">
        <v>45444</v>
      </c>
      <c r="AG91" s="151">
        <v>400</v>
      </c>
      <c r="AH91" s="151">
        <v>320</v>
      </c>
      <c r="AI91">
        <f t="shared" si="18"/>
        <v>25</v>
      </c>
      <c r="AJ91">
        <f t="shared" si="19"/>
        <v>5</v>
      </c>
    </row>
    <row r="92" spans="2:36" x14ac:dyDescent="0.2">
      <c r="B92" s="204">
        <f t="shared" si="22"/>
        <v>48214</v>
      </c>
      <c r="C92" s="73">
        <v>6.8823332653061229</v>
      </c>
      <c r="D92" s="73">
        <v>6.8030258730564741</v>
      </c>
      <c r="E92" s="203">
        <f t="shared" si="20"/>
        <v>2032</v>
      </c>
      <c r="K92">
        <f t="shared" si="23"/>
        <v>1</v>
      </c>
      <c r="L92" s="101">
        <f t="shared" si="24"/>
        <v>2032</v>
      </c>
      <c r="M92" s="76">
        <f t="shared" si="21"/>
        <v>48214</v>
      </c>
      <c r="N92" s="202">
        <v>72.128299999999996</v>
      </c>
      <c r="O92" s="202">
        <v>67.9101</v>
      </c>
      <c r="P92" s="202">
        <v>70.138400000000004</v>
      </c>
      <c r="Q92" s="201">
        <v>72.459999999999994</v>
      </c>
      <c r="S92" s="98">
        <v>69.915969892473129</v>
      </c>
      <c r="T92" s="100">
        <f t="shared" si="25"/>
        <v>0.9713102758131219</v>
      </c>
      <c r="U92" s="100">
        <f t="shared" si="26"/>
        <v>1.0363869672614059</v>
      </c>
      <c r="AD92" s="152" t="str">
        <f t="shared" si="16"/>
        <v>Summer</v>
      </c>
      <c r="AE92">
        <f t="shared" si="17"/>
        <v>7</v>
      </c>
      <c r="AF92" s="150">
        <v>45474</v>
      </c>
      <c r="AG92" s="151">
        <v>416</v>
      </c>
      <c r="AH92" s="151">
        <v>328</v>
      </c>
      <c r="AI92">
        <f t="shared" si="18"/>
        <v>26</v>
      </c>
      <c r="AJ92">
        <f t="shared" si="19"/>
        <v>5</v>
      </c>
    </row>
    <row r="93" spans="2:36" x14ac:dyDescent="0.2">
      <c r="B93" s="80">
        <f t="shared" si="22"/>
        <v>48245</v>
      </c>
      <c r="C93" s="73">
        <v>6.2526393877551021</v>
      </c>
      <c r="D93" s="73">
        <v>6.1285259142416288</v>
      </c>
      <c r="E93" s="81">
        <f t="shared" si="20"/>
        <v>2032</v>
      </c>
      <c r="K93">
        <f t="shared" si="23"/>
        <v>2</v>
      </c>
      <c r="L93" s="101">
        <f t="shared" si="24"/>
        <v>2032</v>
      </c>
      <c r="M93" s="76">
        <f t="shared" si="21"/>
        <v>48245</v>
      </c>
      <c r="N93" s="77">
        <v>93.971599999999995</v>
      </c>
      <c r="O93" s="77">
        <v>72.046999999999997</v>
      </c>
      <c r="P93" s="77">
        <v>94.611999999999995</v>
      </c>
      <c r="Q93" s="78">
        <v>78.775599999999997</v>
      </c>
      <c r="S93" s="98">
        <v>75.063268965517238</v>
      </c>
      <c r="T93" s="100">
        <f t="shared" si="25"/>
        <v>0.95981697830262547</v>
      </c>
      <c r="U93" s="100">
        <f t="shared" si="26"/>
        <v>1.049456026704461</v>
      </c>
      <c r="AD93" s="152" t="str">
        <f t="shared" si="16"/>
        <v>Summer</v>
      </c>
      <c r="AE93">
        <f t="shared" si="17"/>
        <v>8</v>
      </c>
      <c r="AF93" s="150">
        <v>45505</v>
      </c>
      <c r="AG93" s="151">
        <v>432</v>
      </c>
      <c r="AH93" s="151">
        <v>312</v>
      </c>
      <c r="AI93">
        <f t="shared" si="18"/>
        <v>27</v>
      </c>
      <c r="AJ93">
        <f t="shared" si="19"/>
        <v>4</v>
      </c>
    </row>
    <row r="94" spans="2:36" x14ac:dyDescent="0.2">
      <c r="B94" s="80">
        <f t="shared" si="22"/>
        <v>48274</v>
      </c>
      <c r="C94" s="73">
        <v>5.6920271428571425</v>
      </c>
      <c r="D94" s="73">
        <v>5.5898920144780151</v>
      </c>
      <c r="E94" s="81">
        <f t="shared" si="20"/>
        <v>2032</v>
      </c>
      <c r="K94">
        <f t="shared" si="23"/>
        <v>3</v>
      </c>
      <c r="L94" s="101">
        <f t="shared" si="24"/>
        <v>2032</v>
      </c>
      <c r="M94" s="76">
        <f t="shared" si="21"/>
        <v>48274</v>
      </c>
      <c r="N94" s="77">
        <v>49.707700000000003</v>
      </c>
      <c r="O94" s="77">
        <v>42.615000000000002</v>
      </c>
      <c r="P94" s="77">
        <v>53.832599999999999</v>
      </c>
      <c r="Q94" s="78">
        <v>49.180399999999999</v>
      </c>
      <c r="S94" s="98">
        <v>45.363101480484524</v>
      </c>
      <c r="T94" s="100">
        <f t="shared" si="25"/>
        <v>0.93941989434591966</v>
      </c>
      <c r="U94" s="100">
        <f t="shared" si="26"/>
        <v>1.0841498573715842</v>
      </c>
      <c r="AD94" s="152" t="str">
        <f t="shared" si="16"/>
        <v>Summer</v>
      </c>
      <c r="AE94">
        <f t="shared" si="17"/>
        <v>9</v>
      </c>
      <c r="AF94" s="150">
        <v>45536</v>
      </c>
      <c r="AG94" s="151">
        <v>384</v>
      </c>
      <c r="AH94" s="151">
        <v>336</v>
      </c>
      <c r="AI94">
        <f t="shared" si="18"/>
        <v>24</v>
      </c>
      <c r="AJ94">
        <f t="shared" si="19"/>
        <v>6</v>
      </c>
    </row>
    <row r="95" spans="2:36" x14ac:dyDescent="0.2">
      <c r="B95" s="80">
        <f t="shared" si="22"/>
        <v>48305</v>
      </c>
      <c r="C95" s="73">
        <v>5.4144761224489804</v>
      </c>
      <c r="D95" s="73">
        <v>5.1587587938124235</v>
      </c>
      <c r="E95" s="81">
        <f t="shared" si="20"/>
        <v>2032</v>
      </c>
      <c r="K95">
        <f t="shared" si="23"/>
        <v>4</v>
      </c>
      <c r="L95" s="101">
        <f t="shared" si="24"/>
        <v>2032</v>
      </c>
      <c r="M95" s="76">
        <f t="shared" si="21"/>
        <v>48305</v>
      </c>
      <c r="N95" s="77">
        <v>41.029600000000002</v>
      </c>
      <c r="O95" s="77">
        <v>37.737699999999997</v>
      </c>
      <c r="P95" s="77">
        <v>41.8264</v>
      </c>
      <c r="Q95" s="78">
        <v>37.51</v>
      </c>
      <c r="S95" s="98">
        <v>37.641559999999998</v>
      </c>
      <c r="T95" s="100">
        <f t="shared" si="25"/>
        <v>1.0025540918070346</v>
      </c>
      <c r="U95" s="100">
        <f t="shared" si="26"/>
        <v>0.9965049270009001</v>
      </c>
      <c r="AD95" s="152" t="str">
        <f t="shared" si="16"/>
        <v>Winter</v>
      </c>
      <c r="AE95">
        <f t="shared" si="17"/>
        <v>10</v>
      </c>
      <c r="AF95" s="150">
        <v>45566</v>
      </c>
      <c r="AG95" s="151">
        <v>432</v>
      </c>
      <c r="AH95" s="151">
        <v>312</v>
      </c>
      <c r="AI95">
        <f t="shared" si="18"/>
        <v>27</v>
      </c>
      <c r="AJ95">
        <f t="shared" si="19"/>
        <v>4</v>
      </c>
    </row>
    <row r="96" spans="2:36" x14ac:dyDescent="0.2">
      <c r="B96" s="80">
        <f t="shared" si="22"/>
        <v>48335</v>
      </c>
      <c r="C96" s="73">
        <v>5.3993740816326534</v>
      </c>
      <c r="D96" s="73">
        <v>5.0138487005732149</v>
      </c>
      <c r="E96" s="81">
        <f t="shared" si="20"/>
        <v>2032</v>
      </c>
      <c r="K96">
        <f t="shared" si="23"/>
        <v>5</v>
      </c>
      <c r="L96" s="101">
        <f t="shared" si="24"/>
        <v>2032</v>
      </c>
      <c r="M96" s="76">
        <f t="shared" si="21"/>
        <v>48335</v>
      </c>
      <c r="N96" s="77">
        <v>21.4269</v>
      </c>
      <c r="O96" s="77">
        <v>29.371400000000001</v>
      </c>
      <c r="P96" s="77">
        <v>23.869900000000001</v>
      </c>
      <c r="Q96" s="78">
        <v>32.430300000000003</v>
      </c>
      <c r="S96" s="98">
        <v>30.785730107526884</v>
      </c>
      <c r="T96" s="100">
        <f t="shared" si="25"/>
        <v>0.95405890642882329</v>
      </c>
      <c r="U96" s="100">
        <f t="shared" si="26"/>
        <v>1.0534198762455542</v>
      </c>
      <c r="AD96" s="152" t="str">
        <f t="shared" si="16"/>
        <v>Winter</v>
      </c>
      <c r="AE96">
        <f t="shared" si="17"/>
        <v>11</v>
      </c>
      <c r="AF96" s="150">
        <v>45597</v>
      </c>
      <c r="AG96" s="151">
        <v>400</v>
      </c>
      <c r="AH96" s="151">
        <v>320</v>
      </c>
      <c r="AI96">
        <f t="shared" si="18"/>
        <v>25</v>
      </c>
      <c r="AJ96">
        <f t="shared" si="19"/>
        <v>5</v>
      </c>
    </row>
    <row r="97" spans="2:36" x14ac:dyDescent="0.2">
      <c r="B97" s="80">
        <f t="shared" si="22"/>
        <v>48366</v>
      </c>
      <c r="C97" s="73">
        <v>5.4458026530612242</v>
      </c>
      <c r="D97" s="73">
        <v>5.0369212650641382</v>
      </c>
      <c r="E97" s="81">
        <f t="shared" si="20"/>
        <v>2032</v>
      </c>
      <c r="K97">
        <f t="shared" si="23"/>
        <v>6</v>
      </c>
      <c r="L97" s="101">
        <f t="shared" si="24"/>
        <v>2032</v>
      </c>
      <c r="M97" s="76">
        <f t="shared" si="21"/>
        <v>48366</v>
      </c>
      <c r="N97" s="77">
        <v>36.588500000000003</v>
      </c>
      <c r="O97" s="77">
        <v>44.136499999999998</v>
      </c>
      <c r="P97" s="77">
        <v>34.9131</v>
      </c>
      <c r="Q97" s="78">
        <v>42.599600000000002</v>
      </c>
      <c r="S97" s="98">
        <v>43.487586666666665</v>
      </c>
      <c r="T97" s="100">
        <f t="shared" si="25"/>
        <v>1.0149218060387502</v>
      </c>
      <c r="U97" s="100">
        <f t="shared" si="26"/>
        <v>0.97958068647328944</v>
      </c>
      <c r="AD97" s="152" t="str">
        <f t="shared" si="16"/>
        <v>Winter</v>
      </c>
      <c r="AE97">
        <f t="shared" si="17"/>
        <v>12</v>
      </c>
      <c r="AF97" s="150">
        <v>45627</v>
      </c>
      <c r="AG97" s="151">
        <v>400</v>
      </c>
      <c r="AH97" s="151">
        <v>344</v>
      </c>
      <c r="AI97">
        <f t="shared" si="18"/>
        <v>25</v>
      </c>
      <c r="AJ97">
        <f t="shared" si="19"/>
        <v>6</v>
      </c>
    </row>
    <row r="98" spans="2:36" x14ac:dyDescent="0.2">
      <c r="B98" s="80">
        <f t="shared" si="22"/>
        <v>48396</v>
      </c>
      <c r="C98" s="73">
        <v>5.5282516326530615</v>
      </c>
      <c r="D98" s="73">
        <v>5.0782360576046797</v>
      </c>
      <c r="E98" s="81">
        <f t="shared" si="20"/>
        <v>2032</v>
      </c>
      <c r="K98">
        <f t="shared" si="23"/>
        <v>7</v>
      </c>
      <c r="L98" s="101">
        <f t="shared" si="24"/>
        <v>2032</v>
      </c>
      <c r="M98" s="76">
        <f t="shared" si="21"/>
        <v>48396</v>
      </c>
      <c r="N98" s="77">
        <v>65.095799999999997</v>
      </c>
      <c r="O98" s="77">
        <v>66.0458</v>
      </c>
      <c r="P98" s="77">
        <v>60.541899999999998</v>
      </c>
      <c r="Q98" s="78">
        <v>65.644999999999996</v>
      </c>
      <c r="S98" s="98">
        <v>65.869103225806455</v>
      </c>
      <c r="T98" s="100">
        <f t="shared" si="25"/>
        <v>1.0026825440994362</v>
      </c>
      <c r="U98" s="100">
        <f t="shared" si="26"/>
        <v>0.99659774894705622</v>
      </c>
      <c r="AD98" s="152" t="str">
        <f t="shared" si="16"/>
        <v>Winter</v>
      </c>
      <c r="AE98">
        <f t="shared" si="17"/>
        <v>1</v>
      </c>
      <c r="AF98" s="150">
        <v>45658</v>
      </c>
      <c r="AG98" s="151">
        <v>416</v>
      </c>
      <c r="AH98" s="151">
        <v>328</v>
      </c>
      <c r="AI98">
        <f t="shared" si="18"/>
        <v>26</v>
      </c>
      <c r="AJ98">
        <f t="shared" si="19"/>
        <v>5</v>
      </c>
    </row>
    <row r="99" spans="2:36" x14ac:dyDescent="0.2">
      <c r="B99" s="80">
        <f t="shared" si="22"/>
        <v>48427</v>
      </c>
      <c r="C99" s="73">
        <v>5.6088638775510216</v>
      </c>
      <c r="D99" s="73">
        <v>5.3251998548059696</v>
      </c>
      <c r="E99" s="81">
        <f t="shared" si="20"/>
        <v>2032</v>
      </c>
      <c r="K99">
        <f t="shared" si="23"/>
        <v>8</v>
      </c>
      <c r="L99" s="101">
        <f t="shared" si="24"/>
        <v>2032</v>
      </c>
      <c r="M99" s="76">
        <f t="shared" si="21"/>
        <v>48427</v>
      </c>
      <c r="N99" s="77">
        <v>70.754099999999994</v>
      </c>
      <c r="O99" s="77">
        <v>65.025300000000001</v>
      </c>
      <c r="P99" s="77">
        <v>62.8401</v>
      </c>
      <c r="Q99" s="78">
        <v>64.1905</v>
      </c>
      <c r="S99" s="98">
        <v>64.657269892473124</v>
      </c>
      <c r="T99" s="100">
        <f t="shared" si="25"/>
        <v>1.005692014341758</v>
      </c>
      <c r="U99" s="100">
        <f t="shared" si="26"/>
        <v>0.99278085985923348</v>
      </c>
      <c r="AD99" s="152" t="str">
        <f t="shared" si="16"/>
        <v>Winter</v>
      </c>
      <c r="AE99">
        <f t="shared" si="17"/>
        <v>2</v>
      </c>
      <c r="AF99" s="150">
        <v>45689</v>
      </c>
      <c r="AG99" s="151">
        <v>384</v>
      </c>
      <c r="AH99" s="151">
        <v>288</v>
      </c>
      <c r="AI99">
        <f t="shared" si="18"/>
        <v>24</v>
      </c>
      <c r="AJ99">
        <f t="shared" si="19"/>
        <v>4</v>
      </c>
    </row>
    <row r="100" spans="2:36" x14ac:dyDescent="0.2">
      <c r="B100" s="80">
        <f t="shared" si="22"/>
        <v>48458</v>
      </c>
      <c r="C100" s="73">
        <v>5.7594761224489801</v>
      </c>
      <c r="D100" s="73">
        <v>5.3972438089624841</v>
      </c>
      <c r="E100" s="81">
        <f t="shared" si="20"/>
        <v>2032</v>
      </c>
      <c r="K100">
        <f t="shared" si="23"/>
        <v>9</v>
      </c>
      <c r="L100" s="101">
        <f t="shared" si="24"/>
        <v>2032</v>
      </c>
      <c r="M100" s="76">
        <f t="shared" si="21"/>
        <v>48458</v>
      </c>
      <c r="N100" s="77">
        <v>58.375900000000001</v>
      </c>
      <c r="O100" s="77">
        <v>53.2652</v>
      </c>
      <c r="P100" s="77">
        <v>54.241799999999998</v>
      </c>
      <c r="Q100" s="78">
        <v>55.325699999999998</v>
      </c>
      <c r="S100" s="98">
        <v>54.18097777777777</v>
      </c>
      <c r="T100" s="100">
        <f t="shared" si="25"/>
        <v>0.9830977989815205</v>
      </c>
      <c r="U100" s="100">
        <f t="shared" si="26"/>
        <v>1.0211277512730996</v>
      </c>
      <c r="AD100" s="152" t="str">
        <f t="shared" si="16"/>
        <v>Winter</v>
      </c>
      <c r="AE100">
        <f t="shared" si="17"/>
        <v>3</v>
      </c>
      <c r="AF100" s="150">
        <v>45717</v>
      </c>
      <c r="AG100" s="151">
        <v>416</v>
      </c>
      <c r="AH100" s="151">
        <v>328</v>
      </c>
      <c r="AI100">
        <f t="shared" si="18"/>
        <v>26</v>
      </c>
      <c r="AJ100">
        <f t="shared" si="19"/>
        <v>5</v>
      </c>
    </row>
    <row r="101" spans="2:36" x14ac:dyDescent="0.2">
      <c r="B101" s="80">
        <f t="shared" si="22"/>
        <v>48488</v>
      </c>
      <c r="C101" s="73">
        <v>5.8597822448979597</v>
      </c>
      <c r="D101" s="73">
        <v>5.6758103392638155</v>
      </c>
      <c r="E101" s="81">
        <f t="shared" si="20"/>
        <v>2032</v>
      </c>
      <c r="K101">
        <f t="shared" si="23"/>
        <v>10</v>
      </c>
      <c r="L101" s="101">
        <f t="shared" si="24"/>
        <v>2032</v>
      </c>
      <c r="M101" s="76">
        <f t="shared" si="21"/>
        <v>48488</v>
      </c>
      <c r="N101" s="77">
        <v>53.064399999999999</v>
      </c>
      <c r="O101" s="77">
        <v>44.811900000000001</v>
      </c>
      <c r="P101" s="77">
        <v>58.180199999999999</v>
      </c>
      <c r="Q101" s="78">
        <v>53.921100000000003</v>
      </c>
      <c r="S101" s="98">
        <v>48.827783870967743</v>
      </c>
      <c r="T101" s="100">
        <f t="shared" si="25"/>
        <v>0.91775412372635812</v>
      </c>
      <c r="U101" s="100">
        <f t="shared" si="26"/>
        <v>1.1043118430787655</v>
      </c>
      <c r="AD101" s="152" t="str">
        <f t="shared" si="16"/>
        <v>Winter</v>
      </c>
      <c r="AE101">
        <f t="shared" si="17"/>
        <v>4</v>
      </c>
      <c r="AF101" s="150">
        <v>45748</v>
      </c>
      <c r="AG101" s="151">
        <v>416</v>
      </c>
      <c r="AH101" s="151">
        <v>304</v>
      </c>
      <c r="AI101">
        <f t="shared" si="18"/>
        <v>26</v>
      </c>
      <c r="AJ101">
        <f t="shared" si="19"/>
        <v>4</v>
      </c>
    </row>
    <row r="102" spans="2:36" x14ac:dyDescent="0.2">
      <c r="B102" s="80">
        <f t="shared" si="22"/>
        <v>48519</v>
      </c>
      <c r="C102" s="73">
        <v>6.2145781632653065</v>
      </c>
      <c r="D102" s="73">
        <v>6.1477444868910851</v>
      </c>
      <c r="E102" s="81">
        <f t="shared" si="20"/>
        <v>2032</v>
      </c>
      <c r="K102">
        <f t="shared" si="23"/>
        <v>11</v>
      </c>
      <c r="L102" s="101">
        <f t="shared" si="24"/>
        <v>2032</v>
      </c>
      <c r="M102" s="76">
        <f t="shared" si="21"/>
        <v>48519</v>
      </c>
      <c r="N102" s="77">
        <v>68.815200000000004</v>
      </c>
      <c r="O102" s="77">
        <v>62.807600000000001</v>
      </c>
      <c r="P102" s="77">
        <v>66.444299999999998</v>
      </c>
      <c r="Q102" s="78">
        <v>63.162300000000002</v>
      </c>
      <c r="S102" s="98">
        <v>62.965517753120665</v>
      </c>
      <c r="T102" s="100">
        <f t="shared" si="25"/>
        <v>0.99749199627421725</v>
      </c>
      <c r="U102" s="100">
        <f t="shared" si="26"/>
        <v>1.0031252382875797</v>
      </c>
      <c r="AD102" s="152" t="str">
        <f t="shared" si="16"/>
        <v>Winter</v>
      </c>
      <c r="AE102">
        <f t="shared" si="17"/>
        <v>5</v>
      </c>
      <c r="AF102" s="150">
        <v>45778</v>
      </c>
      <c r="AG102" s="151">
        <v>416</v>
      </c>
      <c r="AH102" s="151">
        <v>328</v>
      </c>
      <c r="AI102">
        <f t="shared" si="18"/>
        <v>26</v>
      </c>
      <c r="AJ102">
        <f t="shared" si="19"/>
        <v>5</v>
      </c>
    </row>
    <row r="103" spans="2:36" x14ac:dyDescent="0.2">
      <c r="B103" s="82">
        <f t="shared" si="22"/>
        <v>48549</v>
      </c>
      <c r="C103" s="83">
        <v>6.3796802040816329</v>
      </c>
      <c r="D103" s="83">
        <v>6.2834049997107702</v>
      </c>
      <c r="E103" s="84">
        <f t="shared" si="20"/>
        <v>2032</v>
      </c>
      <c r="K103">
        <f t="shared" si="23"/>
        <v>12</v>
      </c>
      <c r="L103" s="101">
        <f t="shared" si="24"/>
        <v>2032</v>
      </c>
      <c r="M103" s="85">
        <f t="shared" si="21"/>
        <v>48549</v>
      </c>
      <c r="N103" s="86">
        <v>78.445700000000002</v>
      </c>
      <c r="O103" s="86">
        <v>68.511600000000001</v>
      </c>
      <c r="P103" s="86">
        <v>79.147800000000004</v>
      </c>
      <c r="Q103" s="87">
        <v>71.102500000000006</v>
      </c>
      <c r="S103" s="98">
        <v>69.653824731182809</v>
      </c>
      <c r="T103" s="100">
        <f t="shared" si="25"/>
        <v>0.98360140687764053</v>
      </c>
      <c r="U103" s="100">
        <f t="shared" si="26"/>
        <v>1.0207982156673825</v>
      </c>
      <c r="AD103" s="152" t="str">
        <f t="shared" si="16"/>
        <v>Summer</v>
      </c>
      <c r="AE103">
        <f t="shared" si="17"/>
        <v>6</v>
      </c>
      <c r="AF103" s="150">
        <v>45809</v>
      </c>
      <c r="AG103" s="151">
        <v>400</v>
      </c>
      <c r="AH103" s="151">
        <v>320</v>
      </c>
      <c r="AI103">
        <f t="shared" si="18"/>
        <v>25</v>
      </c>
      <c r="AJ103">
        <f t="shared" si="19"/>
        <v>5</v>
      </c>
    </row>
    <row r="104" spans="2:36" x14ac:dyDescent="0.2">
      <c r="B104" s="204">
        <f t="shared" si="22"/>
        <v>48580</v>
      </c>
      <c r="C104" s="73">
        <v>7.1246802040816331</v>
      </c>
      <c r="D104" s="73">
        <v>7.0298975261242429</v>
      </c>
      <c r="E104" s="203">
        <f t="shared" si="20"/>
        <v>2033</v>
      </c>
      <c r="K104">
        <f t="shared" si="23"/>
        <v>1</v>
      </c>
      <c r="L104" s="101">
        <f t="shared" si="24"/>
        <v>2033</v>
      </c>
      <c r="M104" s="76">
        <f t="shared" si="21"/>
        <v>48580</v>
      </c>
      <c r="N104" s="202">
        <v>71.2</v>
      </c>
      <c r="O104" s="202">
        <v>67.644099999999995</v>
      </c>
      <c r="P104" s="202">
        <v>67.348299999999995</v>
      </c>
      <c r="Q104" s="201">
        <v>71.744100000000003</v>
      </c>
      <c r="S104" s="98">
        <v>69.539798924731173</v>
      </c>
      <c r="T104" s="100">
        <f t="shared" si="25"/>
        <v>0.97273936718190612</v>
      </c>
      <c r="U104" s="100">
        <f t="shared" si="26"/>
        <v>1.0316984102535978</v>
      </c>
      <c r="AD104" s="152" t="str">
        <f t="shared" si="16"/>
        <v>Summer</v>
      </c>
      <c r="AE104">
        <f t="shared" si="17"/>
        <v>7</v>
      </c>
      <c r="AF104" s="150">
        <v>45839</v>
      </c>
      <c r="AG104" s="151">
        <v>416</v>
      </c>
      <c r="AH104" s="151">
        <v>328</v>
      </c>
      <c r="AI104">
        <f t="shared" si="18"/>
        <v>26</v>
      </c>
      <c r="AJ104">
        <f t="shared" si="19"/>
        <v>5</v>
      </c>
    </row>
    <row r="105" spans="2:36" x14ac:dyDescent="0.2">
      <c r="B105" s="80">
        <f t="shared" si="22"/>
        <v>48611</v>
      </c>
      <c r="C105" s="73">
        <v>6.7435577551020405</v>
      </c>
      <c r="D105" s="73">
        <v>6.6590407378592182</v>
      </c>
      <c r="E105" s="81">
        <f t="shared" si="20"/>
        <v>2033</v>
      </c>
      <c r="K105">
        <f t="shared" si="23"/>
        <v>2</v>
      </c>
      <c r="L105" s="101">
        <f t="shared" si="24"/>
        <v>2033</v>
      </c>
      <c r="M105" s="76">
        <f t="shared" si="21"/>
        <v>48611</v>
      </c>
      <c r="N105" s="77">
        <v>90.598500000000001</v>
      </c>
      <c r="O105" s="77">
        <v>71.150000000000006</v>
      </c>
      <c r="P105" s="77">
        <v>86.845500000000001</v>
      </c>
      <c r="Q105" s="78">
        <v>75.150400000000005</v>
      </c>
      <c r="S105" s="98">
        <v>72.864457142857148</v>
      </c>
      <c r="T105" s="100">
        <f t="shared" si="25"/>
        <v>0.97647059746158815</v>
      </c>
      <c r="U105" s="100">
        <f t="shared" si="26"/>
        <v>1.0313725367178825</v>
      </c>
      <c r="AD105" s="152" t="str">
        <f t="shared" si="16"/>
        <v>Summer</v>
      </c>
      <c r="AE105">
        <f t="shared" si="17"/>
        <v>8</v>
      </c>
      <c r="AF105" s="150">
        <v>45870</v>
      </c>
      <c r="AG105" s="151">
        <v>416</v>
      </c>
      <c r="AH105" s="151">
        <v>328</v>
      </c>
      <c r="AI105">
        <f t="shared" si="18"/>
        <v>26</v>
      </c>
      <c r="AJ105">
        <f t="shared" si="19"/>
        <v>5</v>
      </c>
    </row>
    <row r="106" spans="2:36" x14ac:dyDescent="0.2">
      <c r="B106" s="80">
        <f t="shared" si="22"/>
        <v>48639</v>
      </c>
      <c r="C106" s="73">
        <v>5.7695781632653063</v>
      </c>
      <c r="D106" s="73">
        <v>5.6462116819213382</v>
      </c>
      <c r="E106" s="81">
        <f t="shared" si="20"/>
        <v>2033</v>
      </c>
      <c r="K106">
        <f t="shared" si="23"/>
        <v>3</v>
      </c>
      <c r="L106" s="101">
        <f t="shared" si="24"/>
        <v>2033</v>
      </c>
      <c r="M106" s="76">
        <f t="shared" si="21"/>
        <v>48639</v>
      </c>
      <c r="N106" s="77">
        <v>47.036099999999998</v>
      </c>
      <c r="O106" s="77">
        <v>38.944299999999998</v>
      </c>
      <c r="P106" s="77">
        <v>52.813000000000002</v>
      </c>
      <c r="Q106" s="78">
        <v>47.661499999999997</v>
      </c>
      <c r="S106" s="98">
        <v>42.593087617765811</v>
      </c>
      <c r="T106" s="100">
        <f t="shared" si="25"/>
        <v>0.91433380809322018</v>
      </c>
      <c r="U106" s="100">
        <f t="shared" si="26"/>
        <v>1.1189961250923759</v>
      </c>
      <c r="AD106" s="152" t="str">
        <f t="shared" si="16"/>
        <v>Summer</v>
      </c>
      <c r="AE106">
        <f t="shared" si="17"/>
        <v>9</v>
      </c>
      <c r="AF106" s="150">
        <v>45901</v>
      </c>
      <c r="AG106" s="151">
        <v>400</v>
      </c>
      <c r="AH106" s="151">
        <v>320</v>
      </c>
      <c r="AI106">
        <f t="shared" si="18"/>
        <v>25</v>
      </c>
      <c r="AJ106">
        <f t="shared" si="19"/>
        <v>5</v>
      </c>
    </row>
    <row r="107" spans="2:36" x14ac:dyDescent="0.2">
      <c r="B107" s="80">
        <f t="shared" si="22"/>
        <v>48670</v>
      </c>
      <c r="C107" s="73">
        <v>5.4536597959183677</v>
      </c>
      <c r="D107" s="73">
        <v>5.2116869484352559</v>
      </c>
      <c r="E107" s="81">
        <f t="shared" si="20"/>
        <v>2033</v>
      </c>
      <c r="K107">
        <f t="shared" si="23"/>
        <v>4</v>
      </c>
      <c r="L107" s="101">
        <f t="shared" si="24"/>
        <v>2033</v>
      </c>
      <c r="M107" s="76">
        <f t="shared" si="21"/>
        <v>48670</v>
      </c>
      <c r="N107" s="77">
        <v>35.020600000000002</v>
      </c>
      <c r="O107" s="77">
        <v>27.9255</v>
      </c>
      <c r="P107" s="77">
        <v>35.214700000000001</v>
      </c>
      <c r="Q107" s="78">
        <v>29.496600000000001</v>
      </c>
      <c r="S107" s="98">
        <v>28.588853333333333</v>
      </c>
      <c r="T107" s="100">
        <f t="shared" si="25"/>
        <v>0.97679678420120852</v>
      </c>
      <c r="U107" s="100">
        <f t="shared" si="26"/>
        <v>1.03175176898782</v>
      </c>
      <c r="AD107" s="152" t="str">
        <f t="shared" si="16"/>
        <v>Winter</v>
      </c>
      <c r="AE107">
        <f t="shared" si="17"/>
        <v>10</v>
      </c>
      <c r="AF107" s="150">
        <v>45931</v>
      </c>
      <c r="AG107" s="151">
        <v>432</v>
      </c>
      <c r="AH107" s="151">
        <v>312</v>
      </c>
      <c r="AI107">
        <f t="shared" si="18"/>
        <v>27</v>
      </c>
      <c r="AJ107">
        <f t="shared" si="19"/>
        <v>4</v>
      </c>
    </row>
    <row r="108" spans="2:36" x14ac:dyDescent="0.2">
      <c r="B108" s="80">
        <f t="shared" si="22"/>
        <v>48700</v>
      </c>
      <c r="C108" s="73">
        <v>5.4588638775510212</v>
      </c>
      <c r="D108" s="73">
        <v>5.061175720386446</v>
      </c>
      <c r="E108" s="81">
        <f t="shared" si="20"/>
        <v>2033</v>
      </c>
      <c r="K108">
        <f t="shared" si="23"/>
        <v>5</v>
      </c>
      <c r="L108" s="101">
        <f t="shared" si="24"/>
        <v>2033</v>
      </c>
      <c r="M108" s="76">
        <f t="shared" si="21"/>
        <v>48700</v>
      </c>
      <c r="N108" s="77">
        <v>14.371</v>
      </c>
      <c r="O108" s="77">
        <v>22.404499999999999</v>
      </c>
      <c r="P108" s="77">
        <v>16.697299999999998</v>
      </c>
      <c r="Q108" s="78">
        <v>25.743099999999998</v>
      </c>
      <c r="S108" s="98">
        <v>23.94815376344086</v>
      </c>
      <c r="T108" s="100">
        <f t="shared" si="25"/>
        <v>0.93554184682923669</v>
      </c>
      <c r="U108" s="100">
        <f t="shared" si="26"/>
        <v>1.0749513408962361</v>
      </c>
      <c r="AD108" s="152" t="str">
        <f t="shared" si="16"/>
        <v>Winter</v>
      </c>
      <c r="AE108">
        <f t="shared" si="17"/>
        <v>11</v>
      </c>
      <c r="AF108" s="150">
        <v>45962</v>
      </c>
      <c r="AG108" s="151">
        <v>384</v>
      </c>
      <c r="AH108" s="151">
        <v>336</v>
      </c>
      <c r="AI108">
        <f t="shared" si="18"/>
        <v>24</v>
      </c>
      <c r="AJ108">
        <f t="shared" si="19"/>
        <v>6</v>
      </c>
    </row>
    <row r="109" spans="2:36" x14ac:dyDescent="0.2">
      <c r="B109" s="80">
        <f t="shared" si="22"/>
        <v>48731</v>
      </c>
      <c r="C109" s="73">
        <v>5.5007006122448976</v>
      </c>
      <c r="D109" s="73">
        <v>5.0853274025929807</v>
      </c>
      <c r="E109" s="81">
        <f t="shared" si="20"/>
        <v>2033</v>
      </c>
      <c r="K109">
        <f t="shared" si="23"/>
        <v>6</v>
      </c>
      <c r="L109" s="101">
        <f t="shared" si="24"/>
        <v>2033</v>
      </c>
      <c r="M109" s="76">
        <f t="shared" si="21"/>
        <v>48731</v>
      </c>
      <c r="N109" s="77">
        <v>27.055199999999999</v>
      </c>
      <c r="O109" s="77">
        <v>33.795400000000001</v>
      </c>
      <c r="P109" s="77">
        <v>27.619</v>
      </c>
      <c r="Q109" s="78">
        <v>37.076799999999999</v>
      </c>
      <c r="S109" s="98">
        <v>35.180880000000002</v>
      </c>
      <c r="T109" s="100">
        <f t="shared" si="25"/>
        <v>0.96061838134805044</v>
      </c>
      <c r="U109" s="100">
        <f t="shared" si="26"/>
        <v>1.0538906360500362</v>
      </c>
      <c r="AD109" s="152" t="str">
        <f t="shared" si="16"/>
        <v>Winter</v>
      </c>
      <c r="AE109">
        <f t="shared" si="17"/>
        <v>12</v>
      </c>
      <c r="AF109" s="150">
        <v>45992</v>
      </c>
      <c r="AG109" s="151">
        <v>416</v>
      </c>
      <c r="AH109" s="151">
        <v>328</v>
      </c>
      <c r="AI109">
        <f t="shared" si="18"/>
        <v>26</v>
      </c>
      <c r="AJ109">
        <f t="shared" si="19"/>
        <v>5</v>
      </c>
    </row>
    <row r="110" spans="2:36" x14ac:dyDescent="0.2">
      <c r="B110" s="80">
        <f t="shared" si="22"/>
        <v>48761</v>
      </c>
      <c r="C110" s="73">
        <v>5.5883536734693884</v>
      </c>
      <c r="D110" s="73">
        <v>5.1587587938124244</v>
      </c>
      <c r="E110" s="81">
        <f t="shared" si="20"/>
        <v>2033</v>
      </c>
      <c r="K110">
        <f t="shared" si="23"/>
        <v>7</v>
      </c>
      <c r="L110" s="101">
        <f t="shared" si="24"/>
        <v>2033</v>
      </c>
      <c r="M110" s="76">
        <f t="shared" si="21"/>
        <v>48761</v>
      </c>
      <c r="N110" s="77">
        <v>59.073700000000002</v>
      </c>
      <c r="O110" s="77">
        <v>59.761000000000003</v>
      </c>
      <c r="P110" s="77">
        <v>55.3874</v>
      </c>
      <c r="Q110" s="78">
        <v>62.2151</v>
      </c>
      <c r="S110" s="98">
        <v>60.895691397849461</v>
      </c>
      <c r="T110" s="100">
        <f t="shared" si="25"/>
        <v>0.98136663905437604</v>
      </c>
      <c r="U110" s="100">
        <f t="shared" si="26"/>
        <v>1.0216666987739815</v>
      </c>
      <c r="AD110" s="152" t="str">
        <f t="shared" si="16"/>
        <v>Winter</v>
      </c>
      <c r="AE110">
        <f t="shared" si="17"/>
        <v>1</v>
      </c>
      <c r="AF110" s="150">
        <v>46023</v>
      </c>
      <c r="AG110" s="151">
        <v>416</v>
      </c>
      <c r="AH110" s="151">
        <v>328</v>
      </c>
      <c r="AI110">
        <f t="shared" si="18"/>
        <v>26</v>
      </c>
      <c r="AJ110">
        <f t="shared" si="19"/>
        <v>5</v>
      </c>
    </row>
    <row r="111" spans="2:36" x14ac:dyDescent="0.2">
      <c r="B111" s="80">
        <f t="shared" si="22"/>
        <v>48792</v>
      </c>
      <c r="C111" s="73">
        <v>5.7137618367346938</v>
      </c>
      <c r="D111" s="73">
        <v>5.4253008695683747</v>
      </c>
      <c r="E111" s="81">
        <f t="shared" si="20"/>
        <v>2033</v>
      </c>
      <c r="K111">
        <f t="shared" si="23"/>
        <v>8</v>
      </c>
      <c r="L111" s="101">
        <f t="shared" si="24"/>
        <v>2033</v>
      </c>
      <c r="M111" s="76">
        <f t="shared" si="21"/>
        <v>48792</v>
      </c>
      <c r="N111" s="77">
        <v>64.336200000000005</v>
      </c>
      <c r="O111" s="77">
        <v>61.267899999999997</v>
      </c>
      <c r="P111" s="77">
        <v>53.910600000000002</v>
      </c>
      <c r="Q111" s="78">
        <v>55.075699999999998</v>
      </c>
      <c r="S111" s="98">
        <v>58.671170967741929</v>
      </c>
      <c r="T111" s="100">
        <f t="shared" si="25"/>
        <v>1.0442590285727513</v>
      </c>
      <c r="U111" s="100">
        <f t="shared" si="26"/>
        <v>0.93871826813003678</v>
      </c>
      <c r="AD111" s="152" t="str">
        <f t="shared" si="16"/>
        <v>Winter</v>
      </c>
      <c r="AE111">
        <f t="shared" si="17"/>
        <v>2</v>
      </c>
      <c r="AF111" s="150">
        <v>46054</v>
      </c>
      <c r="AG111" s="151">
        <v>384</v>
      </c>
      <c r="AH111" s="151">
        <v>288</v>
      </c>
      <c r="AI111">
        <f t="shared" si="18"/>
        <v>24</v>
      </c>
      <c r="AJ111">
        <f t="shared" si="19"/>
        <v>4</v>
      </c>
    </row>
    <row r="112" spans="2:36" x14ac:dyDescent="0.2">
      <c r="B112" s="80">
        <f t="shared" si="22"/>
        <v>48823</v>
      </c>
      <c r="C112" s="73">
        <v>5.8476393877551027</v>
      </c>
      <c r="D112" s="73">
        <v>5.4971906640512307</v>
      </c>
      <c r="E112" s="81">
        <f t="shared" si="20"/>
        <v>2033</v>
      </c>
      <c r="K112">
        <f t="shared" si="23"/>
        <v>9</v>
      </c>
      <c r="L112" s="101">
        <f t="shared" si="24"/>
        <v>2033</v>
      </c>
      <c r="M112" s="76">
        <f t="shared" si="21"/>
        <v>48823</v>
      </c>
      <c r="N112" s="77">
        <v>51.071599999999997</v>
      </c>
      <c r="O112" s="77">
        <v>47.841999999999999</v>
      </c>
      <c r="P112" s="77">
        <v>53.334800000000001</v>
      </c>
      <c r="Q112" s="78">
        <v>53.6629</v>
      </c>
      <c r="S112" s="98">
        <v>50.429066666666664</v>
      </c>
      <c r="T112" s="100">
        <f t="shared" si="25"/>
        <v>0.9486988985188437</v>
      </c>
      <c r="U112" s="100">
        <f t="shared" si="26"/>
        <v>1.0641263768514455</v>
      </c>
      <c r="AD112" s="152" t="str">
        <f t="shared" si="16"/>
        <v>Winter</v>
      </c>
      <c r="AE112">
        <f t="shared" si="17"/>
        <v>3</v>
      </c>
      <c r="AF112" s="150">
        <v>46082</v>
      </c>
      <c r="AG112" s="151">
        <v>416</v>
      </c>
      <c r="AH112" s="151">
        <v>328</v>
      </c>
      <c r="AI112">
        <f t="shared" si="18"/>
        <v>26</v>
      </c>
      <c r="AJ112">
        <f t="shared" si="19"/>
        <v>5</v>
      </c>
    </row>
    <row r="113" spans="2:36" x14ac:dyDescent="0.2">
      <c r="B113" s="80">
        <f t="shared" si="22"/>
        <v>48853</v>
      </c>
      <c r="C113" s="73">
        <v>5.9689659183673474</v>
      </c>
      <c r="D113" s="73">
        <v>5.8027351372428395</v>
      </c>
      <c r="E113" s="81">
        <f t="shared" si="20"/>
        <v>2033</v>
      </c>
      <c r="K113">
        <f t="shared" si="23"/>
        <v>10</v>
      </c>
      <c r="L113" s="101">
        <f t="shared" si="24"/>
        <v>2033</v>
      </c>
      <c r="M113" s="76">
        <f t="shared" si="21"/>
        <v>48853</v>
      </c>
      <c r="N113" s="77">
        <v>49.364100000000001</v>
      </c>
      <c r="O113" s="77">
        <v>37.754800000000003</v>
      </c>
      <c r="P113" s="77">
        <v>58.502099999999999</v>
      </c>
      <c r="Q113" s="78">
        <v>55.729399999999998</v>
      </c>
      <c r="S113" s="98">
        <v>45.679086021505384</v>
      </c>
      <c r="T113" s="100">
        <f t="shared" si="25"/>
        <v>0.82652266689892429</v>
      </c>
      <c r="U113" s="100">
        <f t="shared" si="26"/>
        <v>1.2200200322257542</v>
      </c>
      <c r="AD113" s="152" t="str">
        <f t="shared" si="16"/>
        <v>Winter</v>
      </c>
      <c r="AE113">
        <f t="shared" si="17"/>
        <v>4</v>
      </c>
      <c r="AF113" s="150">
        <v>46113</v>
      </c>
      <c r="AG113" s="151">
        <v>416</v>
      </c>
      <c r="AH113" s="151">
        <v>304</v>
      </c>
      <c r="AI113">
        <f t="shared" si="18"/>
        <v>26</v>
      </c>
      <c r="AJ113">
        <f t="shared" si="19"/>
        <v>4</v>
      </c>
    </row>
    <row r="114" spans="2:36" x14ac:dyDescent="0.2">
      <c r="B114" s="80">
        <f t="shared" si="22"/>
        <v>48884</v>
      </c>
      <c r="C114" s="73">
        <v>6.3287618367346941</v>
      </c>
      <c r="D114" s="73">
        <v>6.2462011318011292</v>
      </c>
      <c r="E114" s="81">
        <f t="shared" si="20"/>
        <v>2033</v>
      </c>
      <c r="K114">
        <f t="shared" si="23"/>
        <v>11</v>
      </c>
      <c r="L114" s="101">
        <f t="shared" si="24"/>
        <v>2033</v>
      </c>
      <c r="M114" s="76">
        <f t="shared" si="21"/>
        <v>48884</v>
      </c>
      <c r="N114" s="77">
        <v>64.477500000000006</v>
      </c>
      <c r="O114" s="77">
        <v>60.0854</v>
      </c>
      <c r="P114" s="77">
        <v>62.583300000000001</v>
      </c>
      <c r="Q114" s="78">
        <v>59.7333</v>
      </c>
      <c r="S114" s="98">
        <v>59.928639805825235</v>
      </c>
      <c r="T114" s="100">
        <f t="shared" si="25"/>
        <v>1.0026157809468508</v>
      </c>
      <c r="U114" s="100">
        <f t="shared" si="26"/>
        <v>0.99674045987931392</v>
      </c>
      <c r="AD114" s="152" t="str">
        <f t="shared" si="16"/>
        <v>Winter</v>
      </c>
      <c r="AE114">
        <f t="shared" si="17"/>
        <v>5</v>
      </c>
      <c r="AF114" s="150">
        <v>46143</v>
      </c>
      <c r="AG114" s="151">
        <v>400</v>
      </c>
      <c r="AH114" s="151">
        <v>344</v>
      </c>
      <c r="AI114">
        <f t="shared" si="18"/>
        <v>25</v>
      </c>
      <c r="AJ114">
        <f t="shared" si="19"/>
        <v>6</v>
      </c>
    </row>
    <row r="115" spans="2:36" x14ac:dyDescent="0.2">
      <c r="B115" s="82">
        <f t="shared" si="22"/>
        <v>48914</v>
      </c>
      <c r="C115" s="83">
        <v>6.5389659183673468</v>
      </c>
      <c r="D115" s="83">
        <v>6.4239986220875345</v>
      </c>
      <c r="E115" s="84">
        <f t="shared" si="20"/>
        <v>2033</v>
      </c>
      <c r="K115">
        <f t="shared" si="23"/>
        <v>12</v>
      </c>
      <c r="L115" s="101">
        <f t="shared" si="24"/>
        <v>2033</v>
      </c>
      <c r="M115" s="85">
        <f t="shared" si="21"/>
        <v>48914</v>
      </c>
      <c r="N115" s="86">
        <v>78.0715</v>
      </c>
      <c r="O115" s="86">
        <v>65.461500000000001</v>
      </c>
      <c r="P115" s="86">
        <v>80.476500000000001</v>
      </c>
      <c r="Q115" s="87">
        <v>72.936999999999998</v>
      </c>
      <c r="S115" s="98">
        <v>68.757150537634416</v>
      </c>
      <c r="T115" s="100">
        <f t="shared" si="25"/>
        <v>0.95206825018394947</v>
      </c>
      <c r="U115" s="100">
        <f t="shared" si="26"/>
        <v>1.060791487571576</v>
      </c>
      <c r="AD115" s="152" t="str">
        <f t="shared" si="16"/>
        <v>Summer</v>
      </c>
      <c r="AE115">
        <f t="shared" si="17"/>
        <v>6</v>
      </c>
      <c r="AF115" s="150">
        <v>46174</v>
      </c>
      <c r="AG115" s="151">
        <v>416</v>
      </c>
      <c r="AH115" s="151">
        <v>304</v>
      </c>
      <c r="AI115">
        <f t="shared" si="18"/>
        <v>26</v>
      </c>
      <c r="AJ115">
        <f t="shared" si="19"/>
        <v>4</v>
      </c>
    </row>
    <row r="116" spans="2:36" x14ac:dyDescent="0.2">
      <c r="B116" s="204">
        <f t="shared" si="22"/>
        <v>48945</v>
      </c>
      <c r="C116" s="73">
        <v>7.0308026530612251</v>
      </c>
      <c r="D116" s="73">
        <v>6.9162304600798699</v>
      </c>
      <c r="E116" s="203">
        <f t="shared" si="20"/>
        <v>2034</v>
      </c>
      <c r="K116">
        <f t="shared" si="23"/>
        <v>1</v>
      </c>
      <c r="L116" s="101">
        <f t="shared" si="24"/>
        <v>2034</v>
      </c>
      <c r="M116" s="76">
        <f t="shared" si="21"/>
        <v>48945</v>
      </c>
      <c r="N116" s="202">
        <v>72.758499999999998</v>
      </c>
      <c r="O116" s="202">
        <v>67.344899999999996</v>
      </c>
      <c r="P116" s="202">
        <v>70.8626</v>
      </c>
      <c r="Q116" s="201">
        <v>74.631399999999999</v>
      </c>
      <c r="S116" s="98">
        <v>70.713926881720425</v>
      </c>
      <c r="T116" s="100">
        <f t="shared" si="25"/>
        <v>0.95235695385216512</v>
      </c>
      <c r="U116" s="100">
        <f t="shared" si="26"/>
        <v>1.0553988908695755</v>
      </c>
      <c r="AD116" s="152" t="str">
        <f t="shared" si="16"/>
        <v>Summer</v>
      </c>
      <c r="AE116">
        <f t="shared" si="17"/>
        <v>7</v>
      </c>
      <c r="AF116" s="150">
        <v>46204</v>
      </c>
      <c r="AG116" s="151">
        <v>416</v>
      </c>
      <c r="AH116" s="151">
        <v>328</v>
      </c>
      <c r="AI116">
        <f t="shared" si="18"/>
        <v>26</v>
      </c>
      <c r="AJ116">
        <f t="shared" si="19"/>
        <v>5</v>
      </c>
    </row>
    <row r="117" spans="2:36" x14ac:dyDescent="0.2">
      <c r="B117" s="80">
        <f t="shared" si="22"/>
        <v>48976</v>
      </c>
      <c r="C117" s="73">
        <v>6.7997822448979592</v>
      </c>
      <c r="D117" s="73">
        <v>6.6930072526220252</v>
      </c>
      <c r="E117" s="81">
        <f t="shared" si="20"/>
        <v>2034</v>
      </c>
      <c r="K117">
        <f t="shared" si="23"/>
        <v>2</v>
      </c>
      <c r="L117" s="101">
        <f t="shared" si="24"/>
        <v>2034</v>
      </c>
      <c r="M117" s="76">
        <f t="shared" si="21"/>
        <v>48976</v>
      </c>
      <c r="N117" s="77">
        <v>95.876900000000006</v>
      </c>
      <c r="O117" s="77">
        <v>72.356800000000007</v>
      </c>
      <c r="P117" s="77">
        <v>90.070300000000003</v>
      </c>
      <c r="Q117" s="78">
        <v>76.725200000000001</v>
      </c>
      <c r="S117" s="98">
        <v>74.228971428571427</v>
      </c>
      <c r="T117" s="100">
        <f t="shared" si="25"/>
        <v>0.97477842690609073</v>
      </c>
      <c r="U117" s="100">
        <f t="shared" si="26"/>
        <v>1.0336287641252127</v>
      </c>
      <c r="AD117" s="152" t="str">
        <f t="shared" si="16"/>
        <v>Summer</v>
      </c>
      <c r="AE117">
        <f t="shared" si="17"/>
        <v>8</v>
      </c>
      <c r="AF117" s="150">
        <v>46235</v>
      </c>
      <c r="AG117" s="151">
        <v>416</v>
      </c>
      <c r="AH117" s="151">
        <v>328</v>
      </c>
      <c r="AI117">
        <f t="shared" si="18"/>
        <v>26</v>
      </c>
      <c r="AJ117">
        <f t="shared" si="19"/>
        <v>5</v>
      </c>
    </row>
    <row r="118" spans="2:36" x14ac:dyDescent="0.2">
      <c r="B118" s="80">
        <f t="shared" si="22"/>
        <v>49004</v>
      </c>
      <c r="C118" s="73">
        <v>5.8739659183673467</v>
      </c>
      <c r="D118" s="73">
        <v>5.7463640832416294</v>
      </c>
      <c r="E118" s="81">
        <f t="shared" si="20"/>
        <v>2034</v>
      </c>
      <c r="K118">
        <f t="shared" si="23"/>
        <v>3</v>
      </c>
      <c r="L118" s="101">
        <f t="shared" si="24"/>
        <v>2034</v>
      </c>
      <c r="M118" s="76">
        <f t="shared" si="21"/>
        <v>49004</v>
      </c>
      <c r="N118" s="77">
        <v>46.996000000000002</v>
      </c>
      <c r="O118" s="77">
        <v>36.994700000000002</v>
      </c>
      <c r="P118" s="77">
        <v>51.459899999999998</v>
      </c>
      <c r="Q118" s="78">
        <v>45.058399999999999</v>
      </c>
      <c r="S118" s="98">
        <v>40.369949932705246</v>
      </c>
      <c r="T118" s="100">
        <f t="shared" si="25"/>
        <v>0.91639202083897497</v>
      </c>
      <c r="U118" s="100">
        <f t="shared" si="26"/>
        <v>1.116137128609527</v>
      </c>
      <c r="AD118" s="152" t="str">
        <f t="shared" si="16"/>
        <v>Summer</v>
      </c>
      <c r="AE118">
        <f t="shared" si="17"/>
        <v>9</v>
      </c>
      <c r="AF118" s="150">
        <v>46266</v>
      </c>
      <c r="AG118" s="151">
        <v>400</v>
      </c>
      <c r="AH118" s="151">
        <v>320</v>
      </c>
      <c r="AI118">
        <f t="shared" si="18"/>
        <v>25</v>
      </c>
      <c r="AJ118">
        <f t="shared" si="19"/>
        <v>5</v>
      </c>
    </row>
    <row r="119" spans="2:36" x14ac:dyDescent="0.2">
      <c r="B119" s="80">
        <f t="shared" si="22"/>
        <v>49035</v>
      </c>
      <c r="C119" s="73">
        <v>5.55478224489796</v>
      </c>
      <c r="D119" s="73">
        <v>5.3135864927236787</v>
      </c>
      <c r="E119" s="81">
        <f t="shared" si="20"/>
        <v>2034</v>
      </c>
      <c r="K119">
        <f t="shared" si="23"/>
        <v>4</v>
      </c>
      <c r="L119" s="101">
        <f t="shared" si="24"/>
        <v>2034</v>
      </c>
      <c r="M119" s="76">
        <f t="shared" si="21"/>
        <v>49035</v>
      </c>
      <c r="N119" s="77">
        <v>36.822800000000001</v>
      </c>
      <c r="O119" s="77">
        <v>26.409099999999999</v>
      </c>
      <c r="P119" s="77">
        <v>35.933399999999999</v>
      </c>
      <c r="Q119" s="78">
        <v>28.166</v>
      </c>
      <c r="S119" s="98">
        <v>27.189944444444446</v>
      </c>
      <c r="T119" s="100">
        <f t="shared" si="25"/>
        <v>0.97128186686663154</v>
      </c>
      <c r="U119" s="100">
        <f t="shared" si="26"/>
        <v>1.0358976664167103</v>
      </c>
      <c r="AD119" s="152" t="str">
        <f t="shared" si="16"/>
        <v>Winter</v>
      </c>
      <c r="AE119">
        <f t="shared" si="17"/>
        <v>10</v>
      </c>
      <c r="AF119" s="150">
        <v>46296</v>
      </c>
      <c r="AG119" s="151">
        <v>432</v>
      </c>
      <c r="AH119" s="151">
        <v>312</v>
      </c>
      <c r="AI119">
        <f t="shared" si="18"/>
        <v>27</v>
      </c>
      <c r="AJ119">
        <f t="shared" si="19"/>
        <v>4</v>
      </c>
    </row>
    <row r="120" spans="2:36" x14ac:dyDescent="0.2">
      <c r="B120" s="80">
        <f t="shared" si="22"/>
        <v>49065</v>
      </c>
      <c r="C120" s="73">
        <v>5.5611087755102044</v>
      </c>
      <c r="D120" s="73">
        <v>5.1699096768737398</v>
      </c>
      <c r="E120" s="81">
        <f t="shared" si="20"/>
        <v>2034</v>
      </c>
      <c r="K120">
        <f t="shared" si="23"/>
        <v>5</v>
      </c>
      <c r="L120" s="101">
        <f t="shared" si="24"/>
        <v>2034</v>
      </c>
      <c r="M120" s="76">
        <f t="shared" si="21"/>
        <v>49065</v>
      </c>
      <c r="N120" s="77">
        <v>12.834099999999999</v>
      </c>
      <c r="O120" s="77">
        <v>18.545999999999999</v>
      </c>
      <c r="P120" s="77">
        <v>16.618099999999998</v>
      </c>
      <c r="Q120" s="78">
        <v>26.622399999999999</v>
      </c>
      <c r="S120" s="98">
        <v>22.106563440860217</v>
      </c>
      <c r="T120" s="100">
        <f t="shared" si="25"/>
        <v>0.83893636609844469</v>
      </c>
      <c r="U120" s="100">
        <f t="shared" si="26"/>
        <v>1.204275828362948</v>
      </c>
      <c r="AD120" s="152" t="str">
        <f t="shared" si="16"/>
        <v>Winter</v>
      </c>
      <c r="AE120">
        <f t="shared" si="17"/>
        <v>11</v>
      </c>
      <c r="AF120" s="150">
        <v>46327</v>
      </c>
      <c r="AG120" s="151">
        <v>384</v>
      </c>
      <c r="AH120" s="151">
        <v>336</v>
      </c>
      <c r="AI120">
        <f t="shared" si="18"/>
        <v>24</v>
      </c>
      <c r="AJ120">
        <f t="shared" si="19"/>
        <v>6</v>
      </c>
    </row>
    <row r="121" spans="2:36" x14ac:dyDescent="0.2">
      <c r="B121" s="80">
        <f t="shared" si="22"/>
        <v>49096</v>
      </c>
      <c r="C121" s="73">
        <v>5.6073332653061234</v>
      </c>
      <c r="D121" s="73">
        <v>5.1835271147135931</v>
      </c>
      <c r="E121" s="81">
        <f t="shared" si="20"/>
        <v>2034</v>
      </c>
      <c r="K121">
        <f t="shared" si="23"/>
        <v>6</v>
      </c>
      <c r="L121" s="101">
        <f t="shared" si="24"/>
        <v>2034</v>
      </c>
      <c r="M121" s="76">
        <f t="shared" si="21"/>
        <v>49096</v>
      </c>
      <c r="N121" s="77">
        <v>25.422499999999999</v>
      </c>
      <c r="O121" s="77">
        <v>33.838099999999997</v>
      </c>
      <c r="P121" s="77">
        <v>28.504999999999999</v>
      </c>
      <c r="Q121" s="78">
        <v>37.607900000000001</v>
      </c>
      <c r="S121" s="98">
        <v>35.429793333333336</v>
      </c>
      <c r="T121" s="100">
        <f t="shared" si="25"/>
        <v>0.95507472148205197</v>
      </c>
      <c r="U121" s="100">
        <f t="shared" si="26"/>
        <v>1.061476696919297</v>
      </c>
      <c r="AD121" s="152" t="str">
        <f t="shared" si="16"/>
        <v>Winter</v>
      </c>
      <c r="AE121">
        <f t="shared" si="17"/>
        <v>12</v>
      </c>
      <c r="AF121" s="150">
        <v>46357</v>
      </c>
      <c r="AG121" s="151">
        <v>416</v>
      </c>
      <c r="AH121" s="151">
        <v>328</v>
      </c>
      <c r="AI121">
        <f t="shared" si="18"/>
        <v>26</v>
      </c>
      <c r="AJ121">
        <f t="shared" si="19"/>
        <v>5</v>
      </c>
    </row>
    <row r="122" spans="2:36" x14ac:dyDescent="0.2">
      <c r="B122" s="80">
        <f t="shared" si="22"/>
        <v>49126</v>
      </c>
      <c r="C122" s="73">
        <v>5.672945510204082</v>
      </c>
      <c r="D122" s="73">
        <v>5.2604527918693016</v>
      </c>
      <c r="E122" s="81">
        <f t="shared" si="20"/>
        <v>2034</v>
      </c>
      <c r="K122">
        <f t="shared" si="23"/>
        <v>7</v>
      </c>
      <c r="L122" s="101">
        <f t="shared" si="24"/>
        <v>2034</v>
      </c>
      <c r="M122" s="76">
        <f t="shared" si="21"/>
        <v>49126</v>
      </c>
      <c r="N122" s="77">
        <v>58.048400000000001</v>
      </c>
      <c r="O122" s="77">
        <v>56.938000000000002</v>
      </c>
      <c r="P122" s="77">
        <v>56.0929</v>
      </c>
      <c r="Q122" s="78">
        <v>62.665999999999997</v>
      </c>
      <c r="S122" s="98">
        <v>59.58643010752688</v>
      </c>
      <c r="T122" s="100">
        <f t="shared" si="25"/>
        <v>0.95555313344418114</v>
      </c>
      <c r="U122" s="100">
        <f t="shared" si="26"/>
        <v>1.0516824029718825</v>
      </c>
      <c r="AD122" s="152" t="str">
        <f t="shared" si="16"/>
        <v>Winter</v>
      </c>
      <c r="AE122">
        <f t="shared" si="17"/>
        <v>1</v>
      </c>
      <c r="AF122" s="150">
        <v>46388</v>
      </c>
      <c r="AG122" s="151">
        <v>400</v>
      </c>
      <c r="AH122" s="151">
        <v>344</v>
      </c>
      <c r="AI122">
        <f t="shared" si="18"/>
        <v>25</v>
      </c>
      <c r="AJ122">
        <f t="shared" si="19"/>
        <v>6</v>
      </c>
    </row>
    <row r="123" spans="2:36" x14ac:dyDescent="0.2">
      <c r="B123" s="80">
        <f t="shared" si="22"/>
        <v>49157</v>
      </c>
      <c r="C123" s="73">
        <v>5.7737618367346943</v>
      </c>
      <c r="D123" s="73">
        <v>5.5162036904691405</v>
      </c>
      <c r="E123" s="81">
        <f t="shared" si="20"/>
        <v>2034</v>
      </c>
      <c r="K123">
        <f t="shared" si="23"/>
        <v>8</v>
      </c>
      <c r="L123" s="101">
        <f t="shared" si="24"/>
        <v>2034</v>
      </c>
      <c r="M123" s="76">
        <f t="shared" si="21"/>
        <v>49157</v>
      </c>
      <c r="N123" s="77">
        <v>63.5974</v>
      </c>
      <c r="O123" s="77">
        <v>58.532699999999998</v>
      </c>
      <c r="P123" s="77">
        <v>52.780900000000003</v>
      </c>
      <c r="Q123" s="78">
        <v>53.948</v>
      </c>
      <c r="S123" s="98">
        <v>56.610083870967742</v>
      </c>
      <c r="T123" s="100">
        <f t="shared" si="25"/>
        <v>1.0339624320892105</v>
      </c>
      <c r="U123" s="100">
        <f t="shared" si="26"/>
        <v>0.95297509403032377</v>
      </c>
      <c r="AD123" s="152" t="str">
        <f t="shared" si="16"/>
        <v>Winter</v>
      </c>
      <c r="AE123">
        <f t="shared" si="17"/>
        <v>2</v>
      </c>
      <c r="AF123" s="150">
        <v>46419</v>
      </c>
      <c r="AG123" s="151">
        <v>384</v>
      </c>
      <c r="AH123" s="151">
        <v>288</v>
      </c>
      <c r="AI123">
        <f t="shared" si="18"/>
        <v>24</v>
      </c>
      <c r="AJ123">
        <f t="shared" si="19"/>
        <v>4</v>
      </c>
    </row>
    <row r="124" spans="2:36" x14ac:dyDescent="0.2">
      <c r="B124" s="80">
        <f t="shared" si="22"/>
        <v>49188</v>
      </c>
      <c r="C124" s="73">
        <v>5.9134557142857149</v>
      </c>
      <c r="D124" s="73">
        <v>5.5675388617974981</v>
      </c>
      <c r="E124" s="81">
        <f t="shared" si="20"/>
        <v>2034</v>
      </c>
      <c r="K124">
        <f t="shared" si="23"/>
        <v>9</v>
      </c>
      <c r="L124" s="101">
        <f t="shared" si="24"/>
        <v>2034</v>
      </c>
      <c r="M124" s="76">
        <f t="shared" si="21"/>
        <v>49188</v>
      </c>
      <c r="N124" s="77">
        <v>52.694400000000002</v>
      </c>
      <c r="O124" s="77">
        <v>47.5199</v>
      </c>
      <c r="P124" s="77">
        <v>55.136699999999998</v>
      </c>
      <c r="Q124" s="78">
        <v>54.636800000000001</v>
      </c>
      <c r="S124" s="98">
        <v>50.682966666666665</v>
      </c>
      <c r="T124" s="100">
        <f t="shared" si="25"/>
        <v>0.93759113022192209</v>
      </c>
      <c r="U124" s="100">
        <f t="shared" si="26"/>
        <v>1.0780110872225974</v>
      </c>
      <c r="AD124" s="152" t="str">
        <f t="shared" si="16"/>
        <v>Winter</v>
      </c>
      <c r="AE124">
        <f t="shared" si="17"/>
        <v>3</v>
      </c>
      <c r="AF124" s="150">
        <v>46447</v>
      </c>
      <c r="AG124" s="151">
        <v>432</v>
      </c>
      <c r="AH124" s="151">
        <v>312</v>
      </c>
      <c r="AI124">
        <f t="shared" si="18"/>
        <v>27</v>
      </c>
      <c r="AJ124">
        <f t="shared" si="19"/>
        <v>4</v>
      </c>
    </row>
    <row r="125" spans="2:36" x14ac:dyDescent="0.2">
      <c r="B125" s="80">
        <f t="shared" si="22"/>
        <v>49218</v>
      </c>
      <c r="C125" s="73">
        <v>6.0149863265306127</v>
      </c>
      <c r="D125" s="73">
        <v>5.8231869872815647</v>
      </c>
      <c r="E125" s="81">
        <f t="shared" si="20"/>
        <v>2034</v>
      </c>
      <c r="K125">
        <f t="shared" si="23"/>
        <v>10</v>
      </c>
      <c r="L125" s="101">
        <f t="shared" si="24"/>
        <v>2034</v>
      </c>
      <c r="M125" s="76">
        <f t="shared" si="21"/>
        <v>49218</v>
      </c>
      <c r="N125" s="77">
        <v>50.9163</v>
      </c>
      <c r="O125" s="77">
        <v>39.025500000000001</v>
      </c>
      <c r="P125" s="77">
        <v>56.538499999999999</v>
      </c>
      <c r="Q125" s="78">
        <v>51.122799999999998</v>
      </c>
      <c r="S125" s="98">
        <v>44.358718279569885</v>
      </c>
      <c r="T125" s="100">
        <f t="shared" si="25"/>
        <v>0.8797706857543226</v>
      </c>
      <c r="U125" s="100">
        <f t="shared" si="26"/>
        <v>1.1524859595311034</v>
      </c>
      <c r="AD125" s="152" t="str">
        <f t="shared" si="16"/>
        <v>Winter</v>
      </c>
      <c r="AE125">
        <f t="shared" si="17"/>
        <v>4</v>
      </c>
      <c r="AF125" s="150">
        <v>46478</v>
      </c>
      <c r="AG125" s="151">
        <v>416</v>
      </c>
      <c r="AH125" s="151">
        <v>304</v>
      </c>
      <c r="AI125">
        <f t="shared" si="18"/>
        <v>26</v>
      </c>
      <c r="AJ125">
        <f t="shared" si="19"/>
        <v>4</v>
      </c>
    </row>
    <row r="126" spans="2:36" x14ac:dyDescent="0.2">
      <c r="B126" s="80">
        <f t="shared" si="22"/>
        <v>49249</v>
      </c>
      <c r="C126" s="73">
        <v>6.4120271428571431</v>
      </c>
      <c r="D126" s="73">
        <v>6.2800134868902786</v>
      </c>
      <c r="E126" s="81">
        <f t="shared" si="20"/>
        <v>2034</v>
      </c>
      <c r="K126">
        <f t="shared" si="23"/>
        <v>11</v>
      </c>
      <c r="L126" s="101">
        <f t="shared" si="24"/>
        <v>2034</v>
      </c>
      <c r="M126" s="76">
        <f t="shared" si="21"/>
        <v>49249</v>
      </c>
      <c r="N126" s="77">
        <v>69.095699999999994</v>
      </c>
      <c r="O126" s="77">
        <v>62.442399999999999</v>
      </c>
      <c r="P126" s="77">
        <v>65.113299999999995</v>
      </c>
      <c r="Q126" s="78">
        <v>58.715699999999998</v>
      </c>
      <c r="S126" s="98">
        <v>60.783217337031893</v>
      </c>
      <c r="T126" s="100">
        <f t="shared" si="25"/>
        <v>1.0272967232676784</v>
      </c>
      <c r="U126" s="100">
        <f t="shared" si="26"/>
        <v>0.96598539156675622</v>
      </c>
      <c r="AD126" s="152" t="str">
        <f t="shared" si="16"/>
        <v>Winter</v>
      </c>
      <c r="AE126">
        <f t="shared" si="17"/>
        <v>5</v>
      </c>
      <c r="AF126" s="150">
        <v>46508</v>
      </c>
      <c r="AG126" s="151">
        <v>400</v>
      </c>
      <c r="AH126" s="151">
        <v>344</v>
      </c>
      <c r="AI126">
        <f t="shared" si="18"/>
        <v>25</v>
      </c>
      <c r="AJ126">
        <f t="shared" si="19"/>
        <v>6</v>
      </c>
    </row>
    <row r="127" spans="2:36" x14ac:dyDescent="0.2">
      <c r="B127" s="82">
        <f t="shared" si="22"/>
        <v>49279</v>
      </c>
      <c r="C127" s="83">
        <v>6.5848842857142857</v>
      </c>
      <c r="D127" s="83">
        <v>6.4668036248067766</v>
      </c>
      <c r="E127" s="84">
        <f t="shared" si="20"/>
        <v>2034</v>
      </c>
      <c r="K127">
        <f t="shared" si="23"/>
        <v>12</v>
      </c>
      <c r="L127" s="101">
        <f t="shared" si="24"/>
        <v>2034</v>
      </c>
      <c r="M127" s="85">
        <f t="shared" si="21"/>
        <v>49279</v>
      </c>
      <c r="N127" s="86">
        <v>79.499300000000005</v>
      </c>
      <c r="O127" s="86">
        <v>69.054900000000004</v>
      </c>
      <c r="P127" s="86">
        <v>82.194500000000005</v>
      </c>
      <c r="Q127" s="87">
        <v>73.896699999999996</v>
      </c>
      <c r="S127" s="98">
        <v>71.293581720430112</v>
      </c>
      <c r="T127" s="100">
        <f t="shared" si="25"/>
        <v>0.96859911276152666</v>
      </c>
      <c r="U127" s="100">
        <f t="shared" si="26"/>
        <v>1.0365126595796199</v>
      </c>
      <c r="AD127" s="152" t="str">
        <f t="shared" si="16"/>
        <v>Summer</v>
      </c>
      <c r="AE127">
        <f t="shared" si="17"/>
        <v>6</v>
      </c>
      <c r="AF127" s="150">
        <v>46539</v>
      </c>
      <c r="AG127" s="151">
        <v>416</v>
      </c>
      <c r="AH127" s="151">
        <v>304</v>
      </c>
      <c r="AI127">
        <f t="shared" si="18"/>
        <v>26</v>
      </c>
      <c r="AJ127">
        <f t="shared" si="19"/>
        <v>4</v>
      </c>
    </row>
    <row r="128" spans="2:36" x14ac:dyDescent="0.2">
      <c r="B128" s="204">
        <f t="shared" si="22"/>
        <v>49310</v>
      </c>
      <c r="C128" s="73">
        <v>7.3360067346938775</v>
      </c>
      <c r="D128" s="73">
        <v>7.2181778742194433</v>
      </c>
      <c r="E128" s="203">
        <f t="shared" si="20"/>
        <v>2035</v>
      </c>
      <c r="K128">
        <f t="shared" si="23"/>
        <v>1</v>
      </c>
      <c r="L128" s="101">
        <f t="shared" si="24"/>
        <v>2035</v>
      </c>
      <c r="M128" s="76">
        <f t="shared" si="21"/>
        <v>49310</v>
      </c>
      <c r="N128" s="202">
        <v>71.123099999999994</v>
      </c>
      <c r="O128" s="202">
        <v>69.059700000000007</v>
      </c>
      <c r="P128" s="202">
        <v>69.285899999999998</v>
      </c>
      <c r="Q128" s="201">
        <v>74.836299999999994</v>
      </c>
      <c r="S128" s="98">
        <v>71.606373118279578</v>
      </c>
      <c r="T128" s="100">
        <f t="shared" si="25"/>
        <v>0.96443510532124044</v>
      </c>
      <c r="U128" s="100">
        <f t="shared" si="26"/>
        <v>1.0451066956901338</v>
      </c>
      <c r="AD128" s="152" t="str">
        <f t="shared" si="16"/>
        <v>Summer</v>
      </c>
      <c r="AE128">
        <f t="shared" si="17"/>
        <v>7</v>
      </c>
      <c r="AF128" s="150">
        <v>46569</v>
      </c>
      <c r="AG128" s="151">
        <v>416</v>
      </c>
      <c r="AH128" s="151">
        <v>328</v>
      </c>
      <c r="AI128">
        <f t="shared" si="18"/>
        <v>26</v>
      </c>
      <c r="AJ128">
        <f t="shared" si="19"/>
        <v>5</v>
      </c>
    </row>
    <row r="129" spans="2:36" x14ac:dyDescent="0.2">
      <c r="B129" s="80">
        <f t="shared" si="22"/>
        <v>49341</v>
      </c>
      <c r="C129" s="73">
        <v>6.9148842857142858</v>
      </c>
      <c r="D129" s="73">
        <v>6.8048244025824927</v>
      </c>
      <c r="E129" s="81">
        <f t="shared" si="20"/>
        <v>2035</v>
      </c>
      <c r="K129">
        <f t="shared" si="23"/>
        <v>2</v>
      </c>
      <c r="L129" s="101">
        <f t="shared" si="24"/>
        <v>2035</v>
      </c>
      <c r="M129" s="76">
        <f t="shared" si="21"/>
        <v>49341</v>
      </c>
      <c r="N129" s="77">
        <v>98.328400000000002</v>
      </c>
      <c r="O129" s="77">
        <v>73.487099999999998</v>
      </c>
      <c r="P129" s="77">
        <v>90.747299999999996</v>
      </c>
      <c r="Q129" s="78">
        <v>78.566000000000003</v>
      </c>
      <c r="S129" s="98">
        <v>75.663771428571422</v>
      </c>
      <c r="T129" s="100">
        <f t="shared" si="25"/>
        <v>0.97123231650399211</v>
      </c>
      <c r="U129" s="100">
        <f t="shared" si="26"/>
        <v>1.0383569113280107</v>
      </c>
      <c r="AD129" s="152" t="str">
        <f t="shared" si="16"/>
        <v>Summer</v>
      </c>
      <c r="AE129">
        <f t="shared" si="17"/>
        <v>8</v>
      </c>
      <c r="AF129" s="150">
        <v>46600</v>
      </c>
      <c r="AG129" s="151">
        <v>416</v>
      </c>
      <c r="AH129" s="151">
        <v>328</v>
      </c>
      <c r="AI129">
        <f t="shared" si="18"/>
        <v>26</v>
      </c>
      <c r="AJ129">
        <f t="shared" si="19"/>
        <v>5</v>
      </c>
    </row>
    <row r="130" spans="2:36" x14ac:dyDescent="0.2">
      <c r="B130" s="80">
        <f t="shared" si="22"/>
        <v>49369</v>
      </c>
      <c r="C130" s="73">
        <v>5.9942720408163268</v>
      </c>
      <c r="D130" s="73">
        <v>5.8635768217801525</v>
      </c>
      <c r="E130" s="81">
        <f t="shared" si="20"/>
        <v>2035</v>
      </c>
      <c r="K130">
        <f t="shared" si="23"/>
        <v>3</v>
      </c>
      <c r="L130" s="101">
        <f t="shared" si="24"/>
        <v>2035</v>
      </c>
      <c r="M130" s="76">
        <f t="shared" si="21"/>
        <v>49369</v>
      </c>
      <c r="N130" s="77">
        <v>46.959800000000001</v>
      </c>
      <c r="O130" s="77">
        <v>36.347200000000001</v>
      </c>
      <c r="P130" s="77">
        <v>48.088299999999997</v>
      </c>
      <c r="Q130" s="78">
        <v>42.182000000000002</v>
      </c>
      <c r="S130" s="98">
        <v>38.78949179004038</v>
      </c>
      <c r="T130" s="100">
        <f t="shared" si="25"/>
        <v>0.93703728310595025</v>
      </c>
      <c r="U130" s="100">
        <f t="shared" si="26"/>
        <v>1.0874594652676188</v>
      </c>
      <c r="AD130" s="152" t="str">
        <f t="shared" ref="AD130:AD193" si="27">IF(AND(AE130&gt;=6,AE130&lt;=9),"Summer","Winter")</f>
        <v>Summer</v>
      </c>
      <c r="AE130">
        <f t="shared" ref="AE130:AE193" si="28">MONTH(AF130)</f>
        <v>9</v>
      </c>
      <c r="AF130" s="150">
        <v>46631</v>
      </c>
      <c r="AG130" s="151">
        <v>400</v>
      </c>
      <c r="AH130" s="151">
        <v>320</v>
      </c>
      <c r="AI130">
        <f t="shared" ref="AI130:AI193" si="29">AG130/16</f>
        <v>25</v>
      </c>
      <c r="AJ130">
        <f t="shared" ref="AJ130:AJ193" si="30">EDATE(AF130,1)-AF130-AI130</f>
        <v>5</v>
      </c>
    </row>
    <row r="131" spans="2:36" x14ac:dyDescent="0.2">
      <c r="B131" s="80">
        <f t="shared" si="22"/>
        <v>49400</v>
      </c>
      <c r="C131" s="73">
        <v>5.67978224489796</v>
      </c>
      <c r="D131" s="73">
        <v>5.4176956590012102</v>
      </c>
      <c r="E131" s="81">
        <f t="shared" si="20"/>
        <v>2035</v>
      </c>
      <c r="K131">
        <f t="shared" si="23"/>
        <v>4</v>
      </c>
      <c r="L131" s="101">
        <f t="shared" si="24"/>
        <v>2035</v>
      </c>
      <c r="M131" s="76">
        <f t="shared" si="21"/>
        <v>49400</v>
      </c>
      <c r="N131" s="77">
        <v>37.0167</v>
      </c>
      <c r="O131" s="77">
        <v>26.860099999999999</v>
      </c>
      <c r="P131" s="77">
        <v>32.833199999999998</v>
      </c>
      <c r="Q131" s="78">
        <v>23.210699999999999</v>
      </c>
      <c r="S131" s="98">
        <v>25.238144444444444</v>
      </c>
      <c r="T131" s="100">
        <f t="shared" si="25"/>
        <v>1.0642660382234475</v>
      </c>
      <c r="U131" s="100">
        <f t="shared" si="26"/>
        <v>0.91966745222069057</v>
      </c>
      <c r="AD131" s="152" t="str">
        <f t="shared" si="27"/>
        <v>Winter</v>
      </c>
      <c r="AE131">
        <f t="shared" si="28"/>
        <v>10</v>
      </c>
      <c r="AF131" s="150">
        <v>46661</v>
      </c>
      <c r="AG131" s="151">
        <v>416</v>
      </c>
      <c r="AH131" s="151">
        <v>328</v>
      </c>
      <c r="AI131">
        <f t="shared" si="29"/>
        <v>26</v>
      </c>
      <c r="AJ131">
        <f t="shared" si="30"/>
        <v>5</v>
      </c>
    </row>
    <row r="132" spans="2:36" x14ac:dyDescent="0.2">
      <c r="B132" s="80">
        <f t="shared" si="22"/>
        <v>49430</v>
      </c>
      <c r="C132" s="73">
        <v>5.6800883673469391</v>
      </c>
      <c r="D132" s="73">
        <v>5.2779756081085107</v>
      </c>
      <c r="E132" s="81">
        <f t="shared" si="20"/>
        <v>2035</v>
      </c>
      <c r="K132">
        <f t="shared" si="23"/>
        <v>5</v>
      </c>
      <c r="L132" s="101">
        <f t="shared" si="24"/>
        <v>2035</v>
      </c>
      <c r="M132" s="76">
        <f t="shared" si="21"/>
        <v>49430</v>
      </c>
      <c r="N132" s="77">
        <v>10.0723</v>
      </c>
      <c r="O132" s="77">
        <v>17.256799999999998</v>
      </c>
      <c r="P132" s="77">
        <v>9.9725999999999999</v>
      </c>
      <c r="Q132" s="78">
        <v>17.8246</v>
      </c>
      <c r="S132" s="98">
        <v>17.507120430107527</v>
      </c>
      <c r="T132" s="100">
        <f t="shared" si="25"/>
        <v>0.9857017931014489</v>
      </c>
      <c r="U132" s="100">
        <f t="shared" si="26"/>
        <v>1.0181343111884062</v>
      </c>
      <c r="AD132" s="152" t="str">
        <f t="shared" si="27"/>
        <v>Winter</v>
      </c>
      <c r="AE132">
        <f t="shared" si="28"/>
        <v>11</v>
      </c>
      <c r="AF132" s="150">
        <v>46692</v>
      </c>
      <c r="AG132" s="151">
        <v>400</v>
      </c>
      <c r="AH132" s="151">
        <v>320</v>
      </c>
      <c r="AI132">
        <f t="shared" si="29"/>
        <v>25</v>
      </c>
      <c r="AJ132">
        <f t="shared" si="30"/>
        <v>5</v>
      </c>
    </row>
    <row r="133" spans="2:36" x14ac:dyDescent="0.2">
      <c r="B133" s="80">
        <f t="shared" si="22"/>
        <v>49461</v>
      </c>
      <c r="C133" s="73">
        <v>5.7237618367346945</v>
      </c>
      <c r="D133" s="73">
        <v>5.2945734663057689</v>
      </c>
      <c r="E133" s="81">
        <f t="shared" si="20"/>
        <v>2035</v>
      </c>
      <c r="K133">
        <f t="shared" si="23"/>
        <v>6</v>
      </c>
      <c r="L133" s="101">
        <f t="shared" si="24"/>
        <v>2035</v>
      </c>
      <c r="M133" s="76">
        <f t="shared" si="21"/>
        <v>49461</v>
      </c>
      <c r="N133" s="77">
        <v>21.5459</v>
      </c>
      <c r="O133" s="77">
        <v>29.411799999999999</v>
      </c>
      <c r="P133" s="77">
        <v>23.196000000000002</v>
      </c>
      <c r="Q133" s="78">
        <v>34.151000000000003</v>
      </c>
      <c r="S133" s="98">
        <v>31.412795555555558</v>
      </c>
      <c r="T133" s="100">
        <f t="shared" si="25"/>
        <v>0.93629998476204801</v>
      </c>
      <c r="U133" s="100">
        <f t="shared" si="26"/>
        <v>1.0871684419045657</v>
      </c>
      <c r="AD133" s="152" t="str">
        <f t="shared" si="27"/>
        <v>Winter</v>
      </c>
      <c r="AE133">
        <f t="shared" si="28"/>
        <v>12</v>
      </c>
      <c r="AF133" s="150">
        <v>46722</v>
      </c>
      <c r="AG133" s="151">
        <v>416</v>
      </c>
      <c r="AH133" s="151">
        <v>328</v>
      </c>
      <c r="AI133">
        <f t="shared" si="29"/>
        <v>26</v>
      </c>
      <c r="AJ133">
        <f t="shared" si="30"/>
        <v>5</v>
      </c>
    </row>
    <row r="134" spans="2:36" x14ac:dyDescent="0.2">
      <c r="B134" s="80">
        <f t="shared" si="22"/>
        <v>49491</v>
      </c>
      <c r="C134" s="73">
        <v>5.797639387755102</v>
      </c>
      <c r="D134" s="73">
        <v>5.3882511613323931</v>
      </c>
      <c r="E134" s="81">
        <f t="shared" si="20"/>
        <v>2035</v>
      </c>
      <c r="K134">
        <f t="shared" si="23"/>
        <v>7</v>
      </c>
      <c r="L134" s="101">
        <f t="shared" si="24"/>
        <v>2035</v>
      </c>
      <c r="M134" s="76">
        <f t="shared" si="21"/>
        <v>49491</v>
      </c>
      <c r="N134" s="77">
        <v>52.007800000000003</v>
      </c>
      <c r="O134" s="77">
        <v>52.943199999999997</v>
      </c>
      <c r="P134" s="77">
        <v>53.249299999999998</v>
      </c>
      <c r="Q134" s="78">
        <v>61.328800000000001</v>
      </c>
      <c r="S134" s="98">
        <v>56.820412903225808</v>
      </c>
      <c r="T134" s="100">
        <f t="shared" si="25"/>
        <v>0.9317637323433513</v>
      </c>
      <c r="U134" s="100">
        <f t="shared" si="26"/>
        <v>1.0793444972751729</v>
      </c>
      <c r="AD134" s="152" t="str">
        <f t="shared" si="27"/>
        <v>Winter</v>
      </c>
      <c r="AE134">
        <f t="shared" si="28"/>
        <v>1</v>
      </c>
      <c r="AF134" s="150">
        <v>46753</v>
      </c>
      <c r="AG134" s="151">
        <v>400</v>
      </c>
      <c r="AH134" s="151">
        <v>344</v>
      </c>
      <c r="AI134">
        <f t="shared" si="29"/>
        <v>25</v>
      </c>
      <c r="AJ134">
        <f t="shared" si="30"/>
        <v>6</v>
      </c>
    </row>
    <row r="135" spans="2:36" x14ac:dyDescent="0.2">
      <c r="B135" s="80">
        <f t="shared" si="22"/>
        <v>49522</v>
      </c>
      <c r="C135" s="73">
        <v>5.9149863265306131</v>
      </c>
      <c r="D135" s="73">
        <v>5.6805379025893492</v>
      </c>
      <c r="E135" s="81">
        <f t="shared" si="20"/>
        <v>2035</v>
      </c>
      <c r="K135">
        <f t="shared" si="23"/>
        <v>8</v>
      </c>
      <c r="L135" s="101">
        <f t="shared" si="24"/>
        <v>2035</v>
      </c>
      <c r="M135" s="76">
        <f t="shared" si="21"/>
        <v>49522</v>
      </c>
      <c r="N135" s="77">
        <v>64.652000000000001</v>
      </c>
      <c r="O135" s="77">
        <v>57.944299999999998</v>
      </c>
      <c r="P135" s="77">
        <v>54.565600000000003</v>
      </c>
      <c r="Q135" s="78">
        <v>56.091700000000003</v>
      </c>
      <c r="S135" s="98">
        <v>57.167403225806453</v>
      </c>
      <c r="T135" s="100">
        <f t="shared" si="25"/>
        <v>1.0135898559380923</v>
      </c>
      <c r="U135" s="100">
        <f t="shared" si="26"/>
        <v>0.98118327639341052</v>
      </c>
      <c r="AD135" s="152" t="str">
        <f t="shared" si="27"/>
        <v>Winter</v>
      </c>
      <c r="AE135">
        <f t="shared" si="28"/>
        <v>2</v>
      </c>
      <c r="AF135" s="150">
        <v>46784</v>
      </c>
      <c r="AG135" s="151">
        <v>400</v>
      </c>
      <c r="AH135" s="151">
        <v>296</v>
      </c>
      <c r="AI135">
        <f t="shared" si="29"/>
        <v>25</v>
      </c>
      <c r="AJ135">
        <f t="shared" si="30"/>
        <v>4</v>
      </c>
    </row>
    <row r="136" spans="2:36" x14ac:dyDescent="0.2">
      <c r="B136" s="80">
        <f t="shared" si="22"/>
        <v>49553</v>
      </c>
      <c r="C136" s="73">
        <v>6.0749863265306123</v>
      </c>
      <c r="D136" s="73">
        <v>5.7334146706542963</v>
      </c>
      <c r="E136" s="81">
        <f t="shared" ref="E136:E199" si="31">YEAR(B136)</f>
        <v>2035</v>
      </c>
      <c r="K136">
        <f t="shared" si="23"/>
        <v>9</v>
      </c>
      <c r="L136" s="101">
        <f t="shared" si="24"/>
        <v>2035</v>
      </c>
      <c r="M136" s="76">
        <f t="shared" ref="M136:M199" si="32">B136</f>
        <v>49553</v>
      </c>
      <c r="N136" s="77">
        <v>48.240600000000001</v>
      </c>
      <c r="O136" s="77">
        <v>44.578400000000002</v>
      </c>
      <c r="P136" s="77">
        <v>52.509700000000002</v>
      </c>
      <c r="Q136" s="78">
        <v>53.527900000000002</v>
      </c>
      <c r="S136" s="98">
        <v>48.75483333333333</v>
      </c>
      <c r="T136" s="100">
        <f t="shared" si="25"/>
        <v>0.9143380656276815</v>
      </c>
      <c r="U136" s="100">
        <f t="shared" si="26"/>
        <v>1.0978993535683643</v>
      </c>
      <c r="AD136" s="152" t="str">
        <f t="shared" si="27"/>
        <v>Winter</v>
      </c>
      <c r="AE136">
        <f t="shared" si="28"/>
        <v>3</v>
      </c>
      <c r="AF136" s="150">
        <v>46813</v>
      </c>
      <c r="AG136" s="151">
        <v>432</v>
      </c>
      <c r="AH136" s="151">
        <v>312</v>
      </c>
      <c r="AI136">
        <f t="shared" si="29"/>
        <v>27</v>
      </c>
      <c r="AJ136">
        <f t="shared" si="30"/>
        <v>4</v>
      </c>
    </row>
    <row r="137" spans="2:36" x14ac:dyDescent="0.2">
      <c r="B137" s="80">
        <f t="shared" ref="B137:B200" si="33">EDATE(B136,1)</f>
        <v>49583</v>
      </c>
      <c r="C137" s="73">
        <v>6.2302924489795926</v>
      </c>
      <c r="D137" s="73">
        <v>5.994252838484873</v>
      </c>
      <c r="E137" s="81">
        <f t="shared" si="31"/>
        <v>2035</v>
      </c>
      <c r="K137">
        <f t="shared" ref="K137:K200" si="34">MONTH(M137)</f>
        <v>10</v>
      </c>
      <c r="L137" s="101">
        <f t="shared" ref="L137:L200" si="35">YEAR(M137)</f>
        <v>2035</v>
      </c>
      <c r="M137" s="76">
        <f t="shared" si="32"/>
        <v>49583</v>
      </c>
      <c r="N137" s="77">
        <v>46.882599999999996</v>
      </c>
      <c r="O137" s="77">
        <v>35.396099999999997</v>
      </c>
      <c r="P137" s="77">
        <v>54.486400000000003</v>
      </c>
      <c r="Q137" s="78">
        <v>49.399900000000002</v>
      </c>
      <c r="S137" s="98">
        <v>41.268661290322584</v>
      </c>
      <c r="T137" s="100">
        <f t="shared" ref="T137:T200" si="36">O137/S137</f>
        <v>0.85769925394454971</v>
      </c>
      <c r="U137" s="100">
        <f t="shared" ref="U137:U200" si="37">Q137/S137</f>
        <v>1.1970318022306232</v>
      </c>
      <c r="AD137" s="152" t="str">
        <f t="shared" si="27"/>
        <v>Winter</v>
      </c>
      <c r="AE137">
        <f t="shared" si="28"/>
        <v>4</v>
      </c>
      <c r="AF137" s="150">
        <v>46844</v>
      </c>
      <c r="AG137" s="151">
        <v>400</v>
      </c>
      <c r="AH137" s="151">
        <v>320</v>
      </c>
      <c r="AI137">
        <f t="shared" si="29"/>
        <v>25</v>
      </c>
      <c r="AJ137">
        <f t="shared" si="30"/>
        <v>5</v>
      </c>
    </row>
    <row r="138" spans="2:36" x14ac:dyDescent="0.2">
      <c r="B138" s="80">
        <f t="shared" si="33"/>
        <v>49614</v>
      </c>
      <c r="C138" s="73">
        <v>6.6150883673469387</v>
      </c>
      <c r="D138" s="73">
        <v>6.4992285428329959</v>
      </c>
      <c r="E138" s="81">
        <f t="shared" si="31"/>
        <v>2035</v>
      </c>
      <c r="K138">
        <f t="shared" si="34"/>
        <v>11</v>
      </c>
      <c r="L138" s="101">
        <f t="shared" si="35"/>
        <v>2035</v>
      </c>
      <c r="M138" s="76">
        <f t="shared" si="32"/>
        <v>49614</v>
      </c>
      <c r="N138" s="77">
        <v>61.716799999999999</v>
      </c>
      <c r="O138" s="77">
        <v>58.447499999999998</v>
      </c>
      <c r="P138" s="77">
        <v>59.167999999999999</v>
      </c>
      <c r="Q138" s="78">
        <v>57.8155</v>
      </c>
      <c r="S138" s="98">
        <v>58.166124133148401</v>
      </c>
      <c r="T138" s="100">
        <f t="shared" si="36"/>
        <v>1.0048374525730388</v>
      </c>
      <c r="U138" s="100">
        <f t="shared" si="37"/>
        <v>0.99397202171583954</v>
      </c>
      <c r="AD138" s="152" t="str">
        <f t="shared" si="27"/>
        <v>Winter</v>
      </c>
      <c r="AE138">
        <f t="shared" si="28"/>
        <v>5</v>
      </c>
      <c r="AF138" s="150">
        <v>46874</v>
      </c>
      <c r="AG138" s="151">
        <v>416</v>
      </c>
      <c r="AH138" s="151">
        <v>328</v>
      </c>
      <c r="AI138">
        <f t="shared" si="29"/>
        <v>26</v>
      </c>
      <c r="AJ138">
        <f t="shared" si="30"/>
        <v>5</v>
      </c>
    </row>
    <row r="139" spans="2:36" x14ac:dyDescent="0.2">
      <c r="B139" s="82">
        <f t="shared" si="33"/>
        <v>49644</v>
      </c>
      <c r="C139" s="83">
        <v>6.8677414285714296</v>
      </c>
      <c r="D139" s="83">
        <v>6.7221948175014123</v>
      </c>
      <c r="E139" s="84">
        <f t="shared" si="31"/>
        <v>2035</v>
      </c>
      <c r="K139">
        <f t="shared" si="34"/>
        <v>12</v>
      </c>
      <c r="L139" s="101">
        <f t="shared" si="35"/>
        <v>2035</v>
      </c>
      <c r="M139" s="85">
        <f t="shared" si="32"/>
        <v>49644</v>
      </c>
      <c r="N139" s="86">
        <v>77.897999999999996</v>
      </c>
      <c r="O139" s="86">
        <v>66.618200000000002</v>
      </c>
      <c r="P139" s="86">
        <v>77.736699999999999</v>
      </c>
      <c r="Q139" s="87">
        <v>73.353999999999999</v>
      </c>
      <c r="S139" s="98">
        <v>69.732602150537645</v>
      </c>
      <c r="T139" s="100">
        <f t="shared" si="36"/>
        <v>0.95533793298270553</v>
      </c>
      <c r="U139" s="100">
        <f t="shared" si="37"/>
        <v>1.0519326360666212</v>
      </c>
      <c r="AD139" s="152" t="str">
        <f t="shared" si="27"/>
        <v>Summer</v>
      </c>
      <c r="AE139">
        <f t="shared" si="28"/>
        <v>6</v>
      </c>
      <c r="AF139" s="150">
        <v>46905</v>
      </c>
      <c r="AG139" s="151">
        <v>416</v>
      </c>
      <c r="AH139" s="151">
        <v>304</v>
      </c>
      <c r="AI139">
        <f t="shared" si="29"/>
        <v>26</v>
      </c>
      <c r="AJ139">
        <f t="shared" si="30"/>
        <v>4</v>
      </c>
    </row>
    <row r="140" spans="2:36" x14ac:dyDescent="0.2">
      <c r="B140" s="204">
        <f t="shared" si="33"/>
        <v>49675</v>
      </c>
      <c r="C140" s="73">
        <v>7.3875373469387755</v>
      </c>
      <c r="D140" s="73">
        <v>7.2578996834655101</v>
      </c>
      <c r="E140" s="203">
        <f t="shared" si="31"/>
        <v>2036</v>
      </c>
      <c r="K140">
        <f t="shared" si="34"/>
        <v>1</v>
      </c>
      <c r="L140" s="101">
        <f t="shared" si="35"/>
        <v>2036</v>
      </c>
      <c r="M140" s="76">
        <f t="shared" si="32"/>
        <v>49675</v>
      </c>
      <c r="N140" s="202">
        <v>74.478200000000001</v>
      </c>
      <c r="O140" s="202">
        <v>69.319199999999995</v>
      </c>
      <c r="P140" s="202">
        <v>68.377700000000004</v>
      </c>
      <c r="Q140" s="201">
        <v>72.255300000000005</v>
      </c>
      <c r="S140" s="98">
        <v>70.613609677419362</v>
      </c>
      <c r="T140" s="100">
        <f t="shared" si="36"/>
        <v>0.98166911897957698</v>
      </c>
      <c r="U140" s="100">
        <f t="shared" si="37"/>
        <v>1.0232489222698047</v>
      </c>
      <c r="AD140" s="152" t="str">
        <f t="shared" si="27"/>
        <v>Summer</v>
      </c>
      <c r="AE140">
        <f t="shared" si="28"/>
        <v>7</v>
      </c>
      <c r="AF140" s="150">
        <v>46935</v>
      </c>
      <c r="AG140" s="151">
        <v>400</v>
      </c>
      <c r="AH140" s="151">
        <v>344</v>
      </c>
      <c r="AI140">
        <f t="shared" si="29"/>
        <v>25</v>
      </c>
      <c r="AJ140">
        <f t="shared" si="30"/>
        <v>6</v>
      </c>
    </row>
    <row r="141" spans="2:36" x14ac:dyDescent="0.2">
      <c r="B141" s="80">
        <f t="shared" si="33"/>
        <v>49706</v>
      </c>
      <c r="C141" s="73">
        <v>6.8118230612244899</v>
      </c>
      <c r="D141" s="73">
        <v>6.6889991011068979</v>
      </c>
      <c r="E141" s="81">
        <f t="shared" si="31"/>
        <v>2036</v>
      </c>
      <c r="K141">
        <f t="shared" si="34"/>
        <v>2</v>
      </c>
      <c r="L141" s="101">
        <f t="shared" si="35"/>
        <v>2036</v>
      </c>
      <c r="M141" s="76">
        <f t="shared" si="32"/>
        <v>49706</v>
      </c>
      <c r="N141" s="77">
        <v>101.6598</v>
      </c>
      <c r="O141" s="77">
        <v>74.043400000000005</v>
      </c>
      <c r="P141" s="77">
        <v>88.890799999999999</v>
      </c>
      <c r="Q141" s="78">
        <v>76.038499999999999</v>
      </c>
      <c r="S141" s="98">
        <v>74.891890804597708</v>
      </c>
      <c r="T141" s="100">
        <f t="shared" si="36"/>
        <v>0.98867045823677335</v>
      </c>
      <c r="U141" s="100">
        <f t="shared" si="37"/>
        <v>1.0153101915719278</v>
      </c>
      <c r="AD141" s="152" t="str">
        <f t="shared" si="27"/>
        <v>Summer</v>
      </c>
      <c r="AE141">
        <f t="shared" si="28"/>
        <v>8</v>
      </c>
      <c r="AF141" s="150">
        <v>46966</v>
      </c>
      <c r="AG141" s="151">
        <v>432</v>
      </c>
      <c r="AH141" s="151">
        <v>312</v>
      </c>
      <c r="AI141">
        <f t="shared" si="29"/>
        <v>27</v>
      </c>
      <c r="AJ141">
        <f t="shared" si="30"/>
        <v>4</v>
      </c>
    </row>
    <row r="142" spans="2:36" x14ac:dyDescent="0.2">
      <c r="B142" s="80">
        <f t="shared" si="33"/>
        <v>49735</v>
      </c>
      <c r="C142" s="73">
        <v>6.2030475510204086</v>
      </c>
      <c r="D142" s="73">
        <v>6.0632135991682121</v>
      </c>
      <c r="E142" s="81">
        <f t="shared" si="31"/>
        <v>2036</v>
      </c>
      <c r="K142">
        <f t="shared" si="34"/>
        <v>3</v>
      </c>
      <c r="L142" s="101">
        <f t="shared" si="35"/>
        <v>2036</v>
      </c>
      <c r="M142" s="76">
        <f t="shared" si="32"/>
        <v>49735</v>
      </c>
      <c r="N142" s="77">
        <v>47.8521</v>
      </c>
      <c r="O142" s="77">
        <v>34.860599999999998</v>
      </c>
      <c r="P142" s="77">
        <v>46.353700000000003</v>
      </c>
      <c r="Q142" s="78">
        <v>37.154200000000003</v>
      </c>
      <c r="S142" s="98">
        <v>35.870030955585463</v>
      </c>
      <c r="T142" s="100">
        <f t="shared" si="36"/>
        <v>0.97185865390427595</v>
      </c>
      <c r="U142" s="100">
        <f t="shared" si="37"/>
        <v>1.0358006115468539</v>
      </c>
      <c r="AD142" s="152" t="str">
        <f t="shared" si="27"/>
        <v>Summer</v>
      </c>
      <c r="AE142">
        <f t="shared" si="28"/>
        <v>9</v>
      </c>
      <c r="AF142" s="150">
        <v>46997</v>
      </c>
      <c r="AG142" s="151">
        <v>400</v>
      </c>
      <c r="AH142" s="151">
        <v>320</v>
      </c>
      <c r="AI142">
        <f t="shared" si="29"/>
        <v>25</v>
      </c>
      <c r="AJ142">
        <f t="shared" si="30"/>
        <v>5</v>
      </c>
    </row>
    <row r="143" spans="2:36" x14ac:dyDescent="0.2">
      <c r="B143" s="80">
        <f t="shared" si="33"/>
        <v>49766</v>
      </c>
      <c r="C143" s="73">
        <v>5.8739659183673467</v>
      </c>
      <c r="D143" s="73">
        <v>5.6009915109814443</v>
      </c>
      <c r="E143" s="81">
        <f t="shared" si="31"/>
        <v>2036</v>
      </c>
      <c r="K143">
        <f t="shared" si="34"/>
        <v>4</v>
      </c>
      <c r="L143" s="101">
        <f t="shared" si="35"/>
        <v>2036</v>
      </c>
      <c r="M143" s="76">
        <f t="shared" si="32"/>
        <v>49766</v>
      </c>
      <c r="N143" s="77">
        <v>35.759900000000002</v>
      </c>
      <c r="O143" s="77">
        <v>24.014199999999999</v>
      </c>
      <c r="P143" s="77">
        <v>35.782800000000002</v>
      </c>
      <c r="Q143" s="78">
        <v>25.261399999999998</v>
      </c>
      <c r="S143" s="98">
        <v>24.540795555555555</v>
      </c>
      <c r="T143" s="100">
        <f t="shared" si="36"/>
        <v>0.97854203404435502</v>
      </c>
      <c r="U143" s="100">
        <f t="shared" si="37"/>
        <v>1.0293635323603563</v>
      </c>
      <c r="AD143" s="152" t="str">
        <f t="shared" si="27"/>
        <v>Winter</v>
      </c>
      <c r="AE143">
        <f t="shared" si="28"/>
        <v>10</v>
      </c>
      <c r="AF143" s="150">
        <v>47027</v>
      </c>
      <c r="AG143" s="151">
        <v>416</v>
      </c>
      <c r="AH143" s="151">
        <v>328</v>
      </c>
      <c r="AI143">
        <f t="shared" si="29"/>
        <v>26</v>
      </c>
      <c r="AJ143">
        <f t="shared" si="30"/>
        <v>5</v>
      </c>
    </row>
    <row r="144" spans="2:36" x14ac:dyDescent="0.2">
      <c r="B144" s="80">
        <f t="shared" si="33"/>
        <v>49796</v>
      </c>
      <c r="C144" s="73">
        <v>5.8613128571428579</v>
      </c>
      <c r="D144" s="73">
        <v>5.4711890657607896</v>
      </c>
      <c r="E144" s="81">
        <f t="shared" si="31"/>
        <v>2036</v>
      </c>
      <c r="K144">
        <f t="shared" si="34"/>
        <v>5</v>
      </c>
      <c r="L144" s="101">
        <f t="shared" si="35"/>
        <v>2036</v>
      </c>
      <c r="M144" s="76">
        <f t="shared" si="32"/>
        <v>49796</v>
      </c>
      <c r="N144" s="77">
        <v>9.0190999999999999</v>
      </c>
      <c r="O144" s="77">
        <v>14.9887</v>
      </c>
      <c r="P144" s="77">
        <v>6.7954999999999997</v>
      </c>
      <c r="Q144" s="78">
        <v>15.6691</v>
      </c>
      <c r="S144" s="98">
        <v>15.288661290322581</v>
      </c>
      <c r="T144" s="100">
        <f t="shared" si="36"/>
        <v>0.98038014678810037</v>
      </c>
      <c r="U144" s="100">
        <f t="shared" si="37"/>
        <v>1.0248837162687507</v>
      </c>
      <c r="AD144" s="152" t="str">
        <f t="shared" si="27"/>
        <v>Winter</v>
      </c>
      <c r="AE144">
        <f t="shared" si="28"/>
        <v>11</v>
      </c>
      <c r="AF144" s="150">
        <v>47058</v>
      </c>
      <c r="AG144" s="151">
        <v>400</v>
      </c>
      <c r="AH144" s="151">
        <v>320</v>
      </c>
      <c r="AI144">
        <f t="shared" si="29"/>
        <v>25</v>
      </c>
      <c r="AJ144">
        <f t="shared" si="30"/>
        <v>5</v>
      </c>
    </row>
    <row r="145" spans="2:36" x14ac:dyDescent="0.2">
      <c r="B145" s="80">
        <f t="shared" si="33"/>
        <v>49827</v>
      </c>
      <c r="C145" s="73">
        <v>5.9011087755102043</v>
      </c>
      <c r="D145" s="73">
        <v>5.4816719235695839</v>
      </c>
      <c r="E145" s="81">
        <f t="shared" si="31"/>
        <v>2036</v>
      </c>
      <c r="K145">
        <f t="shared" si="34"/>
        <v>6</v>
      </c>
      <c r="L145" s="101">
        <f t="shared" si="35"/>
        <v>2036</v>
      </c>
      <c r="M145" s="76">
        <f t="shared" si="32"/>
        <v>49827</v>
      </c>
      <c r="N145" s="77">
        <v>21.865500000000001</v>
      </c>
      <c r="O145" s="77">
        <v>27.561499999999999</v>
      </c>
      <c r="P145" s="77">
        <v>19.360700000000001</v>
      </c>
      <c r="Q145" s="78">
        <v>27.360399999999998</v>
      </c>
      <c r="S145" s="98">
        <v>27.472122222222225</v>
      </c>
      <c r="T145" s="100">
        <f t="shared" si="36"/>
        <v>1.0032533991023627</v>
      </c>
      <c r="U145" s="100">
        <f t="shared" si="37"/>
        <v>0.99593325112204634</v>
      </c>
      <c r="AD145" s="152" t="str">
        <f t="shared" si="27"/>
        <v>Winter</v>
      </c>
      <c r="AE145">
        <f t="shared" si="28"/>
        <v>12</v>
      </c>
      <c r="AF145" s="150">
        <v>47088</v>
      </c>
      <c r="AG145" s="151">
        <v>400</v>
      </c>
      <c r="AH145" s="151">
        <v>344</v>
      </c>
      <c r="AI145">
        <f t="shared" si="29"/>
        <v>25</v>
      </c>
      <c r="AJ145">
        <f t="shared" si="30"/>
        <v>6</v>
      </c>
    </row>
    <row r="146" spans="2:36" x14ac:dyDescent="0.2">
      <c r="B146" s="80">
        <f t="shared" si="33"/>
        <v>49857</v>
      </c>
      <c r="C146" s="73">
        <v>5.9643740816326538</v>
      </c>
      <c r="D146" s="73">
        <v>5.5512493229475606</v>
      </c>
      <c r="E146" s="81">
        <f t="shared" si="31"/>
        <v>2036</v>
      </c>
      <c r="K146">
        <f t="shared" si="34"/>
        <v>7</v>
      </c>
      <c r="L146" s="101">
        <f t="shared" si="35"/>
        <v>2036</v>
      </c>
      <c r="M146" s="76">
        <f t="shared" si="32"/>
        <v>49857</v>
      </c>
      <c r="N146" s="77">
        <v>52.603499999999997</v>
      </c>
      <c r="O146" s="77">
        <v>49.604599999999998</v>
      </c>
      <c r="P146" s="77">
        <v>51.9011</v>
      </c>
      <c r="Q146" s="78">
        <v>56.241300000000003</v>
      </c>
      <c r="S146" s="98">
        <v>52.530456989247313</v>
      </c>
      <c r="T146" s="100">
        <f t="shared" si="36"/>
        <v>0.94430170310823258</v>
      </c>
      <c r="U146" s="100">
        <f t="shared" si="37"/>
        <v>1.0706417423993146</v>
      </c>
      <c r="AD146" s="152" t="str">
        <f t="shared" si="27"/>
        <v>Winter</v>
      </c>
      <c r="AE146">
        <f t="shared" si="28"/>
        <v>1</v>
      </c>
      <c r="AF146" s="150">
        <v>47119</v>
      </c>
      <c r="AG146" s="151">
        <v>416</v>
      </c>
      <c r="AH146" s="151">
        <v>328</v>
      </c>
      <c r="AI146">
        <f t="shared" si="29"/>
        <v>26</v>
      </c>
      <c r="AJ146">
        <f t="shared" si="30"/>
        <v>5</v>
      </c>
    </row>
    <row r="147" spans="2:36" x14ac:dyDescent="0.2">
      <c r="B147" s="80">
        <f t="shared" si="33"/>
        <v>49888</v>
      </c>
      <c r="C147" s="73">
        <v>6.1224353061224495</v>
      </c>
      <c r="D147" s="73">
        <v>5.8861869072501003</v>
      </c>
      <c r="E147" s="81">
        <f t="shared" si="31"/>
        <v>2036</v>
      </c>
      <c r="K147">
        <f t="shared" si="34"/>
        <v>8</v>
      </c>
      <c r="L147" s="101">
        <f t="shared" si="35"/>
        <v>2036</v>
      </c>
      <c r="M147" s="76">
        <f t="shared" si="32"/>
        <v>49888</v>
      </c>
      <c r="N147" s="77">
        <v>63.950899999999997</v>
      </c>
      <c r="O147" s="77">
        <v>54.762700000000002</v>
      </c>
      <c r="P147" s="77">
        <v>55.889299999999999</v>
      </c>
      <c r="Q147" s="78">
        <v>56.103700000000003</v>
      </c>
      <c r="S147" s="98">
        <v>55.353893548387099</v>
      </c>
      <c r="T147" s="100">
        <f t="shared" si="36"/>
        <v>0.9893197477089789</v>
      </c>
      <c r="U147" s="100">
        <f t="shared" si="37"/>
        <v>1.0135456858325145</v>
      </c>
      <c r="AD147" s="152" t="str">
        <f t="shared" si="27"/>
        <v>Winter</v>
      </c>
      <c r="AE147">
        <f t="shared" si="28"/>
        <v>2</v>
      </c>
      <c r="AF147" s="150">
        <v>47150</v>
      </c>
      <c r="AG147" s="151">
        <v>384</v>
      </c>
      <c r="AH147" s="151">
        <v>288</v>
      </c>
      <c r="AI147">
        <f t="shared" si="29"/>
        <v>24</v>
      </c>
      <c r="AJ147">
        <f t="shared" si="30"/>
        <v>4</v>
      </c>
    </row>
    <row r="148" spans="2:36" x14ac:dyDescent="0.2">
      <c r="B148" s="80">
        <f t="shared" si="33"/>
        <v>49919</v>
      </c>
      <c r="C148" s="73">
        <v>6.2992720408163265</v>
      </c>
      <c r="D148" s="73">
        <v>5.9472341380189588</v>
      </c>
      <c r="E148" s="81">
        <f t="shared" si="31"/>
        <v>2036</v>
      </c>
      <c r="K148">
        <f t="shared" si="34"/>
        <v>9</v>
      </c>
      <c r="L148" s="101">
        <f t="shared" si="35"/>
        <v>2036</v>
      </c>
      <c r="M148" s="76">
        <f t="shared" si="32"/>
        <v>49919</v>
      </c>
      <c r="N148" s="77">
        <v>50.884799999999998</v>
      </c>
      <c r="O148" s="77">
        <v>44.317700000000002</v>
      </c>
      <c r="P148" s="77">
        <v>52.9788</v>
      </c>
      <c r="Q148" s="78">
        <v>52.944499999999998</v>
      </c>
      <c r="S148" s="98">
        <v>48.151833333333336</v>
      </c>
      <c r="T148" s="100">
        <f t="shared" si="36"/>
        <v>0.92037409444430984</v>
      </c>
      <c r="U148" s="100">
        <f t="shared" si="37"/>
        <v>1.0995323819446126</v>
      </c>
      <c r="AD148" s="152" t="str">
        <f t="shared" si="27"/>
        <v>Winter</v>
      </c>
      <c r="AE148">
        <f t="shared" si="28"/>
        <v>3</v>
      </c>
      <c r="AF148" s="150">
        <v>47178</v>
      </c>
      <c r="AG148" s="151">
        <v>432</v>
      </c>
      <c r="AH148" s="151">
        <v>312</v>
      </c>
      <c r="AI148">
        <f t="shared" si="29"/>
        <v>27</v>
      </c>
      <c r="AJ148">
        <f t="shared" si="30"/>
        <v>4</v>
      </c>
    </row>
    <row r="149" spans="2:36" x14ac:dyDescent="0.2">
      <c r="B149" s="80">
        <f t="shared" si="33"/>
        <v>49949</v>
      </c>
      <c r="C149" s="73">
        <v>6.4468230612244897</v>
      </c>
      <c r="D149" s="73">
        <v>6.1742085642025009</v>
      </c>
      <c r="E149" s="81">
        <f t="shared" si="31"/>
        <v>2036</v>
      </c>
      <c r="K149">
        <f t="shared" si="34"/>
        <v>10</v>
      </c>
      <c r="L149" s="101">
        <f t="shared" si="35"/>
        <v>2036</v>
      </c>
      <c r="M149" s="76">
        <f t="shared" si="32"/>
        <v>49949</v>
      </c>
      <c r="N149" s="77">
        <v>50.817100000000003</v>
      </c>
      <c r="O149" s="77">
        <v>36.861899999999999</v>
      </c>
      <c r="P149" s="77">
        <v>51.084899999999998</v>
      </c>
      <c r="Q149" s="78">
        <v>42.7408</v>
      </c>
      <c r="S149" s="98">
        <v>39.327245161290321</v>
      </c>
      <c r="T149" s="100">
        <f t="shared" si="36"/>
        <v>0.93731203009060615</v>
      </c>
      <c r="U149" s="100">
        <f t="shared" si="37"/>
        <v>1.0867987275668531</v>
      </c>
      <c r="AD149" s="152" t="str">
        <f t="shared" si="27"/>
        <v>Winter</v>
      </c>
      <c r="AE149">
        <f t="shared" si="28"/>
        <v>4</v>
      </c>
      <c r="AF149" s="150">
        <v>47209</v>
      </c>
      <c r="AG149" s="151">
        <v>400</v>
      </c>
      <c r="AH149" s="151">
        <v>320</v>
      </c>
      <c r="AI149">
        <f t="shared" si="29"/>
        <v>25</v>
      </c>
      <c r="AJ149">
        <f t="shared" si="30"/>
        <v>5</v>
      </c>
    </row>
    <row r="150" spans="2:36" x14ac:dyDescent="0.2">
      <c r="B150" s="80">
        <f t="shared" si="33"/>
        <v>49980</v>
      </c>
      <c r="C150" s="73">
        <v>6.838251632653062</v>
      </c>
      <c r="D150" s="73">
        <v>6.7212184729015725</v>
      </c>
      <c r="E150" s="81">
        <f t="shared" si="31"/>
        <v>2036</v>
      </c>
      <c r="K150">
        <f t="shared" si="34"/>
        <v>11</v>
      </c>
      <c r="L150" s="101">
        <f t="shared" si="35"/>
        <v>2036</v>
      </c>
      <c r="M150" s="76">
        <f t="shared" si="32"/>
        <v>49980</v>
      </c>
      <c r="N150" s="77">
        <v>63.653300000000002</v>
      </c>
      <c r="O150" s="77">
        <v>58.156199999999998</v>
      </c>
      <c r="P150" s="77">
        <v>62.594099999999997</v>
      </c>
      <c r="Q150" s="78">
        <v>58.920499999999997</v>
      </c>
      <c r="S150" s="98">
        <v>58.5134386962552</v>
      </c>
      <c r="T150" s="100">
        <f t="shared" si="36"/>
        <v>0.99389475812369121</v>
      </c>
      <c r="U150" s="100">
        <f t="shared" si="37"/>
        <v>1.0069567147789393</v>
      </c>
      <c r="AD150" s="152" t="str">
        <f t="shared" si="27"/>
        <v>Winter</v>
      </c>
      <c r="AE150">
        <f t="shared" si="28"/>
        <v>5</v>
      </c>
      <c r="AF150" s="150">
        <v>47239</v>
      </c>
      <c r="AG150" s="151">
        <v>416</v>
      </c>
      <c r="AH150" s="151">
        <v>328</v>
      </c>
      <c r="AI150">
        <f t="shared" si="29"/>
        <v>26</v>
      </c>
      <c r="AJ150">
        <f t="shared" si="30"/>
        <v>5</v>
      </c>
    </row>
    <row r="151" spans="2:36" x14ac:dyDescent="0.2">
      <c r="B151" s="82">
        <f t="shared" si="33"/>
        <v>50010</v>
      </c>
      <c r="C151" s="83">
        <v>7.1050883673469389</v>
      </c>
      <c r="D151" s="83">
        <v>6.9555925634207343</v>
      </c>
      <c r="E151" s="84">
        <f t="shared" si="31"/>
        <v>2036</v>
      </c>
      <c r="K151">
        <f t="shared" si="34"/>
        <v>12</v>
      </c>
      <c r="L151" s="101">
        <f t="shared" si="35"/>
        <v>2036</v>
      </c>
      <c r="M151" s="85">
        <f t="shared" si="32"/>
        <v>50010</v>
      </c>
      <c r="N151" s="86">
        <v>79.442099999999996</v>
      </c>
      <c r="O151" s="86">
        <v>68.661900000000003</v>
      </c>
      <c r="P151" s="86">
        <v>82.004199999999997</v>
      </c>
      <c r="Q151" s="87">
        <v>73.835300000000004</v>
      </c>
      <c r="S151" s="98">
        <v>70.942646236559142</v>
      </c>
      <c r="T151" s="100">
        <f t="shared" si="36"/>
        <v>0.96785084349752104</v>
      </c>
      <c r="U151" s="100">
        <f t="shared" si="37"/>
        <v>1.0407745399543635</v>
      </c>
      <c r="AD151" s="152" t="str">
        <f t="shared" si="27"/>
        <v>Summer</v>
      </c>
      <c r="AE151">
        <f t="shared" si="28"/>
        <v>6</v>
      </c>
      <c r="AF151" s="150">
        <v>47270</v>
      </c>
      <c r="AG151" s="151">
        <v>416</v>
      </c>
      <c r="AH151" s="151">
        <v>304</v>
      </c>
      <c r="AI151">
        <f t="shared" si="29"/>
        <v>26</v>
      </c>
      <c r="AJ151">
        <f t="shared" si="30"/>
        <v>4</v>
      </c>
    </row>
    <row r="152" spans="2:36" x14ac:dyDescent="0.2">
      <c r="B152" s="204">
        <f t="shared" si="33"/>
        <v>50041</v>
      </c>
      <c r="C152" s="73">
        <v>7.6651904081632649</v>
      </c>
      <c r="D152" s="73">
        <v>7.519457263106494</v>
      </c>
      <c r="E152" s="203">
        <f t="shared" si="31"/>
        <v>2037</v>
      </c>
      <c r="K152">
        <f t="shared" si="34"/>
        <v>1</v>
      </c>
      <c r="L152" s="101">
        <f t="shared" si="35"/>
        <v>2037</v>
      </c>
      <c r="M152" s="76">
        <f t="shared" si="32"/>
        <v>50041</v>
      </c>
      <c r="N152" s="202">
        <v>78.093900000000005</v>
      </c>
      <c r="O152" s="202">
        <v>73.387900000000002</v>
      </c>
      <c r="P152" s="202">
        <v>72.511799999999994</v>
      </c>
      <c r="Q152" s="201">
        <v>77.822900000000004</v>
      </c>
      <c r="S152" s="98">
        <v>75.343115053763441</v>
      </c>
      <c r="T152" s="100">
        <f t="shared" si="36"/>
        <v>0.97404918747561431</v>
      </c>
      <c r="U152" s="100">
        <f t="shared" si="37"/>
        <v>1.0329132256406843</v>
      </c>
      <c r="AD152" s="152" t="str">
        <f t="shared" si="27"/>
        <v>Summer</v>
      </c>
      <c r="AE152">
        <f t="shared" si="28"/>
        <v>7</v>
      </c>
      <c r="AF152" s="150">
        <v>47300</v>
      </c>
      <c r="AG152" s="151">
        <v>400</v>
      </c>
      <c r="AH152" s="151">
        <v>344</v>
      </c>
      <c r="AI152">
        <f t="shared" si="29"/>
        <v>25</v>
      </c>
      <c r="AJ152">
        <f t="shared" si="30"/>
        <v>6</v>
      </c>
    </row>
    <row r="153" spans="2:36" x14ac:dyDescent="0.2">
      <c r="B153" s="80">
        <f t="shared" si="33"/>
        <v>50072</v>
      </c>
      <c r="C153" s="73">
        <v>7.4204965306122448</v>
      </c>
      <c r="D153" s="73">
        <v>7.2608801038229123</v>
      </c>
      <c r="E153" s="81">
        <f t="shared" si="31"/>
        <v>2037</v>
      </c>
      <c r="K153">
        <f t="shared" si="34"/>
        <v>2</v>
      </c>
      <c r="L153" s="101">
        <f t="shared" si="35"/>
        <v>2037</v>
      </c>
      <c r="M153" s="76">
        <f t="shared" si="32"/>
        <v>50072</v>
      </c>
      <c r="N153" s="77">
        <v>108.1096</v>
      </c>
      <c r="O153" s="77">
        <v>81.584299999999999</v>
      </c>
      <c r="P153" s="77">
        <v>93.844099999999997</v>
      </c>
      <c r="Q153" s="78">
        <v>78.5505</v>
      </c>
      <c r="S153" s="98">
        <v>80.284099999999995</v>
      </c>
      <c r="T153" s="100">
        <f t="shared" si="36"/>
        <v>1.0161949875504614</v>
      </c>
      <c r="U153" s="100">
        <f t="shared" si="37"/>
        <v>0.97840668326605151</v>
      </c>
      <c r="AD153" s="152" t="str">
        <f t="shared" si="27"/>
        <v>Summer</v>
      </c>
      <c r="AE153">
        <f t="shared" si="28"/>
        <v>8</v>
      </c>
      <c r="AF153" s="150">
        <v>47331</v>
      </c>
      <c r="AG153" s="151">
        <v>432</v>
      </c>
      <c r="AH153" s="151">
        <v>312</v>
      </c>
      <c r="AI153">
        <f t="shared" si="29"/>
        <v>27</v>
      </c>
      <c r="AJ153">
        <f t="shared" si="30"/>
        <v>4</v>
      </c>
    </row>
    <row r="154" spans="2:36" x14ac:dyDescent="0.2">
      <c r="B154" s="80">
        <f t="shared" si="33"/>
        <v>50100</v>
      </c>
      <c r="C154" s="73">
        <v>6.3729455102040813</v>
      </c>
      <c r="D154" s="73">
        <v>6.2203023066264613</v>
      </c>
      <c r="E154" s="81">
        <f t="shared" si="31"/>
        <v>2037</v>
      </c>
      <c r="K154">
        <f t="shared" si="34"/>
        <v>3</v>
      </c>
      <c r="L154" s="101">
        <f t="shared" si="35"/>
        <v>2037</v>
      </c>
      <c r="M154" s="76">
        <f t="shared" si="32"/>
        <v>50100</v>
      </c>
      <c r="N154" s="77">
        <v>50.592700000000001</v>
      </c>
      <c r="O154" s="77">
        <v>37.187199999999997</v>
      </c>
      <c r="P154" s="77">
        <v>48.354300000000002</v>
      </c>
      <c r="Q154" s="78">
        <v>38.567999999999998</v>
      </c>
      <c r="S154" s="98">
        <v>37.794900672947506</v>
      </c>
      <c r="T154" s="100">
        <f t="shared" si="36"/>
        <v>0.98392109353041679</v>
      </c>
      <c r="U154" s="100">
        <f t="shared" si="37"/>
        <v>1.0204551226035066</v>
      </c>
      <c r="AD154" s="152" t="str">
        <f t="shared" si="27"/>
        <v>Summer</v>
      </c>
      <c r="AE154">
        <f t="shared" si="28"/>
        <v>9</v>
      </c>
      <c r="AF154" s="150">
        <v>47362</v>
      </c>
      <c r="AG154" s="151">
        <v>384</v>
      </c>
      <c r="AH154" s="151">
        <v>336</v>
      </c>
      <c r="AI154">
        <f t="shared" si="29"/>
        <v>24</v>
      </c>
      <c r="AJ154">
        <f t="shared" si="30"/>
        <v>6</v>
      </c>
    </row>
    <row r="155" spans="2:36" x14ac:dyDescent="0.2">
      <c r="B155" s="80">
        <f t="shared" si="33"/>
        <v>50131</v>
      </c>
      <c r="C155" s="73">
        <v>6.0296802040816333</v>
      </c>
      <c r="D155" s="73">
        <v>5.7470321084941505</v>
      </c>
      <c r="E155" s="81">
        <f t="shared" si="31"/>
        <v>2037</v>
      </c>
      <c r="K155">
        <f t="shared" si="34"/>
        <v>4</v>
      </c>
      <c r="L155" s="101">
        <f t="shared" si="35"/>
        <v>2037</v>
      </c>
      <c r="M155" s="76">
        <f t="shared" si="32"/>
        <v>50131</v>
      </c>
      <c r="N155" s="77">
        <v>37.667200000000001</v>
      </c>
      <c r="O155" s="77">
        <v>24.3934</v>
      </c>
      <c r="P155" s="77">
        <v>32.321100000000001</v>
      </c>
      <c r="Q155" s="78">
        <v>21.958500000000001</v>
      </c>
      <c r="S155" s="98">
        <v>23.365331111111114</v>
      </c>
      <c r="T155" s="100">
        <f t="shared" si="36"/>
        <v>1.043999756904793</v>
      </c>
      <c r="U155" s="100">
        <f t="shared" si="37"/>
        <v>0.93978980634080933</v>
      </c>
      <c r="AD155" s="152" t="str">
        <f t="shared" si="27"/>
        <v>Winter</v>
      </c>
      <c r="AE155">
        <f t="shared" si="28"/>
        <v>10</v>
      </c>
      <c r="AF155" s="150">
        <v>47392</v>
      </c>
      <c r="AG155" s="151">
        <v>432</v>
      </c>
      <c r="AH155" s="151">
        <v>312</v>
      </c>
      <c r="AI155">
        <f t="shared" si="29"/>
        <v>27</v>
      </c>
      <c r="AJ155">
        <f t="shared" si="30"/>
        <v>4</v>
      </c>
    </row>
    <row r="156" spans="2:36" x14ac:dyDescent="0.2">
      <c r="B156" s="80">
        <f t="shared" si="33"/>
        <v>50161</v>
      </c>
      <c r="C156" s="73">
        <v>6.0255985714285716</v>
      </c>
      <c r="D156" s="73">
        <v>5.6315151263658727</v>
      </c>
      <c r="E156" s="81">
        <f t="shared" si="31"/>
        <v>2037</v>
      </c>
      <c r="K156">
        <f t="shared" si="34"/>
        <v>5</v>
      </c>
      <c r="L156" s="101">
        <f t="shared" si="35"/>
        <v>2037</v>
      </c>
      <c r="M156" s="76">
        <f t="shared" si="32"/>
        <v>50161</v>
      </c>
      <c r="N156" s="77">
        <v>11.1873</v>
      </c>
      <c r="O156" s="77">
        <v>18.098400000000002</v>
      </c>
      <c r="P156" s="77">
        <v>10.1821</v>
      </c>
      <c r="Q156" s="78">
        <v>18.205400000000001</v>
      </c>
      <c r="S156" s="98">
        <v>18.14787311827957</v>
      </c>
      <c r="T156" s="100">
        <f t="shared" si="36"/>
        <v>0.99727388890383328</v>
      </c>
      <c r="U156" s="100">
        <f t="shared" si="37"/>
        <v>1.0031698966234499</v>
      </c>
      <c r="AD156" s="152" t="str">
        <f t="shared" si="27"/>
        <v>Winter</v>
      </c>
      <c r="AE156">
        <f t="shared" si="28"/>
        <v>11</v>
      </c>
      <c r="AF156" s="150">
        <v>47423</v>
      </c>
      <c r="AG156" s="151">
        <v>400</v>
      </c>
      <c r="AH156" s="151">
        <v>320</v>
      </c>
      <c r="AI156">
        <f t="shared" si="29"/>
        <v>25</v>
      </c>
      <c r="AJ156">
        <f t="shared" si="30"/>
        <v>5</v>
      </c>
    </row>
    <row r="157" spans="2:36" x14ac:dyDescent="0.2">
      <c r="B157" s="80">
        <f t="shared" si="33"/>
        <v>50192</v>
      </c>
      <c r="C157" s="73">
        <v>6.062435306122449</v>
      </c>
      <c r="D157" s="73">
        <v>5.620929495441306</v>
      </c>
      <c r="E157" s="81">
        <f t="shared" si="31"/>
        <v>2037</v>
      </c>
      <c r="K157">
        <f t="shared" si="34"/>
        <v>6</v>
      </c>
      <c r="L157" s="101">
        <f t="shared" si="35"/>
        <v>2037</v>
      </c>
      <c r="M157" s="76">
        <f t="shared" si="32"/>
        <v>50192</v>
      </c>
      <c r="N157" s="77">
        <v>21.900500000000001</v>
      </c>
      <c r="O157" s="77">
        <v>28.7807</v>
      </c>
      <c r="P157" s="77">
        <v>22.6435</v>
      </c>
      <c r="Q157" s="78">
        <v>33.119700000000002</v>
      </c>
      <c r="S157" s="98">
        <v>30.612722222222224</v>
      </c>
      <c r="T157" s="100">
        <f t="shared" si="36"/>
        <v>0.94015487388141084</v>
      </c>
      <c r="U157" s="100">
        <f t="shared" si="37"/>
        <v>1.0818933304780691</v>
      </c>
      <c r="AD157" s="152" t="str">
        <f t="shared" si="27"/>
        <v>Winter</v>
      </c>
      <c r="AE157">
        <f t="shared" si="28"/>
        <v>12</v>
      </c>
      <c r="AF157" s="150">
        <v>47453</v>
      </c>
      <c r="AG157" s="151">
        <v>400</v>
      </c>
      <c r="AH157" s="151">
        <v>344</v>
      </c>
      <c r="AI157">
        <f t="shared" si="29"/>
        <v>25</v>
      </c>
      <c r="AJ157">
        <f t="shared" si="30"/>
        <v>6</v>
      </c>
    </row>
    <row r="158" spans="2:36" x14ac:dyDescent="0.2">
      <c r="B158" s="80">
        <f t="shared" si="33"/>
        <v>50222</v>
      </c>
      <c r="C158" s="73">
        <v>6.133863877551021</v>
      </c>
      <c r="D158" s="73">
        <v>5.7071561395744244</v>
      </c>
      <c r="E158" s="81">
        <f t="shared" si="31"/>
        <v>2037</v>
      </c>
      <c r="K158">
        <f t="shared" si="34"/>
        <v>7</v>
      </c>
      <c r="L158" s="101">
        <f t="shared" si="35"/>
        <v>2037</v>
      </c>
      <c r="M158" s="76">
        <f t="shared" si="32"/>
        <v>50222</v>
      </c>
      <c r="N158" s="77">
        <v>55.148499999999999</v>
      </c>
      <c r="O158" s="77">
        <v>53.606099999999998</v>
      </c>
      <c r="P158" s="77">
        <v>55.1342</v>
      </c>
      <c r="Q158" s="78">
        <v>57.979199999999999</v>
      </c>
      <c r="S158" s="98">
        <v>55.534025806451609</v>
      </c>
      <c r="T158" s="100">
        <f t="shared" si="36"/>
        <v>0.96528388175618929</v>
      </c>
      <c r="U158" s="100">
        <f t="shared" si="37"/>
        <v>1.0440301987482479</v>
      </c>
      <c r="AD158" s="152" t="str">
        <f t="shared" si="27"/>
        <v>Winter</v>
      </c>
      <c r="AE158">
        <f t="shared" si="28"/>
        <v>1</v>
      </c>
      <c r="AF158" s="150">
        <v>47484</v>
      </c>
      <c r="AG158" s="151">
        <v>416</v>
      </c>
      <c r="AH158" s="151">
        <v>328</v>
      </c>
      <c r="AI158">
        <f t="shared" si="29"/>
        <v>26</v>
      </c>
      <c r="AJ158">
        <f t="shared" si="30"/>
        <v>5</v>
      </c>
    </row>
    <row r="159" spans="2:36" x14ac:dyDescent="0.2">
      <c r="B159" s="80">
        <f t="shared" si="33"/>
        <v>50253</v>
      </c>
      <c r="C159" s="73">
        <v>6.2651904081632654</v>
      </c>
      <c r="D159" s="73">
        <v>6.0302748155631303</v>
      </c>
      <c r="E159" s="81">
        <f t="shared" si="31"/>
        <v>2037</v>
      </c>
      <c r="K159">
        <f t="shared" si="34"/>
        <v>8</v>
      </c>
      <c r="L159" s="101">
        <f t="shared" si="35"/>
        <v>2037</v>
      </c>
      <c r="M159" s="76">
        <f t="shared" si="32"/>
        <v>50253</v>
      </c>
      <c r="N159" s="77">
        <v>67.080799999999996</v>
      </c>
      <c r="O159" s="77">
        <v>58.064599999999999</v>
      </c>
      <c r="P159" s="77">
        <v>56.768700000000003</v>
      </c>
      <c r="Q159" s="78">
        <v>55.840400000000002</v>
      </c>
      <c r="S159" s="98">
        <v>57.084038709677415</v>
      </c>
      <c r="T159" s="100">
        <f t="shared" si="36"/>
        <v>1.0171775037731581</v>
      </c>
      <c r="U159" s="100">
        <f t="shared" si="37"/>
        <v>0.97821389765355582</v>
      </c>
      <c r="AD159" s="152" t="str">
        <f t="shared" si="27"/>
        <v>Winter</v>
      </c>
      <c r="AE159">
        <f t="shared" si="28"/>
        <v>2</v>
      </c>
      <c r="AF159" s="150">
        <v>47515</v>
      </c>
      <c r="AG159" s="151">
        <v>384</v>
      </c>
      <c r="AH159" s="151">
        <v>288</v>
      </c>
      <c r="AI159">
        <f t="shared" si="29"/>
        <v>24</v>
      </c>
      <c r="AJ159">
        <f t="shared" si="30"/>
        <v>4</v>
      </c>
    </row>
    <row r="160" spans="2:36" x14ac:dyDescent="0.2">
      <c r="B160" s="80">
        <f t="shared" si="33"/>
        <v>50284</v>
      </c>
      <c r="C160" s="73">
        <v>6.4828434693877552</v>
      </c>
      <c r="D160" s="73">
        <v>6.0927608699528033</v>
      </c>
      <c r="E160" s="81">
        <f t="shared" si="31"/>
        <v>2037</v>
      </c>
      <c r="K160">
        <f t="shared" si="34"/>
        <v>9</v>
      </c>
      <c r="L160" s="101">
        <f t="shared" si="35"/>
        <v>2037</v>
      </c>
      <c r="M160" s="76">
        <f t="shared" si="32"/>
        <v>50284</v>
      </c>
      <c r="N160" s="77">
        <v>56.313499999999998</v>
      </c>
      <c r="O160" s="77">
        <v>48.567799999999998</v>
      </c>
      <c r="P160" s="77">
        <v>53.604100000000003</v>
      </c>
      <c r="Q160" s="78">
        <v>54.592599999999997</v>
      </c>
      <c r="S160" s="98">
        <v>51.245488888888886</v>
      </c>
      <c r="T160" s="100">
        <f t="shared" si="36"/>
        <v>0.94774781259878915</v>
      </c>
      <c r="U160" s="100">
        <f t="shared" si="37"/>
        <v>1.0653152342515135</v>
      </c>
      <c r="AD160" s="152" t="str">
        <f t="shared" si="27"/>
        <v>Winter</v>
      </c>
      <c r="AE160">
        <f t="shared" si="28"/>
        <v>3</v>
      </c>
      <c r="AF160" s="150">
        <v>47543</v>
      </c>
      <c r="AG160" s="151">
        <v>416</v>
      </c>
      <c r="AH160" s="151">
        <v>328</v>
      </c>
      <c r="AI160">
        <f t="shared" si="29"/>
        <v>26</v>
      </c>
      <c r="AJ160">
        <f t="shared" si="30"/>
        <v>5</v>
      </c>
    </row>
    <row r="161" spans="2:36" x14ac:dyDescent="0.2">
      <c r="B161" s="80">
        <f t="shared" si="33"/>
        <v>50314</v>
      </c>
      <c r="C161" s="73">
        <v>6.5886597959183675</v>
      </c>
      <c r="D161" s="73">
        <v>6.290136638793868</v>
      </c>
      <c r="E161" s="81">
        <f t="shared" si="31"/>
        <v>2037</v>
      </c>
      <c r="K161">
        <f t="shared" si="34"/>
        <v>10</v>
      </c>
      <c r="L161" s="101">
        <f t="shared" si="35"/>
        <v>2037</v>
      </c>
      <c r="M161" s="76">
        <f t="shared" si="32"/>
        <v>50314</v>
      </c>
      <c r="N161" s="77">
        <v>53.849699999999999</v>
      </c>
      <c r="O161" s="77">
        <v>39.092199999999998</v>
      </c>
      <c r="P161" s="77">
        <v>53.142299999999999</v>
      </c>
      <c r="Q161" s="78">
        <v>45.700699999999998</v>
      </c>
      <c r="S161" s="98">
        <v>41.863506451612906</v>
      </c>
      <c r="T161" s="100">
        <f t="shared" si="36"/>
        <v>0.93380137770312988</v>
      </c>
      <c r="U161" s="100">
        <f t="shared" si="37"/>
        <v>1.091659630872589</v>
      </c>
      <c r="AD161" s="152" t="str">
        <f t="shared" si="27"/>
        <v>Winter</v>
      </c>
      <c r="AE161">
        <f t="shared" si="28"/>
        <v>4</v>
      </c>
      <c r="AF161" s="150">
        <v>47574</v>
      </c>
      <c r="AG161" s="151">
        <v>416</v>
      </c>
      <c r="AH161" s="151">
        <v>304</v>
      </c>
      <c r="AI161">
        <f t="shared" si="29"/>
        <v>26</v>
      </c>
      <c r="AJ161">
        <f t="shared" si="30"/>
        <v>4</v>
      </c>
    </row>
    <row r="162" spans="2:36" x14ac:dyDescent="0.2">
      <c r="B162" s="80">
        <f t="shared" si="33"/>
        <v>50345</v>
      </c>
      <c r="C162" s="73">
        <v>6.9776393877551017</v>
      </c>
      <c r="D162" s="73">
        <v>6.8432101613235172</v>
      </c>
      <c r="E162" s="81">
        <f t="shared" si="31"/>
        <v>2037</v>
      </c>
      <c r="K162">
        <f t="shared" si="34"/>
        <v>11</v>
      </c>
      <c r="L162" s="101">
        <f t="shared" si="35"/>
        <v>2037</v>
      </c>
      <c r="M162" s="76">
        <f t="shared" si="32"/>
        <v>50345</v>
      </c>
      <c r="N162" s="77">
        <v>70.968599999999995</v>
      </c>
      <c r="O162" s="77">
        <v>65.027500000000003</v>
      </c>
      <c r="P162" s="77">
        <v>65.4726</v>
      </c>
      <c r="Q162" s="78">
        <v>60.422899999999998</v>
      </c>
      <c r="S162" s="98">
        <v>62.875280582524262</v>
      </c>
      <c r="T162" s="100">
        <f t="shared" si="36"/>
        <v>1.0342299771473933</v>
      </c>
      <c r="U162" s="100">
        <f t="shared" si="37"/>
        <v>0.96099610912581934</v>
      </c>
      <c r="AD162" s="152" t="str">
        <f t="shared" si="27"/>
        <v>Winter</v>
      </c>
      <c r="AE162">
        <f t="shared" si="28"/>
        <v>5</v>
      </c>
      <c r="AF162" s="150">
        <v>47604</v>
      </c>
      <c r="AG162" s="151">
        <v>416</v>
      </c>
      <c r="AH162" s="151">
        <v>328</v>
      </c>
      <c r="AI162">
        <f t="shared" si="29"/>
        <v>26</v>
      </c>
      <c r="AJ162">
        <f t="shared" si="30"/>
        <v>5</v>
      </c>
    </row>
    <row r="163" spans="2:36" x14ac:dyDescent="0.2">
      <c r="B163" s="82">
        <f t="shared" si="33"/>
        <v>50375</v>
      </c>
      <c r="C163" s="83">
        <v>7.2410067346938787</v>
      </c>
      <c r="D163" s="83">
        <v>7.0816951764735778</v>
      </c>
      <c r="E163" s="84">
        <f t="shared" si="31"/>
        <v>2037</v>
      </c>
      <c r="K163">
        <f t="shared" si="34"/>
        <v>12</v>
      </c>
      <c r="L163" s="101">
        <f t="shared" si="35"/>
        <v>2037</v>
      </c>
      <c r="M163" s="85">
        <f t="shared" si="32"/>
        <v>50375</v>
      </c>
      <c r="N163" s="86">
        <v>84.214699999999993</v>
      </c>
      <c r="O163" s="86">
        <v>71.067599999999999</v>
      </c>
      <c r="P163" s="86">
        <v>82.814700000000002</v>
      </c>
      <c r="Q163" s="87">
        <v>75.339100000000002</v>
      </c>
      <c r="S163" s="98">
        <v>72.950734408602145</v>
      </c>
      <c r="T163" s="100">
        <f t="shared" si="36"/>
        <v>0.97418621726198695</v>
      </c>
      <c r="U163" s="100">
        <f t="shared" si="37"/>
        <v>1.0327394317652849</v>
      </c>
      <c r="AD163" s="152" t="str">
        <f t="shared" si="27"/>
        <v>Summer</v>
      </c>
      <c r="AE163">
        <f t="shared" si="28"/>
        <v>6</v>
      </c>
      <c r="AF163" s="150">
        <v>47635</v>
      </c>
      <c r="AG163" s="151">
        <v>400</v>
      </c>
      <c r="AH163" s="151">
        <v>320</v>
      </c>
      <c r="AI163">
        <f t="shared" si="29"/>
        <v>25</v>
      </c>
      <c r="AJ163">
        <f t="shared" si="30"/>
        <v>5</v>
      </c>
    </row>
    <row r="164" spans="2:36" x14ac:dyDescent="0.2">
      <c r="B164" s="204">
        <f t="shared" si="33"/>
        <v>50406</v>
      </c>
      <c r="C164" s="73">
        <v>8.0622312244897962</v>
      </c>
      <c r="D164" s="73">
        <v>7.8723801426692219</v>
      </c>
      <c r="E164" s="203">
        <f t="shared" si="31"/>
        <v>2038</v>
      </c>
      <c r="K164">
        <f t="shared" si="34"/>
        <v>1</v>
      </c>
      <c r="L164" s="101">
        <f t="shared" si="35"/>
        <v>2038</v>
      </c>
      <c r="M164" s="76">
        <f t="shared" si="32"/>
        <v>50406</v>
      </c>
      <c r="N164" s="202">
        <v>90.085899999999995</v>
      </c>
      <c r="O164" s="202">
        <v>83.103499999999997</v>
      </c>
      <c r="P164" s="202">
        <v>86.162599999999998</v>
      </c>
      <c r="Q164" s="201">
        <v>86.769300000000001</v>
      </c>
      <c r="S164" s="98">
        <v>84.798439784946225</v>
      </c>
      <c r="T164" s="100">
        <f t="shared" si="36"/>
        <v>0.98001213478402793</v>
      </c>
      <c r="U164" s="100">
        <f t="shared" si="37"/>
        <v>1.0232417037395027</v>
      </c>
      <c r="AD164" s="152" t="str">
        <f t="shared" si="27"/>
        <v>Summer</v>
      </c>
      <c r="AE164">
        <f t="shared" si="28"/>
        <v>7</v>
      </c>
      <c r="AF164" s="150">
        <v>47665</v>
      </c>
      <c r="AG164" s="151">
        <v>416</v>
      </c>
      <c r="AH164" s="151">
        <v>328</v>
      </c>
      <c r="AI164">
        <f t="shared" si="29"/>
        <v>26</v>
      </c>
      <c r="AJ164">
        <f t="shared" si="30"/>
        <v>5</v>
      </c>
    </row>
    <row r="165" spans="2:36" x14ac:dyDescent="0.2">
      <c r="B165" s="80">
        <f t="shared" si="33"/>
        <v>50437</v>
      </c>
      <c r="C165" s="73">
        <v>7.6852924489795917</v>
      </c>
      <c r="D165" s="73">
        <v>7.4902696982271078</v>
      </c>
      <c r="E165" s="81">
        <f t="shared" si="31"/>
        <v>2038</v>
      </c>
      <c r="K165">
        <f t="shared" si="34"/>
        <v>2</v>
      </c>
      <c r="L165" s="101">
        <f t="shared" si="35"/>
        <v>2038</v>
      </c>
      <c r="M165" s="76">
        <f t="shared" si="32"/>
        <v>50437</v>
      </c>
      <c r="N165" s="77">
        <v>106.13209999999999</v>
      </c>
      <c r="O165" s="77">
        <v>84.023600000000002</v>
      </c>
      <c r="P165" s="77">
        <v>100.5787</v>
      </c>
      <c r="Q165" s="78">
        <v>87.201700000000002</v>
      </c>
      <c r="S165" s="98">
        <v>85.385642857142855</v>
      </c>
      <c r="T165" s="100">
        <f t="shared" si="36"/>
        <v>0.9840483386718577</v>
      </c>
      <c r="U165" s="100">
        <f t="shared" si="37"/>
        <v>1.0212688817708564</v>
      </c>
      <c r="AD165" s="152" t="str">
        <f t="shared" si="27"/>
        <v>Summer</v>
      </c>
      <c r="AE165">
        <f t="shared" si="28"/>
        <v>8</v>
      </c>
      <c r="AF165" s="150">
        <v>47696</v>
      </c>
      <c r="AG165" s="151">
        <v>432</v>
      </c>
      <c r="AH165" s="151">
        <v>312</v>
      </c>
      <c r="AI165">
        <f t="shared" si="29"/>
        <v>27</v>
      </c>
      <c r="AJ165">
        <f t="shared" si="30"/>
        <v>4</v>
      </c>
    </row>
    <row r="166" spans="2:36" x14ac:dyDescent="0.2">
      <c r="B166" s="80">
        <f t="shared" si="33"/>
        <v>50465</v>
      </c>
      <c r="C166" s="73">
        <v>6.6068230612244907</v>
      </c>
      <c r="D166" s="73">
        <v>6.4347897992436458</v>
      </c>
      <c r="E166" s="81">
        <f t="shared" si="31"/>
        <v>2038</v>
      </c>
      <c r="K166">
        <f t="shared" si="34"/>
        <v>3</v>
      </c>
      <c r="L166" s="101">
        <f t="shared" si="35"/>
        <v>2038</v>
      </c>
      <c r="M166" s="76">
        <f t="shared" si="32"/>
        <v>50465</v>
      </c>
      <c r="N166" s="77">
        <v>51.697200000000002</v>
      </c>
      <c r="O166" s="77">
        <v>44.387</v>
      </c>
      <c r="P166" s="77">
        <v>50.999000000000002</v>
      </c>
      <c r="Q166" s="78">
        <v>41.841900000000003</v>
      </c>
      <c r="S166" s="98">
        <v>43.321688963660833</v>
      </c>
      <c r="T166" s="100">
        <f t="shared" si="36"/>
        <v>1.0245907087609805</v>
      </c>
      <c r="U166" s="100">
        <f t="shared" si="37"/>
        <v>0.96584184506513338</v>
      </c>
      <c r="AD166" s="152" t="str">
        <f t="shared" si="27"/>
        <v>Summer</v>
      </c>
      <c r="AE166">
        <f t="shared" si="28"/>
        <v>9</v>
      </c>
      <c r="AF166" s="150">
        <v>47727</v>
      </c>
      <c r="AG166" s="151">
        <v>384</v>
      </c>
      <c r="AH166" s="151">
        <v>336</v>
      </c>
      <c r="AI166">
        <f t="shared" si="29"/>
        <v>24</v>
      </c>
      <c r="AJ166">
        <f t="shared" si="30"/>
        <v>6</v>
      </c>
    </row>
    <row r="167" spans="2:36" x14ac:dyDescent="0.2">
      <c r="B167" s="80">
        <f t="shared" si="33"/>
        <v>50496</v>
      </c>
      <c r="C167" s="73">
        <v>6.2642720408163273</v>
      </c>
      <c r="D167" s="73">
        <v>5.9438426251984673</v>
      </c>
      <c r="E167" s="81">
        <f t="shared" si="31"/>
        <v>2038</v>
      </c>
      <c r="K167">
        <f t="shared" si="34"/>
        <v>4</v>
      </c>
      <c r="L167" s="101">
        <f t="shared" si="35"/>
        <v>2038</v>
      </c>
      <c r="M167" s="76">
        <f t="shared" si="32"/>
        <v>50496</v>
      </c>
      <c r="N167" s="77">
        <v>41.006799999999998</v>
      </c>
      <c r="O167" s="77">
        <v>34.068199999999997</v>
      </c>
      <c r="P167" s="77">
        <v>39.274099999999997</v>
      </c>
      <c r="Q167" s="78">
        <v>29.0944</v>
      </c>
      <c r="S167" s="98">
        <v>31.968151111111112</v>
      </c>
      <c r="T167" s="100">
        <f t="shared" si="36"/>
        <v>1.0656919094754584</v>
      </c>
      <c r="U167" s="100">
        <f t="shared" si="37"/>
        <v>0.91010580808621466</v>
      </c>
      <c r="AD167" s="152" t="str">
        <f t="shared" si="27"/>
        <v>Winter</v>
      </c>
      <c r="AE167">
        <f t="shared" si="28"/>
        <v>10</v>
      </c>
      <c r="AF167" s="150">
        <v>47757</v>
      </c>
      <c r="AG167" s="151">
        <v>432</v>
      </c>
      <c r="AH167" s="151">
        <v>312</v>
      </c>
      <c r="AI167">
        <f t="shared" si="29"/>
        <v>27</v>
      </c>
      <c r="AJ167">
        <f t="shared" si="30"/>
        <v>4</v>
      </c>
    </row>
    <row r="168" spans="2:36" x14ac:dyDescent="0.2">
      <c r="B168" s="80">
        <f t="shared" si="33"/>
        <v>50526</v>
      </c>
      <c r="C168" s="73">
        <v>6.2575373469387765</v>
      </c>
      <c r="D168" s="73">
        <v>5.8434332910887452</v>
      </c>
      <c r="E168" s="81">
        <f t="shared" si="31"/>
        <v>2038</v>
      </c>
      <c r="K168">
        <f t="shared" si="34"/>
        <v>5</v>
      </c>
      <c r="L168" s="101">
        <f t="shared" si="35"/>
        <v>2038</v>
      </c>
      <c r="M168" s="76">
        <f t="shared" si="32"/>
        <v>50526</v>
      </c>
      <c r="N168" s="77">
        <v>12.934900000000001</v>
      </c>
      <c r="O168" s="77">
        <v>18.951899999999998</v>
      </c>
      <c r="P168" s="77">
        <v>11.0639</v>
      </c>
      <c r="Q168" s="78">
        <v>17.250399999999999</v>
      </c>
      <c r="S168" s="98">
        <v>18.165184946236558</v>
      </c>
      <c r="T168" s="100">
        <f t="shared" si="36"/>
        <v>1.0433089481935844</v>
      </c>
      <c r="U168" s="100">
        <f t="shared" si="37"/>
        <v>0.94964075791443658</v>
      </c>
      <c r="AD168" s="152" t="str">
        <f t="shared" si="27"/>
        <v>Winter</v>
      </c>
      <c r="AE168">
        <f t="shared" si="28"/>
        <v>11</v>
      </c>
      <c r="AF168" s="150">
        <v>47788</v>
      </c>
      <c r="AG168" s="151">
        <v>400</v>
      </c>
      <c r="AH168" s="151">
        <v>320</v>
      </c>
      <c r="AI168">
        <f t="shared" si="29"/>
        <v>25</v>
      </c>
      <c r="AJ168">
        <f t="shared" si="30"/>
        <v>5</v>
      </c>
    </row>
    <row r="169" spans="2:36" x14ac:dyDescent="0.2">
      <c r="B169" s="80">
        <f t="shared" si="33"/>
        <v>50557</v>
      </c>
      <c r="C169" s="73">
        <v>6.2958026530612248</v>
      </c>
      <c r="D169" s="73">
        <v>5.8433819045308599</v>
      </c>
      <c r="E169" s="81">
        <f t="shared" si="31"/>
        <v>2038</v>
      </c>
      <c r="K169">
        <f t="shared" si="34"/>
        <v>6</v>
      </c>
      <c r="L169" s="101">
        <f t="shared" si="35"/>
        <v>2038</v>
      </c>
      <c r="M169" s="76">
        <f t="shared" si="32"/>
        <v>50557</v>
      </c>
      <c r="N169" s="77">
        <v>23.4816</v>
      </c>
      <c r="O169" s="77">
        <v>32.475000000000001</v>
      </c>
      <c r="P169" s="77">
        <v>20.596</v>
      </c>
      <c r="Q169" s="78">
        <v>29.419699999999999</v>
      </c>
      <c r="S169" s="98">
        <v>31.184984444444446</v>
      </c>
      <c r="T169" s="100">
        <f t="shared" si="36"/>
        <v>1.0413665608156291</v>
      </c>
      <c r="U169" s="100">
        <f t="shared" si="37"/>
        <v>0.94339312730492864</v>
      </c>
      <c r="AD169" s="152" t="str">
        <f t="shared" si="27"/>
        <v>Winter</v>
      </c>
      <c r="AE169">
        <f t="shared" si="28"/>
        <v>12</v>
      </c>
      <c r="AF169" s="150">
        <v>47818</v>
      </c>
      <c r="AG169" s="151">
        <v>400</v>
      </c>
      <c r="AH169" s="151">
        <v>344</v>
      </c>
      <c r="AI169">
        <f t="shared" si="29"/>
        <v>25</v>
      </c>
      <c r="AJ169">
        <f t="shared" si="30"/>
        <v>6</v>
      </c>
    </row>
    <row r="170" spans="2:36" x14ac:dyDescent="0.2">
      <c r="B170" s="80">
        <f t="shared" si="33"/>
        <v>50587</v>
      </c>
      <c r="C170" s="73">
        <v>6.3794761224489793</v>
      </c>
      <c r="D170" s="73">
        <v>5.9320237168846308</v>
      </c>
      <c r="E170" s="81">
        <f t="shared" si="31"/>
        <v>2038</v>
      </c>
      <c r="K170">
        <f t="shared" si="34"/>
        <v>7</v>
      </c>
      <c r="L170" s="101">
        <f t="shared" si="35"/>
        <v>2038</v>
      </c>
      <c r="M170" s="76">
        <f t="shared" si="32"/>
        <v>50587</v>
      </c>
      <c r="N170" s="77">
        <v>61.723300000000002</v>
      </c>
      <c r="O170" s="77">
        <v>61.234900000000003</v>
      </c>
      <c r="P170" s="77">
        <v>58.113199999999999</v>
      </c>
      <c r="Q170" s="78">
        <v>62.695900000000002</v>
      </c>
      <c r="S170" s="98">
        <v>61.878996774193553</v>
      </c>
      <c r="T170" s="100">
        <f t="shared" si="36"/>
        <v>0.98959102752515582</v>
      </c>
      <c r="U170" s="100">
        <f t="shared" si="37"/>
        <v>1.0132016236266315</v>
      </c>
      <c r="AD170" s="152" t="str">
        <f t="shared" si="27"/>
        <v>Winter</v>
      </c>
      <c r="AE170">
        <f t="shared" si="28"/>
        <v>1</v>
      </c>
      <c r="AF170" s="150">
        <v>47849</v>
      </c>
      <c r="AG170" s="151">
        <v>416</v>
      </c>
      <c r="AH170" s="151">
        <v>328</v>
      </c>
      <c r="AI170">
        <f t="shared" si="29"/>
        <v>26</v>
      </c>
      <c r="AJ170">
        <f t="shared" si="30"/>
        <v>5</v>
      </c>
    </row>
    <row r="171" spans="2:36" x14ac:dyDescent="0.2">
      <c r="B171" s="80">
        <f t="shared" si="33"/>
        <v>50618</v>
      </c>
      <c r="C171" s="73">
        <v>6.5269251020408161</v>
      </c>
      <c r="D171" s="73">
        <v>6.2824800416688173</v>
      </c>
      <c r="E171" s="81">
        <f t="shared" si="31"/>
        <v>2038</v>
      </c>
      <c r="K171">
        <f t="shared" si="34"/>
        <v>8</v>
      </c>
      <c r="L171" s="101">
        <f t="shared" si="35"/>
        <v>2038</v>
      </c>
      <c r="M171" s="76">
        <f t="shared" si="32"/>
        <v>50618</v>
      </c>
      <c r="N171" s="77">
        <v>70.6614</v>
      </c>
      <c r="O171" s="77">
        <v>62.579500000000003</v>
      </c>
      <c r="P171" s="77">
        <v>59.201700000000002</v>
      </c>
      <c r="Q171" s="78">
        <v>58.097499999999997</v>
      </c>
      <c r="S171" s="98">
        <v>60.603564516129033</v>
      </c>
      <c r="T171" s="100">
        <f t="shared" si="36"/>
        <v>1.0326042783068494</v>
      </c>
      <c r="U171" s="100">
        <f t="shared" si="37"/>
        <v>0.95864823239131303</v>
      </c>
      <c r="AD171" s="152" t="str">
        <f t="shared" si="27"/>
        <v>Winter</v>
      </c>
      <c r="AE171">
        <f t="shared" si="28"/>
        <v>2</v>
      </c>
      <c r="AF171" s="150">
        <v>47880</v>
      </c>
      <c r="AG171" s="151">
        <v>384</v>
      </c>
      <c r="AH171" s="151">
        <v>288</v>
      </c>
      <c r="AI171">
        <f t="shared" si="29"/>
        <v>24</v>
      </c>
      <c r="AJ171">
        <f t="shared" si="30"/>
        <v>4</v>
      </c>
    </row>
    <row r="172" spans="2:36" x14ac:dyDescent="0.2">
      <c r="B172" s="80">
        <f t="shared" si="33"/>
        <v>50649</v>
      </c>
      <c r="C172" s="73">
        <v>6.7925373469387758</v>
      </c>
      <c r="D172" s="73">
        <v>6.3564252984671237</v>
      </c>
      <c r="E172" s="81">
        <f t="shared" si="31"/>
        <v>2038</v>
      </c>
      <c r="K172">
        <f t="shared" si="34"/>
        <v>9</v>
      </c>
      <c r="L172" s="101">
        <f t="shared" si="35"/>
        <v>2038</v>
      </c>
      <c r="M172" s="76">
        <f t="shared" si="32"/>
        <v>50649</v>
      </c>
      <c r="N172" s="77">
        <v>58.085799999999999</v>
      </c>
      <c r="O172" s="77">
        <v>55.0732</v>
      </c>
      <c r="P172" s="77">
        <v>56.8125</v>
      </c>
      <c r="Q172" s="78">
        <v>57.39</v>
      </c>
      <c r="S172" s="98">
        <v>56.102888888888884</v>
      </c>
      <c r="T172" s="100">
        <f t="shared" si="36"/>
        <v>0.98164641947532916</v>
      </c>
      <c r="U172" s="100">
        <f t="shared" si="37"/>
        <v>1.0229419756558387</v>
      </c>
      <c r="AD172" s="152" t="str">
        <f t="shared" si="27"/>
        <v>Winter</v>
      </c>
      <c r="AE172">
        <f t="shared" si="28"/>
        <v>3</v>
      </c>
      <c r="AF172" s="150">
        <v>47908</v>
      </c>
      <c r="AG172" s="151">
        <v>416</v>
      </c>
      <c r="AH172" s="151">
        <v>328</v>
      </c>
      <c r="AI172">
        <f t="shared" si="29"/>
        <v>26</v>
      </c>
      <c r="AJ172">
        <f t="shared" si="30"/>
        <v>5</v>
      </c>
    </row>
    <row r="173" spans="2:36" x14ac:dyDescent="0.2">
      <c r="B173" s="80">
        <f t="shared" si="33"/>
        <v>50679</v>
      </c>
      <c r="C173" s="73">
        <v>6.8982516326530616</v>
      </c>
      <c r="D173" s="73">
        <v>6.5376143015740213</v>
      </c>
      <c r="E173" s="81">
        <f t="shared" si="31"/>
        <v>2038</v>
      </c>
      <c r="K173">
        <f t="shared" si="34"/>
        <v>10</v>
      </c>
      <c r="L173" s="101">
        <f t="shared" si="35"/>
        <v>2038</v>
      </c>
      <c r="M173" s="76">
        <f t="shared" si="32"/>
        <v>50679</v>
      </c>
      <c r="N173" s="77">
        <v>55.855400000000003</v>
      </c>
      <c r="O173" s="77">
        <v>42.616100000000003</v>
      </c>
      <c r="P173" s="77">
        <v>55.217199999999998</v>
      </c>
      <c r="Q173" s="78">
        <v>47.273299999999999</v>
      </c>
      <c r="S173" s="98">
        <v>44.669274193548389</v>
      </c>
      <c r="T173" s="100">
        <f t="shared" si="36"/>
        <v>0.95403609683353829</v>
      </c>
      <c r="U173" s="100">
        <f t="shared" si="37"/>
        <v>1.0582956820647806</v>
      </c>
      <c r="AD173" s="152" t="str">
        <f t="shared" si="27"/>
        <v>Winter</v>
      </c>
      <c r="AE173">
        <f t="shared" si="28"/>
        <v>4</v>
      </c>
      <c r="AF173" s="150">
        <v>47939</v>
      </c>
      <c r="AG173" s="151">
        <v>416</v>
      </c>
      <c r="AH173" s="151">
        <v>304</v>
      </c>
      <c r="AI173">
        <f t="shared" si="29"/>
        <v>26</v>
      </c>
      <c r="AJ173">
        <f t="shared" si="30"/>
        <v>4</v>
      </c>
    </row>
    <row r="174" spans="2:36" x14ac:dyDescent="0.2">
      <c r="B174" s="80">
        <f t="shared" si="33"/>
        <v>50710</v>
      </c>
      <c r="C174" s="73">
        <v>7.3036597959183682</v>
      </c>
      <c r="D174" s="73">
        <v>7.1431021131476395</v>
      </c>
      <c r="E174" s="81">
        <f t="shared" si="31"/>
        <v>2038</v>
      </c>
      <c r="K174">
        <f t="shared" si="34"/>
        <v>11</v>
      </c>
      <c r="L174" s="101">
        <f t="shared" si="35"/>
        <v>2038</v>
      </c>
      <c r="M174" s="76">
        <f t="shared" si="32"/>
        <v>50710</v>
      </c>
      <c r="N174" s="77">
        <v>73.868399999999994</v>
      </c>
      <c r="O174" s="77">
        <v>68.178100000000001</v>
      </c>
      <c r="P174" s="77">
        <v>73.661799999999999</v>
      </c>
      <c r="Q174" s="78">
        <v>68.644400000000005</v>
      </c>
      <c r="S174" s="98">
        <v>68.385703744798889</v>
      </c>
      <c r="T174" s="100">
        <f t="shared" si="36"/>
        <v>0.99696422302571275</v>
      </c>
      <c r="U174" s="100">
        <f t="shared" si="37"/>
        <v>1.0037828996564329</v>
      </c>
      <c r="AD174" s="152" t="str">
        <f t="shared" si="27"/>
        <v>Winter</v>
      </c>
      <c r="AE174">
        <f t="shared" si="28"/>
        <v>5</v>
      </c>
      <c r="AF174" s="150">
        <v>47969</v>
      </c>
      <c r="AG174" s="151">
        <v>416</v>
      </c>
      <c r="AH174" s="151">
        <v>328</v>
      </c>
      <c r="AI174">
        <f t="shared" si="29"/>
        <v>26</v>
      </c>
      <c r="AJ174">
        <f t="shared" si="30"/>
        <v>5</v>
      </c>
    </row>
    <row r="175" spans="2:36" x14ac:dyDescent="0.2">
      <c r="B175" s="82">
        <f t="shared" si="33"/>
        <v>50740</v>
      </c>
      <c r="C175" s="83">
        <v>7.5967210204081637</v>
      </c>
      <c r="D175" s="83">
        <v>7.4195104080177492</v>
      </c>
      <c r="E175" s="84">
        <f t="shared" si="31"/>
        <v>2038</v>
      </c>
      <c r="K175">
        <f t="shared" si="34"/>
        <v>12</v>
      </c>
      <c r="L175" s="101">
        <f t="shared" si="35"/>
        <v>2038</v>
      </c>
      <c r="M175" s="85">
        <f t="shared" si="32"/>
        <v>50740</v>
      </c>
      <c r="N175" s="86">
        <v>93.063599999999994</v>
      </c>
      <c r="O175" s="86">
        <v>80.406499999999994</v>
      </c>
      <c r="P175" s="86">
        <v>89.879300000000001</v>
      </c>
      <c r="Q175" s="87">
        <v>80.661900000000003</v>
      </c>
      <c r="S175" s="98">
        <v>80.51909569892473</v>
      </c>
      <c r="T175" s="100">
        <f t="shared" si="36"/>
        <v>0.99860162737860658</v>
      </c>
      <c r="U175" s="100">
        <f t="shared" si="37"/>
        <v>1.0017735457637185</v>
      </c>
      <c r="AD175" s="152" t="str">
        <f t="shared" si="27"/>
        <v>Summer</v>
      </c>
      <c r="AE175">
        <f t="shared" si="28"/>
        <v>6</v>
      </c>
      <c r="AF175" s="150">
        <v>48000</v>
      </c>
      <c r="AG175" s="151">
        <v>400</v>
      </c>
      <c r="AH175" s="151">
        <v>320</v>
      </c>
      <c r="AI175">
        <f t="shared" si="29"/>
        <v>25</v>
      </c>
      <c r="AJ175">
        <f t="shared" si="30"/>
        <v>5</v>
      </c>
    </row>
    <row r="176" spans="2:36" x14ac:dyDescent="0.2">
      <c r="B176" s="204">
        <f t="shared" si="33"/>
        <v>50771</v>
      </c>
      <c r="C176" s="73">
        <v>8.1088638775510198</v>
      </c>
      <c r="D176" s="73">
        <v>7.8631819488075836</v>
      </c>
      <c r="E176" s="203">
        <f t="shared" si="31"/>
        <v>2039</v>
      </c>
      <c r="K176">
        <f t="shared" si="34"/>
        <v>1</v>
      </c>
      <c r="L176" s="101">
        <f t="shared" si="35"/>
        <v>2039</v>
      </c>
      <c r="M176" s="76">
        <f t="shared" si="32"/>
        <v>50771</v>
      </c>
      <c r="N176" s="202">
        <v>89.983500000000006</v>
      </c>
      <c r="O176" s="202">
        <v>83.877799999999993</v>
      </c>
      <c r="P176" s="202">
        <v>84.785200000000003</v>
      </c>
      <c r="Q176" s="201">
        <v>88.060299999999998</v>
      </c>
      <c r="S176" s="98">
        <v>85.811644086021502</v>
      </c>
      <c r="T176" s="100">
        <f t="shared" si="36"/>
        <v>0.9774640830318676</v>
      </c>
      <c r="U176" s="100">
        <f t="shared" si="37"/>
        <v>1.0262045546141074</v>
      </c>
      <c r="AD176" s="152" t="str">
        <f t="shared" si="27"/>
        <v>Summer</v>
      </c>
      <c r="AE176">
        <f t="shared" si="28"/>
        <v>7</v>
      </c>
      <c r="AF176" s="150">
        <v>48030</v>
      </c>
      <c r="AG176" s="151">
        <v>416</v>
      </c>
      <c r="AH176" s="151">
        <v>328</v>
      </c>
      <c r="AI176">
        <f t="shared" si="29"/>
        <v>26</v>
      </c>
      <c r="AJ176">
        <f t="shared" si="30"/>
        <v>5</v>
      </c>
    </row>
    <row r="177" spans="2:36" x14ac:dyDescent="0.2">
      <c r="B177" s="80">
        <f t="shared" si="33"/>
        <v>50802</v>
      </c>
      <c r="C177" s="73">
        <v>7.9166189795918367</v>
      </c>
      <c r="D177" s="73">
        <v>7.6726405921653882</v>
      </c>
      <c r="E177" s="81">
        <f t="shared" si="31"/>
        <v>2039</v>
      </c>
      <c r="K177">
        <f t="shared" si="34"/>
        <v>2</v>
      </c>
      <c r="L177" s="101">
        <f t="shared" si="35"/>
        <v>2039</v>
      </c>
      <c r="M177" s="76">
        <f t="shared" si="32"/>
        <v>50802</v>
      </c>
      <c r="N177" s="77">
        <v>111.718</v>
      </c>
      <c r="O177" s="77">
        <v>88.792699999999996</v>
      </c>
      <c r="P177" s="77">
        <v>104.0788</v>
      </c>
      <c r="Q177" s="78">
        <v>89.756299999999996</v>
      </c>
      <c r="S177" s="98">
        <v>89.205671428571421</v>
      </c>
      <c r="T177" s="100">
        <f t="shared" si="36"/>
        <v>0.99537056980842187</v>
      </c>
      <c r="U177" s="100">
        <f t="shared" si="37"/>
        <v>1.006172573588771</v>
      </c>
      <c r="AD177" s="152" t="str">
        <f t="shared" si="27"/>
        <v>Summer</v>
      </c>
      <c r="AE177">
        <f t="shared" si="28"/>
        <v>8</v>
      </c>
      <c r="AF177" s="150">
        <v>48061</v>
      </c>
      <c r="AG177" s="151">
        <v>416</v>
      </c>
      <c r="AH177" s="151">
        <v>328</v>
      </c>
      <c r="AI177">
        <f t="shared" si="29"/>
        <v>26</v>
      </c>
      <c r="AJ177">
        <f t="shared" si="30"/>
        <v>5</v>
      </c>
    </row>
    <row r="178" spans="2:36" x14ac:dyDescent="0.2">
      <c r="B178" s="80">
        <f t="shared" si="33"/>
        <v>50830</v>
      </c>
      <c r="C178" s="73">
        <v>6.9062108163265314</v>
      </c>
      <c r="D178" s="73">
        <v>6.690643470959257</v>
      </c>
      <c r="E178" s="81">
        <f t="shared" si="31"/>
        <v>2039</v>
      </c>
      <c r="K178">
        <f t="shared" si="34"/>
        <v>3</v>
      </c>
      <c r="L178" s="101">
        <f t="shared" si="35"/>
        <v>2039</v>
      </c>
      <c r="M178" s="76">
        <f t="shared" si="32"/>
        <v>50830</v>
      </c>
      <c r="N178" s="77">
        <v>52.600999999999999</v>
      </c>
      <c r="O178" s="77">
        <v>44.380400000000002</v>
      </c>
      <c r="P178" s="77">
        <v>55.052100000000003</v>
      </c>
      <c r="Q178" s="78">
        <v>48.122399999999999</v>
      </c>
      <c r="S178" s="98">
        <v>45.946701480484521</v>
      </c>
      <c r="T178" s="100">
        <f t="shared" si="36"/>
        <v>0.96591046952195703</v>
      </c>
      <c r="U178" s="100">
        <f t="shared" si="37"/>
        <v>1.0473526596994038</v>
      </c>
      <c r="AD178" s="152" t="str">
        <f t="shared" si="27"/>
        <v>Summer</v>
      </c>
      <c r="AE178">
        <f t="shared" si="28"/>
        <v>9</v>
      </c>
      <c r="AF178" s="150">
        <v>48092</v>
      </c>
      <c r="AG178" s="151">
        <v>400</v>
      </c>
      <c r="AH178" s="151">
        <v>320</v>
      </c>
      <c r="AI178">
        <f t="shared" si="29"/>
        <v>25</v>
      </c>
      <c r="AJ178">
        <f t="shared" si="30"/>
        <v>5</v>
      </c>
    </row>
    <row r="179" spans="2:36" x14ac:dyDescent="0.2">
      <c r="B179" s="80">
        <f t="shared" si="33"/>
        <v>50861</v>
      </c>
      <c r="C179" s="73">
        <v>6.5455985714285712</v>
      </c>
      <c r="D179" s="73">
        <v>6.2140331465643408</v>
      </c>
      <c r="E179" s="81">
        <f t="shared" si="31"/>
        <v>2039</v>
      </c>
      <c r="K179">
        <f t="shared" si="34"/>
        <v>4</v>
      </c>
      <c r="L179" s="101">
        <f t="shared" si="35"/>
        <v>2039</v>
      </c>
      <c r="M179" s="76">
        <f t="shared" si="32"/>
        <v>50861</v>
      </c>
      <c r="N179" s="77">
        <v>38.981900000000003</v>
      </c>
      <c r="O179" s="77">
        <v>28.3308</v>
      </c>
      <c r="P179" s="77">
        <v>34.067500000000003</v>
      </c>
      <c r="Q179" s="78">
        <v>24.597200000000001</v>
      </c>
      <c r="S179" s="98">
        <v>26.754391111111111</v>
      </c>
      <c r="T179" s="100">
        <f t="shared" si="36"/>
        <v>1.0589215012347712</v>
      </c>
      <c r="U179" s="100">
        <f t="shared" si="37"/>
        <v>0.91937057725768134</v>
      </c>
      <c r="AD179" s="152" t="str">
        <f t="shared" si="27"/>
        <v>Winter</v>
      </c>
      <c r="AE179">
        <f t="shared" si="28"/>
        <v>10</v>
      </c>
      <c r="AF179" s="150">
        <v>48122</v>
      </c>
      <c r="AG179" s="151">
        <v>432</v>
      </c>
      <c r="AH179" s="151">
        <v>312</v>
      </c>
      <c r="AI179">
        <f t="shared" si="29"/>
        <v>27</v>
      </c>
      <c r="AJ179">
        <f t="shared" si="30"/>
        <v>4</v>
      </c>
    </row>
    <row r="180" spans="2:36" x14ac:dyDescent="0.2">
      <c r="B180" s="80">
        <f t="shared" si="33"/>
        <v>50891</v>
      </c>
      <c r="C180" s="73">
        <v>6.553863877551021</v>
      </c>
      <c r="D180" s="73">
        <v>6.1138293586861625</v>
      </c>
      <c r="E180" s="81">
        <f t="shared" si="31"/>
        <v>2039</v>
      </c>
      <c r="K180">
        <f t="shared" si="34"/>
        <v>5</v>
      </c>
      <c r="L180" s="101">
        <f t="shared" si="35"/>
        <v>2039</v>
      </c>
      <c r="M180" s="76">
        <f t="shared" si="32"/>
        <v>50891</v>
      </c>
      <c r="N180" s="77">
        <v>12.8546</v>
      </c>
      <c r="O180" s="77">
        <v>22.552</v>
      </c>
      <c r="P180" s="77">
        <v>9.8605</v>
      </c>
      <c r="Q180" s="78">
        <v>18.3308</v>
      </c>
      <c r="S180" s="98">
        <v>20.600262365591398</v>
      </c>
      <c r="T180" s="100">
        <f t="shared" si="36"/>
        <v>1.0947433386901222</v>
      </c>
      <c r="U180" s="100">
        <f t="shared" si="37"/>
        <v>0.88983332710450913</v>
      </c>
      <c r="AD180" s="152" t="str">
        <f t="shared" si="27"/>
        <v>Winter</v>
      </c>
      <c r="AE180">
        <f t="shared" si="28"/>
        <v>11</v>
      </c>
      <c r="AF180" s="150">
        <v>48153</v>
      </c>
      <c r="AG180" s="151">
        <v>384</v>
      </c>
      <c r="AH180" s="151">
        <v>336</v>
      </c>
      <c r="AI180">
        <f t="shared" si="29"/>
        <v>24</v>
      </c>
      <c r="AJ180">
        <f t="shared" si="30"/>
        <v>6</v>
      </c>
    </row>
    <row r="181" spans="2:36" x14ac:dyDescent="0.2">
      <c r="B181" s="80">
        <f t="shared" si="33"/>
        <v>50922</v>
      </c>
      <c r="C181" s="73">
        <v>6.6143740816326533</v>
      </c>
      <c r="D181" s="73">
        <v>6.1193277203799914</v>
      </c>
      <c r="E181" s="81">
        <f t="shared" si="31"/>
        <v>2039</v>
      </c>
      <c r="K181">
        <f t="shared" si="34"/>
        <v>6</v>
      </c>
      <c r="L181" s="101">
        <f t="shared" si="35"/>
        <v>2039</v>
      </c>
      <c r="M181" s="76">
        <f t="shared" si="32"/>
        <v>50922</v>
      </c>
      <c r="N181" s="77">
        <v>23.840399999999999</v>
      </c>
      <c r="O181" s="77">
        <v>32.394100000000002</v>
      </c>
      <c r="P181" s="77">
        <v>21.0916</v>
      </c>
      <c r="Q181" s="78">
        <v>30.797499999999999</v>
      </c>
      <c r="S181" s="98">
        <v>31.71998</v>
      </c>
      <c r="T181" s="100">
        <f t="shared" si="36"/>
        <v>1.0212522202094705</v>
      </c>
      <c r="U181" s="100">
        <f t="shared" si="37"/>
        <v>0.97091801445019821</v>
      </c>
      <c r="AD181" s="152" t="str">
        <f t="shared" si="27"/>
        <v>Winter</v>
      </c>
      <c r="AE181">
        <f t="shared" si="28"/>
        <v>12</v>
      </c>
      <c r="AF181" s="150">
        <v>48183</v>
      </c>
      <c r="AG181" s="151">
        <v>416</v>
      </c>
      <c r="AH181" s="151">
        <v>328</v>
      </c>
      <c r="AI181">
        <f t="shared" si="29"/>
        <v>26</v>
      </c>
      <c r="AJ181">
        <f t="shared" si="30"/>
        <v>5</v>
      </c>
    </row>
    <row r="182" spans="2:36" x14ac:dyDescent="0.2">
      <c r="B182" s="80">
        <f t="shared" si="33"/>
        <v>50952</v>
      </c>
      <c r="C182" s="73">
        <v>6.6812108163265309</v>
      </c>
      <c r="D182" s="73">
        <v>6.198206086735377</v>
      </c>
      <c r="E182" s="81">
        <f t="shared" si="31"/>
        <v>2039</v>
      </c>
      <c r="K182">
        <f t="shared" si="34"/>
        <v>7</v>
      </c>
      <c r="L182" s="101">
        <f t="shared" si="35"/>
        <v>2039</v>
      </c>
      <c r="M182" s="76">
        <f t="shared" si="32"/>
        <v>50952</v>
      </c>
      <c r="N182" s="77">
        <v>63.4392</v>
      </c>
      <c r="O182" s="77">
        <v>63.756100000000004</v>
      </c>
      <c r="P182" s="77">
        <v>62.710299999999997</v>
      </c>
      <c r="Q182" s="78">
        <v>65.375600000000006</v>
      </c>
      <c r="S182" s="98">
        <v>64.504901075268819</v>
      </c>
      <c r="T182" s="100">
        <f t="shared" si="36"/>
        <v>0.98839156307836107</v>
      </c>
      <c r="U182" s="100">
        <f t="shared" si="37"/>
        <v>1.0134981824670222</v>
      </c>
      <c r="AD182" s="152" t="str">
        <f t="shared" si="27"/>
        <v>Winter</v>
      </c>
      <c r="AE182">
        <f t="shared" si="28"/>
        <v>1</v>
      </c>
      <c r="AF182" s="150">
        <v>48214</v>
      </c>
      <c r="AG182" s="149">
        <v>416</v>
      </c>
      <c r="AH182" s="149">
        <v>328</v>
      </c>
      <c r="AI182">
        <f t="shared" si="29"/>
        <v>26</v>
      </c>
      <c r="AJ182">
        <f t="shared" si="30"/>
        <v>5</v>
      </c>
    </row>
    <row r="183" spans="2:36" x14ac:dyDescent="0.2">
      <c r="B183" s="80">
        <f t="shared" si="33"/>
        <v>50983</v>
      </c>
      <c r="C183" s="73">
        <v>6.813965918367348</v>
      </c>
      <c r="D183" s="73">
        <v>6.539104511752722</v>
      </c>
      <c r="E183" s="81">
        <f t="shared" si="31"/>
        <v>2039</v>
      </c>
      <c r="K183">
        <f t="shared" si="34"/>
        <v>8</v>
      </c>
      <c r="L183" s="101">
        <f t="shared" si="35"/>
        <v>2039</v>
      </c>
      <c r="M183" s="76">
        <f t="shared" si="32"/>
        <v>50983</v>
      </c>
      <c r="N183" s="77">
        <v>70.192300000000003</v>
      </c>
      <c r="O183" s="77">
        <v>65.818200000000004</v>
      </c>
      <c r="P183" s="77">
        <v>58.156599999999997</v>
      </c>
      <c r="Q183" s="78">
        <v>59.674500000000002</v>
      </c>
      <c r="S183" s="98">
        <v>63.241809677419361</v>
      </c>
      <c r="T183" s="100">
        <f t="shared" si="36"/>
        <v>1.0407387191435882</v>
      </c>
      <c r="U183" s="100">
        <f t="shared" si="37"/>
        <v>0.94359254272426241</v>
      </c>
      <c r="AD183" s="152" t="str">
        <f t="shared" si="27"/>
        <v>Winter</v>
      </c>
      <c r="AE183">
        <f t="shared" si="28"/>
        <v>2</v>
      </c>
      <c r="AF183" s="150">
        <v>48245</v>
      </c>
      <c r="AG183" s="149">
        <v>384</v>
      </c>
      <c r="AH183" s="149">
        <v>312</v>
      </c>
      <c r="AI183">
        <f t="shared" si="29"/>
        <v>24</v>
      </c>
      <c r="AJ183">
        <f t="shared" si="30"/>
        <v>5</v>
      </c>
    </row>
    <row r="184" spans="2:36" x14ac:dyDescent="0.2">
      <c r="B184" s="80">
        <f t="shared" si="33"/>
        <v>51014</v>
      </c>
      <c r="C184" s="73">
        <v>7.0923332653061228</v>
      </c>
      <c r="D184" s="73">
        <v>6.6185995168027425</v>
      </c>
      <c r="E184" s="81">
        <f t="shared" si="31"/>
        <v>2039</v>
      </c>
      <c r="K184">
        <f t="shared" si="34"/>
        <v>9</v>
      </c>
      <c r="L184" s="101">
        <f t="shared" si="35"/>
        <v>2039</v>
      </c>
      <c r="M184" s="76">
        <f t="shared" si="32"/>
        <v>51014</v>
      </c>
      <c r="N184" s="77">
        <v>56.883800000000001</v>
      </c>
      <c r="O184" s="77">
        <v>56.808199999999999</v>
      </c>
      <c r="P184" s="77">
        <v>58.6648</v>
      </c>
      <c r="Q184" s="78">
        <v>59.202199999999998</v>
      </c>
      <c r="S184" s="98">
        <v>57.872199999999992</v>
      </c>
      <c r="T184" s="100">
        <f t="shared" si="36"/>
        <v>0.98161466127086938</v>
      </c>
      <c r="U184" s="100">
        <f t="shared" si="37"/>
        <v>1.0229816734114134</v>
      </c>
      <c r="AD184" s="152" t="str">
        <f t="shared" si="27"/>
        <v>Winter</v>
      </c>
      <c r="AE184">
        <f t="shared" si="28"/>
        <v>3</v>
      </c>
      <c r="AF184" s="150">
        <v>48274</v>
      </c>
      <c r="AG184" s="149">
        <v>432</v>
      </c>
      <c r="AH184" s="149">
        <v>312</v>
      </c>
      <c r="AI184">
        <f t="shared" si="29"/>
        <v>27</v>
      </c>
      <c r="AJ184">
        <f t="shared" si="30"/>
        <v>4</v>
      </c>
    </row>
    <row r="185" spans="2:36" x14ac:dyDescent="0.2">
      <c r="B185" s="80">
        <f t="shared" si="33"/>
        <v>51044</v>
      </c>
      <c r="C185" s="73">
        <v>7.1760067346938783</v>
      </c>
      <c r="D185" s="73">
        <v>6.7994288140044361</v>
      </c>
      <c r="E185" s="81">
        <f t="shared" si="31"/>
        <v>2039</v>
      </c>
      <c r="K185">
        <f t="shared" si="34"/>
        <v>10</v>
      </c>
      <c r="L185" s="101">
        <f t="shared" si="35"/>
        <v>2039</v>
      </c>
      <c r="M185" s="76">
        <f t="shared" si="32"/>
        <v>51044</v>
      </c>
      <c r="N185" s="77">
        <v>58.596800000000002</v>
      </c>
      <c r="O185" s="77">
        <v>47.224200000000003</v>
      </c>
      <c r="P185" s="77">
        <v>60.6389</v>
      </c>
      <c r="Q185" s="78">
        <v>56.396700000000003</v>
      </c>
      <c r="S185" s="98">
        <v>51.267990322580651</v>
      </c>
      <c r="T185" s="100">
        <f t="shared" si="36"/>
        <v>0.92112446192766817</v>
      </c>
      <c r="U185" s="100">
        <f t="shared" si="37"/>
        <v>1.1000372677990549</v>
      </c>
      <c r="AD185" s="152" t="str">
        <f t="shared" si="27"/>
        <v>Winter</v>
      </c>
      <c r="AE185">
        <f t="shared" si="28"/>
        <v>4</v>
      </c>
      <c r="AF185" s="150">
        <v>48305</v>
      </c>
      <c r="AG185" s="149">
        <v>416</v>
      </c>
      <c r="AH185" s="149">
        <v>304</v>
      </c>
      <c r="AI185">
        <f t="shared" si="29"/>
        <v>26</v>
      </c>
      <c r="AJ185">
        <f t="shared" si="30"/>
        <v>4</v>
      </c>
    </row>
    <row r="186" spans="2:36" x14ac:dyDescent="0.2">
      <c r="B186" s="80">
        <f t="shared" si="33"/>
        <v>51075</v>
      </c>
      <c r="C186" s="73">
        <v>7.6313128571428575</v>
      </c>
      <c r="D186" s="73">
        <v>7.4245462906906008</v>
      </c>
      <c r="E186" s="81">
        <f t="shared" si="31"/>
        <v>2039</v>
      </c>
      <c r="K186">
        <f t="shared" si="34"/>
        <v>11</v>
      </c>
      <c r="L186" s="101">
        <f t="shared" si="35"/>
        <v>2039</v>
      </c>
      <c r="M186" s="76">
        <f t="shared" si="32"/>
        <v>51075</v>
      </c>
      <c r="N186" s="77">
        <v>76.790700000000001</v>
      </c>
      <c r="O186" s="77">
        <v>73.583500000000001</v>
      </c>
      <c r="P186" s="77">
        <v>70.284300000000002</v>
      </c>
      <c r="Q186" s="78">
        <v>68.880399999999995</v>
      </c>
      <c r="S186" s="98">
        <v>71.489609431345343</v>
      </c>
      <c r="T186" s="100">
        <f t="shared" si="36"/>
        <v>1.0292894391969718</v>
      </c>
      <c r="U186" s="100">
        <f t="shared" si="37"/>
        <v>0.96350225645237175</v>
      </c>
      <c r="AD186" s="152" t="str">
        <f t="shared" si="27"/>
        <v>Winter</v>
      </c>
      <c r="AE186">
        <f t="shared" si="28"/>
        <v>5</v>
      </c>
      <c r="AF186" s="150">
        <v>48335</v>
      </c>
      <c r="AG186" s="149">
        <v>400</v>
      </c>
      <c r="AH186" s="149">
        <v>344</v>
      </c>
      <c r="AI186">
        <f t="shared" si="29"/>
        <v>25</v>
      </c>
      <c r="AJ186">
        <f t="shared" si="30"/>
        <v>6</v>
      </c>
    </row>
    <row r="187" spans="2:36" x14ac:dyDescent="0.2">
      <c r="B187" s="82">
        <f t="shared" si="33"/>
        <v>51105</v>
      </c>
      <c r="C187" s="83">
        <v>7.9300883673469391</v>
      </c>
      <c r="D187" s="83">
        <v>7.6854358450790636</v>
      </c>
      <c r="E187" s="84">
        <f t="shared" si="31"/>
        <v>2039</v>
      </c>
      <c r="K187">
        <f t="shared" si="34"/>
        <v>12</v>
      </c>
      <c r="L187" s="101">
        <f t="shared" si="35"/>
        <v>2039</v>
      </c>
      <c r="M187" s="85">
        <f t="shared" si="32"/>
        <v>51105</v>
      </c>
      <c r="N187" s="86">
        <v>94.538200000000003</v>
      </c>
      <c r="O187" s="86">
        <v>81.469499999999996</v>
      </c>
      <c r="P187" s="86">
        <v>94.515600000000006</v>
      </c>
      <c r="Q187" s="87">
        <v>86.563500000000005</v>
      </c>
      <c r="S187" s="98">
        <v>83.715241935483874</v>
      </c>
      <c r="T187" s="100">
        <f t="shared" si="36"/>
        <v>0.97317403756397691</v>
      </c>
      <c r="U187" s="100">
        <f t="shared" si="37"/>
        <v>1.0340231718700781</v>
      </c>
      <c r="AD187" s="152" t="str">
        <f t="shared" si="27"/>
        <v>Summer</v>
      </c>
      <c r="AE187">
        <f t="shared" si="28"/>
        <v>6</v>
      </c>
      <c r="AF187" s="150">
        <v>48366</v>
      </c>
      <c r="AG187" s="149">
        <v>416</v>
      </c>
      <c r="AH187" s="149">
        <v>304</v>
      </c>
      <c r="AI187">
        <f t="shared" si="29"/>
        <v>26</v>
      </c>
      <c r="AJ187">
        <f t="shared" si="30"/>
        <v>4</v>
      </c>
    </row>
    <row r="188" spans="2:36" x14ac:dyDescent="0.2">
      <c r="B188" s="204">
        <f t="shared" si="33"/>
        <v>51136</v>
      </c>
      <c r="C188" s="73">
        <v>8.392435306122449</v>
      </c>
      <c r="D188" s="73">
        <v>8.0939589802747083</v>
      </c>
      <c r="E188" s="203">
        <f t="shared" si="31"/>
        <v>2040</v>
      </c>
      <c r="K188">
        <f t="shared" si="34"/>
        <v>1</v>
      </c>
      <c r="L188" s="101">
        <f t="shared" si="35"/>
        <v>2040</v>
      </c>
      <c r="M188" s="76">
        <f t="shared" si="32"/>
        <v>51136</v>
      </c>
      <c r="N188" s="202">
        <v>96.69</v>
      </c>
      <c r="O188" s="202">
        <v>88.945400000000006</v>
      </c>
      <c r="P188" s="202">
        <v>88.589500000000001</v>
      </c>
      <c r="Q188" s="201">
        <v>99.866100000000003</v>
      </c>
      <c r="S188" s="98">
        <v>93.994755913978494</v>
      </c>
      <c r="T188" s="100">
        <f t="shared" si="36"/>
        <v>0.94628045080940981</v>
      </c>
      <c r="U188" s="100">
        <f t="shared" si="37"/>
        <v>1.0624645920820817</v>
      </c>
      <c r="AD188" s="152" t="str">
        <f t="shared" si="27"/>
        <v>Summer</v>
      </c>
      <c r="AE188">
        <f t="shared" si="28"/>
        <v>7</v>
      </c>
      <c r="AF188" s="150">
        <v>48396</v>
      </c>
      <c r="AG188" s="149">
        <v>416</v>
      </c>
      <c r="AH188" s="149">
        <v>328</v>
      </c>
      <c r="AI188">
        <f t="shared" si="29"/>
        <v>26</v>
      </c>
      <c r="AJ188">
        <f t="shared" si="30"/>
        <v>5</v>
      </c>
    </row>
    <row r="189" spans="2:36" x14ac:dyDescent="0.2">
      <c r="B189" s="80">
        <f t="shared" si="33"/>
        <v>51167</v>
      </c>
      <c r="C189" s="73">
        <v>7.8760067346938785</v>
      </c>
      <c r="D189" s="73">
        <v>7.5376994911561113</v>
      </c>
      <c r="E189" s="81">
        <f t="shared" si="31"/>
        <v>2040</v>
      </c>
      <c r="K189">
        <f t="shared" si="34"/>
        <v>2</v>
      </c>
      <c r="L189" s="101">
        <f t="shared" si="35"/>
        <v>2040</v>
      </c>
      <c r="M189" s="76">
        <f t="shared" si="32"/>
        <v>51167</v>
      </c>
      <c r="N189" s="77">
        <v>118.2724</v>
      </c>
      <c r="O189" s="77">
        <v>91.482100000000003</v>
      </c>
      <c r="P189" s="77">
        <v>105.31570000000001</v>
      </c>
      <c r="Q189" s="78">
        <v>89.592600000000004</v>
      </c>
      <c r="S189" s="98">
        <v>90.678519540229885</v>
      </c>
      <c r="T189" s="100">
        <f t="shared" si="36"/>
        <v>1.0088618612637761</v>
      </c>
      <c r="U189" s="100">
        <f t="shared" si="37"/>
        <v>0.98802451180570816</v>
      </c>
      <c r="AD189" s="152" t="str">
        <f t="shared" si="27"/>
        <v>Summer</v>
      </c>
      <c r="AE189">
        <f t="shared" si="28"/>
        <v>8</v>
      </c>
      <c r="AF189" s="150">
        <v>48427</v>
      </c>
      <c r="AG189" s="149">
        <v>416</v>
      </c>
      <c r="AH189" s="149">
        <v>328</v>
      </c>
      <c r="AI189">
        <f t="shared" si="29"/>
        <v>26</v>
      </c>
      <c r="AJ189">
        <f t="shared" si="30"/>
        <v>5</v>
      </c>
    </row>
    <row r="190" spans="2:36" x14ac:dyDescent="0.2">
      <c r="B190" s="80">
        <f t="shared" si="33"/>
        <v>51196</v>
      </c>
      <c r="C190" s="73">
        <v>7.2791700000000006</v>
      </c>
      <c r="D190" s="73">
        <v>6.9779457161012504</v>
      </c>
      <c r="E190" s="81">
        <f t="shared" si="31"/>
        <v>2040</v>
      </c>
      <c r="K190">
        <f t="shared" si="34"/>
        <v>3</v>
      </c>
      <c r="L190" s="101">
        <f t="shared" si="35"/>
        <v>2040</v>
      </c>
      <c r="M190" s="76">
        <f t="shared" si="32"/>
        <v>51196</v>
      </c>
      <c r="N190" s="77">
        <v>51.197499999999998</v>
      </c>
      <c r="O190" s="77">
        <v>45.915599999999998</v>
      </c>
      <c r="P190" s="77">
        <v>53.495800000000003</v>
      </c>
      <c r="Q190" s="78">
        <v>47.85</v>
      </c>
      <c r="S190" s="98">
        <v>46.725288290713323</v>
      </c>
      <c r="T190" s="100">
        <f t="shared" si="36"/>
        <v>0.98267130454764362</v>
      </c>
      <c r="U190" s="100">
        <f t="shared" si="37"/>
        <v>1.0240707280881607</v>
      </c>
      <c r="AD190" s="152" t="str">
        <f t="shared" si="27"/>
        <v>Summer</v>
      </c>
      <c r="AE190">
        <f t="shared" si="28"/>
        <v>9</v>
      </c>
      <c r="AF190" s="150">
        <v>48458</v>
      </c>
      <c r="AG190" s="149">
        <v>400</v>
      </c>
      <c r="AH190" s="149">
        <v>320</v>
      </c>
      <c r="AI190">
        <f t="shared" si="29"/>
        <v>25</v>
      </c>
      <c r="AJ190">
        <f t="shared" si="30"/>
        <v>5</v>
      </c>
    </row>
    <row r="191" spans="2:36" x14ac:dyDescent="0.2">
      <c r="B191" s="80">
        <f t="shared" si="33"/>
        <v>51227</v>
      </c>
      <c r="C191" s="73">
        <v>6.854782244897959</v>
      </c>
      <c r="D191" s="73">
        <v>6.4794961046046797</v>
      </c>
      <c r="E191" s="81">
        <f t="shared" si="31"/>
        <v>2040</v>
      </c>
      <c r="K191">
        <f t="shared" si="34"/>
        <v>4</v>
      </c>
      <c r="L191" s="101">
        <f t="shared" si="35"/>
        <v>2040</v>
      </c>
      <c r="M191" s="76">
        <f t="shared" si="32"/>
        <v>51227</v>
      </c>
      <c r="N191" s="77">
        <v>41.846400000000003</v>
      </c>
      <c r="O191" s="77">
        <v>33.703600000000002</v>
      </c>
      <c r="P191" s="77">
        <v>35.604900000000001</v>
      </c>
      <c r="Q191" s="78">
        <v>26.736699999999999</v>
      </c>
      <c r="S191" s="98">
        <v>30.607199999999999</v>
      </c>
      <c r="T191" s="100">
        <f t="shared" si="36"/>
        <v>1.1011657387804177</v>
      </c>
      <c r="U191" s="100">
        <f t="shared" si="37"/>
        <v>0.8735428265244779</v>
      </c>
      <c r="AD191" s="152" t="str">
        <f t="shared" si="27"/>
        <v>Winter</v>
      </c>
      <c r="AE191">
        <f t="shared" si="28"/>
        <v>10</v>
      </c>
      <c r="AF191" s="150">
        <v>48488</v>
      </c>
      <c r="AG191" s="149">
        <v>416</v>
      </c>
      <c r="AH191" s="149">
        <v>328</v>
      </c>
      <c r="AI191">
        <f t="shared" si="29"/>
        <v>26</v>
      </c>
      <c r="AJ191">
        <f t="shared" si="30"/>
        <v>5</v>
      </c>
    </row>
    <row r="192" spans="2:36" x14ac:dyDescent="0.2">
      <c r="B192" s="80">
        <f t="shared" si="33"/>
        <v>51257</v>
      </c>
      <c r="C192" s="73">
        <v>6.8635577551020415</v>
      </c>
      <c r="D192" s="73">
        <v>6.4041634107434451</v>
      </c>
      <c r="E192" s="81">
        <f t="shared" si="31"/>
        <v>2040</v>
      </c>
      <c r="K192">
        <f t="shared" si="34"/>
        <v>5</v>
      </c>
      <c r="L192" s="101">
        <f t="shared" si="35"/>
        <v>2040</v>
      </c>
      <c r="M192" s="76">
        <f t="shared" si="32"/>
        <v>51257</v>
      </c>
      <c r="N192" s="77">
        <v>10.5588</v>
      </c>
      <c r="O192" s="77">
        <v>19.229600000000001</v>
      </c>
      <c r="P192" s="77">
        <v>7.6378000000000004</v>
      </c>
      <c r="Q192" s="78">
        <v>18.670500000000001</v>
      </c>
      <c r="S192" s="98">
        <v>18.983115053763445</v>
      </c>
      <c r="T192" s="100">
        <f t="shared" si="36"/>
        <v>1.0129844309291951</v>
      </c>
      <c r="U192" s="100">
        <f t="shared" si="37"/>
        <v>0.98353194126053256</v>
      </c>
      <c r="AD192" s="152" t="str">
        <f t="shared" si="27"/>
        <v>Winter</v>
      </c>
      <c r="AE192">
        <f t="shared" si="28"/>
        <v>11</v>
      </c>
      <c r="AF192" s="150">
        <v>48519</v>
      </c>
      <c r="AG192" s="149">
        <v>400</v>
      </c>
      <c r="AH192" s="149">
        <v>320</v>
      </c>
      <c r="AI192">
        <f t="shared" si="29"/>
        <v>25</v>
      </c>
      <c r="AJ192">
        <f t="shared" si="30"/>
        <v>5</v>
      </c>
    </row>
    <row r="193" spans="2:36" x14ac:dyDescent="0.2">
      <c r="B193" s="80">
        <f t="shared" si="33"/>
        <v>51288</v>
      </c>
      <c r="C193" s="73">
        <v>6.9379455102040817</v>
      </c>
      <c r="D193" s="73">
        <v>6.4265165634239612</v>
      </c>
      <c r="E193" s="81">
        <f t="shared" si="31"/>
        <v>2040</v>
      </c>
      <c r="K193">
        <f t="shared" si="34"/>
        <v>6</v>
      </c>
      <c r="L193" s="101">
        <f t="shared" si="35"/>
        <v>2040</v>
      </c>
      <c r="M193" s="76">
        <f t="shared" si="32"/>
        <v>51288</v>
      </c>
      <c r="N193" s="77">
        <v>22.485499999999998</v>
      </c>
      <c r="O193" s="77">
        <v>35.107500000000002</v>
      </c>
      <c r="P193" s="77">
        <v>21.645900000000001</v>
      </c>
      <c r="Q193" s="78">
        <v>34.101599999999998</v>
      </c>
      <c r="S193" s="98">
        <v>34.682786666666665</v>
      </c>
      <c r="T193" s="100">
        <f t="shared" si="36"/>
        <v>1.0122456519257008</v>
      </c>
      <c r="U193" s="100">
        <f t="shared" si="37"/>
        <v>0.98324279210167265</v>
      </c>
      <c r="AD193" s="152" t="str">
        <f t="shared" si="27"/>
        <v>Winter</v>
      </c>
      <c r="AE193">
        <f t="shared" si="28"/>
        <v>12</v>
      </c>
      <c r="AF193" s="150">
        <v>48549</v>
      </c>
      <c r="AG193" s="149">
        <v>416</v>
      </c>
      <c r="AH193" s="149">
        <v>328</v>
      </c>
      <c r="AI193">
        <f t="shared" si="29"/>
        <v>26</v>
      </c>
      <c r="AJ193">
        <f t="shared" si="30"/>
        <v>5</v>
      </c>
    </row>
    <row r="194" spans="2:36" x14ac:dyDescent="0.2">
      <c r="B194" s="80">
        <f t="shared" si="33"/>
        <v>51318</v>
      </c>
      <c r="C194" s="73">
        <v>6.9992720408163267</v>
      </c>
      <c r="D194" s="73">
        <v>6.4796502642783382</v>
      </c>
      <c r="E194" s="81">
        <f t="shared" si="31"/>
        <v>2040</v>
      </c>
      <c r="K194">
        <f t="shared" si="34"/>
        <v>7</v>
      </c>
      <c r="L194" s="101">
        <f t="shared" si="35"/>
        <v>2040</v>
      </c>
      <c r="M194" s="76">
        <f t="shared" si="32"/>
        <v>51318</v>
      </c>
      <c r="N194" s="77">
        <v>65.915099999999995</v>
      </c>
      <c r="O194" s="77">
        <v>66.974699999999999</v>
      </c>
      <c r="P194" s="77">
        <v>62.348300000000002</v>
      </c>
      <c r="Q194" s="78">
        <v>66.097399999999993</v>
      </c>
      <c r="S194" s="98">
        <v>66.569066666666657</v>
      </c>
      <c r="T194" s="100">
        <f t="shared" si="36"/>
        <v>1.0060934207680046</v>
      </c>
      <c r="U194" s="100">
        <f t="shared" si="37"/>
        <v>0.9929146270139485</v>
      </c>
      <c r="AD194" s="152" t="str">
        <f t="shared" ref="AD194:AD257" si="38">IF(AND(AE194&gt;=6,AE194&lt;=9),"Summer","Winter")</f>
        <v>Winter</v>
      </c>
      <c r="AE194">
        <f t="shared" ref="AE194:AE257" si="39">MONTH(AF194)</f>
        <v>1</v>
      </c>
      <c r="AF194" s="150">
        <v>48580</v>
      </c>
      <c r="AG194" s="149">
        <v>400</v>
      </c>
      <c r="AH194" s="149">
        <v>344</v>
      </c>
      <c r="AI194">
        <f t="shared" ref="AI194:AI257" si="40">AG194/16</f>
        <v>25</v>
      </c>
      <c r="AJ194">
        <f t="shared" ref="AJ194:AJ257" si="41">EDATE(AF194,1)-AF194-AI194</f>
        <v>6</v>
      </c>
    </row>
    <row r="195" spans="2:36" x14ac:dyDescent="0.2">
      <c r="B195" s="80">
        <f t="shared" si="33"/>
        <v>51349</v>
      </c>
      <c r="C195" s="73">
        <v>7.100088367346939</v>
      </c>
      <c r="D195" s="73">
        <v>6.7910014185110921</v>
      </c>
      <c r="E195" s="81">
        <f t="shared" si="31"/>
        <v>2040</v>
      </c>
      <c r="K195">
        <f t="shared" si="34"/>
        <v>8</v>
      </c>
      <c r="L195" s="101">
        <f t="shared" si="35"/>
        <v>2040</v>
      </c>
      <c r="M195" s="76">
        <f t="shared" si="32"/>
        <v>51349</v>
      </c>
      <c r="N195" s="77">
        <v>70.603499999999997</v>
      </c>
      <c r="O195" s="77">
        <v>69.183099999999996</v>
      </c>
      <c r="P195" s="77">
        <v>63.576900000000002</v>
      </c>
      <c r="Q195" s="78">
        <v>63.325299999999999</v>
      </c>
      <c r="S195" s="98">
        <v>66.726603225806443</v>
      </c>
      <c r="T195" s="100">
        <f t="shared" si="36"/>
        <v>1.0368143537275625</v>
      </c>
      <c r="U195" s="100">
        <f t="shared" si="37"/>
        <v>0.94902627945414442</v>
      </c>
      <c r="AD195" s="152" t="str">
        <f t="shared" si="38"/>
        <v>Winter</v>
      </c>
      <c r="AE195">
        <f t="shared" si="39"/>
        <v>2</v>
      </c>
      <c r="AF195" s="150">
        <v>48611</v>
      </c>
      <c r="AG195" s="149">
        <v>384</v>
      </c>
      <c r="AH195" s="149">
        <v>288</v>
      </c>
      <c r="AI195">
        <f t="shared" si="40"/>
        <v>24</v>
      </c>
      <c r="AJ195">
        <f t="shared" si="41"/>
        <v>4</v>
      </c>
    </row>
    <row r="196" spans="2:36" x14ac:dyDescent="0.2">
      <c r="B196" s="80">
        <f t="shared" si="33"/>
        <v>51380</v>
      </c>
      <c r="C196" s="73">
        <v>7.377027142857143</v>
      </c>
      <c r="D196" s="73">
        <v>6.8641758769411041</v>
      </c>
      <c r="E196" s="81">
        <f t="shared" si="31"/>
        <v>2040</v>
      </c>
      <c r="K196">
        <f t="shared" si="34"/>
        <v>9</v>
      </c>
      <c r="L196" s="101">
        <f t="shared" si="35"/>
        <v>2040</v>
      </c>
      <c r="M196" s="76">
        <f t="shared" si="32"/>
        <v>51380</v>
      </c>
      <c r="N196" s="77">
        <v>57.537799999999997</v>
      </c>
      <c r="O196" s="77">
        <v>57.052999999999997</v>
      </c>
      <c r="P196" s="77">
        <v>56.692399999999999</v>
      </c>
      <c r="Q196" s="78">
        <v>59.436399999999999</v>
      </c>
      <c r="S196" s="98">
        <v>58.165253333333332</v>
      </c>
      <c r="T196" s="100">
        <f t="shared" si="36"/>
        <v>0.98087770155561371</v>
      </c>
      <c r="U196" s="100">
        <f t="shared" si="37"/>
        <v>1.0218540553650128</v>
      </c>
      <c r="AD196" s="152" t="str">
        <f t="shared" si="38"/>
        <v>Winter</v>
      </c>
      <c r="AE196">
        <f t="shared" si="39"/>
        <v>3</v>
      </c>
      <c r="AF196" s="150">
        <v>48639</v>
      </c>
      <c r="AG196" s="149">
        <v>432</v>
      </c>
      <c r="AH196" s="149">
        <v>312</v>
      </c>
      <c r="AI196">
        <f t="shared" si="40"/>
        <v>27</v>
      </c>
      <c r="AJ196">
        <f t="shared" si="41"/>
        <v>4</v>
      </c>
    </row>
    <row r="197" spans="2:36" x14ac:dyDescent="0.2">
      <c r="B197" s="80">
        <f t="shared" si="33"/>
        <v>51410</v>
      </c>
      <c r="C197" s="73">
        <v>7.4632516326530611</v>
      </c>
      <c r="D197" s="73">
        <v>7.0394554258910844</v>
      </c>
      <c r="E197" s="81">
        <f t="shared" si="31"/>
        <v>2040</v>
      </c>
      <c r="K197">
        <f t="shared" si="34"/>
        <v>10</v>
      </c>
      <c r="L197" s="101">
        <f t="shared" si="35"/>
        <v>2040</v>
      </c>
      <c r="M197" s="76">
        <f t="shared" si="32"/>
        <v>51410</v>
      </c>
      <c r="N197" s="77">
        <v>56.727499999999999</v>
      </c>
      <c r="O197" s="77">
        <v>46.358400000000003</v>
      </c>
      <c r="P197" s="77">
        <v>61.545200000000001</v>
      </c>
      <c r="Q197" s="78">
        <v>56.689599999999999</v>
      </c>
      <c r="S197" s="98">
        <v>50.690838709677422</v>
      </c>
      <c r="T197" s="100">
        <f t="shared" si="36"/>
        <v>0.91453211625693009</v>
      </c>
      <c r="U197" s="100">
        <f t="shared" si="37"/>
        <v>1.1183401467211738</v>
      </c>
      <c r="AD197" s="152" t="str">
        <f t="shared" si="38"/>
        <v>Winter</v>
      </c>
      <c r="AE197">
        <f t="shared" si="39"/>
        <v>4</v>
      </c>
      <c r="AF197" s="150">
        <v>48670</v>
      </c>
      <c r="AG197" s="149">
        <v>416</v>
      </c>
      <c r="AH197" s="149">
        <v>304</v>
      </c>
      <c r="AI197">
        <f t="shared" si="40"/>
        <v>26</v>
      </c>
      <c r="AJ197">
        <f t="shared" si="41"/>
        <v>4</v>
      </c>
    </row>
    <row r="198" spans="2:36" x14ac:dyDescent="0.2">
      <c r="B198" s="80">
        <f t="shared" si="33"/>
        <v>51441</v>
      </c>
      <c r="C198" s="73">
        <v>7.9316189795918373</v>
      </c>
      <c r="D198" s="73">
        <v>7.6712017685445737</v>
      </c>
      <c r="E198" s="81">
        <f t="shared" si="31"/>
        <v>2040</v>
      </c>
      <c r="K198">
        <f t="shared" si="34"/>
        <v>11</v>
      </c>
      <c r="L198" s="101">
        <f t="shared" si="35"/>
        <v>2040</v>
      </c>
      <c r="M198" s="76">
        <f t="shared" si="32"/>
        <v>51441</v>
      </c>
      <c r="N198" s="77">
        <v>74.628399999999999</v>
      </c>
      <c r="O198" s="77">
        <v>73.819500000000005</v>
      </c>
      <c r="P198" s="77">
        <v>71.3553</v>
      </c>
      <c r="Q198" s="78">
        <v>71.921000000000006</v>
      </c>
      <c r="S198" s="98">
        <v>72.974259361997227</v>
      </c>
      <c r="T198" s="100">
        <f t="shared" si="36"/>
        <v>1.0115827230778713</v>
      </c>
      <c r="U198" s="100">
        <f t="shared" si="37"/>
        <v>0.98556670021449067</v>
      </c>
      <c r="AD198" s="152" t="str">
        <f t="shared" si="38"/>
        <v>Winter</v>
      </c>
      <c r="AE198">
        <f t="shared" si="39"/>
        <v>5</v>
      </c>
      <c r="AF198" s="150">
        <v>48700</v>
      </c>
      <c r="AG198" s="149">
        <v>400</v>
      </c>
      <c r="AH198" s="149">
        <v>344</v>
      </c>
      <c r="AI198">
        <f t="shared" si="40"/>
        <v>25</v>
      </c>
      <c r="AJ198">
        <f t="shared" si="41"/>
        <v>6</v>
      </c>
    </row>
    <row r="199" spans="2:36" x14ac:dyDescent="0.2">
      <c r="B199" s="82">
        <f t="shared" si="33"/>
        <v>51471</v>
      </c>
      <c r="C199" s="83">
        <v>8.1943740816326542</v>
      </c>
      <c r="D199" s="83">
        <v>7.904753674137555</v>
      </c>
      <c r="E199" s="84">
        <f t="shared" si="31"/>
        <v>2040</v>
      </c>
      <c r="K199">
        <f t="shared" si="34"/>
        <v>12</v>
      </c>
      <c r="L199" s="101">
        <f t="shared" si="35"/>
        <v>2040</v>
      </c>
      <c r="M199" s="85">
        <f t="shared" si="32"/>
        <v>51471</v>
      </c>
      <c r="N199" s="86">
        <v>94.648600000000002</v>
      </c>
      <c r="O199" s="86">
        <v>84.055999999999997</v>
      </c>
      <c r="P199" s="86">
        <v>100.84690000000001</v>
      </c>
      <c r="Q199" s="87">
        <v>94.001499999999993</v>
      </c>
      <c r="S199" s="98">
        <v>88.654456989247308</v>
      </c>
      <c r="T199" s="100">
        <f t="shared" si="36"/>
        <v>0.94813056054468814</v>
      </c>
      <c r="U199" s="100">
        <f t="shared" si="37"/>
        <v>1.060313301692223</v>
      </c>
      <c r="AD199" s="152" t="str">
        <f t="shared" si="38"/>
        <v>Summer</v>
      </c>
      <c r="AE199">
        <f t="shared" si="39"/>
        <v>6</v>
      </c>
      <c r="AF199" s="150">
        <v>48731</v>
      </c>
      <c r="AG199" s="149">
        <v>416</v>
      </c>
      <c r="AH199" s="149">
        <v>304</v>
      </c>
      <c r="AI199">
        <f t="shared" si="40"/>
        <v>26</v>
      </c>
      <c r="AJ199">
        <f t="shared" si="41"/>
        <v>4</v>
      </c>
    </row>
    <row r="200" spans="2:36" x14ac:dyDescent="0.2">
      <c r="B200" s="204">
        <f t="shared" si="33"/>
        <v>51502</v>
      </c>
      <c r="C200" s="73">
        <v>8.8997822448979598</v>
      </c>
      <c r="D200" s="73">
        <v>8.5707748509011701</v>
      </c>
      <c r="E200" s="203">
        <f t="shared" ref="E200:E247" si="42">YEAR(B200)</f>
        <v>2041</v>
      </c>
      <c r="K200">
        <f t="shared" si="34"/>
        <v>1</v>
      </c>
      <c r="L200" s="101">
        <f t="shared" si="35"/>
        <v>2041</v>
      </c>
      <c r="M200" s="76">
        <f t="shared" ref="M200:M247" si="43">B200</f>
        <v>51502</v>
      </c>
      <c r="N200" s="202">
        <v>100.4179</v>
      </c>
      <c r="O200" s="202">
        <v>96.7286</v>
      </c>
      <c r="P200" s="202">
        <v>94.353899999999996</v>
      </c>
      <c r="Q200" s="201">
        <v>99.068100000000001</v>
      </c>
      <c r="S200" s="98">
        <v>97.759992473118288</v>
      </c>
      <c r="T200" s="100">
        <f t="shared" si="36"/>
        <v>0.98944974884892822</v>
      </c>
      <c r="U200" s="100">
        <f t="shared" si="37"/>
        <v>1.0133808063379446</v>
      </c>
      <c r="AD200" s="152" t="str">
        <f t="shared" si="38"/>
        <v>Summer</v>
      </c>
      <c r="AE200">
        <f t="shared" si="39"/>
        <v>7</v>
      </c>
      <c r="AF200" s="150">
        <v>48761</v>
      </c>
      <c r="AG200" s="149">
        <v>400</v>
      </c>
      <c r="AH200" s="149">
        <v>344</v>
      </c>
      <c r="AI200">
        <f t="shared" si="40"/>
        <v>25</v>
      </c>
      <c r="AJ200">
        <f t="shared" si="41"/>
        <v>6</v>
      </c>
    </row>
    <row r="201" spans="2:36" x14ac:dyDescent="0.2">
      <c r="B201" s="80">
        <f t="shared" ref="B201:B259" si="44">EDATE(B200,1)</f>
        <v>51533</v>
      </c>
      <c r="C201" s="73">
        <v>8.6497822448979598</v>
      </c>
      <c r="D201" s="73">
        <v>8.283883698222267</v>
      </c>
      <c r="E201" s="81">
        <f t="shared" si="42"/>
        <v>2041</v>
      </c>
      <c r="K201">
        <f t="shared" ref="K201:K259" si="45">MONTH(M201)</f>
        <v>2</v>
      </c>
      <c r="L201" s="101">
        <f t="shared" ref="L201:L247" si="46">YEAR(M201)</f>
        <v>2041</v>
      </c>
      <c r="M201" s="76">
        <f t="shared" si="43"/>
        <v>51533</v>
      </c>
      <c r="N201" s="77">
        <v>134.3434</v>
      </c>
      <c r="O201" s="77">
        <v>103.9678</v>
      </c>
      <c r="P201" s="77">
        <v>116.09480000000001</v>
      </c>
      <c r="Q201" s="78">
        <v>100.3163</v>
      </c>
      <c r="S201" s="98">
        <v>102.40287142857142</v>
      </c>
      <c r="T201" s="100">
        <f t="shared" ref="T201:T247" si="47">O201/S201</f>
        <v>1.0152820770511319</v>
      </c>
      <c r="U201" s="100">
        <f t="shared" ref="U201:U247" si="48">Q201/S201</f>
        <v>0.97962389726515775</v>
      </c>
      <c r="AD201" s="152" t="str">
        <f t="shared" si="38"/>
        <v>Summer</v>
      </c>
      <c r="AE201">
        <f t="shared" si="39"/>
        <v>8</v>
      </c>
      <c r="AF201" s="150">
        <v>48792</v>
      </c>
      <c r="AG201" s="149">
        <v>432</v>
      </c>
      <c r="AH201" s="149">
        <v>312</v>
      </c>
      <c r="AI201">
        <f t="shared" si="40"/>
        <v>27</v>
      </c>
      <c r="AJ201">
        <f t="shared" si="41"/>
        <v>4</v>
      </c>
    </row>
    <row r="202" spans="2:36" x14ac:dyDescent="0.2">
      <c r="B202" s="80">
        <f t="shared" si="44"/>
        <v>51561</v>
      </c>
      <c r="C202" s="73">
        <v>7.5926393877551028</v>
      </c>
      <c r="D202" s="73">
        <v>7.2001925789592578</v>
      </c>
      <c r="E202" s="81">
        <f t="shared" si="42"/>
        <v>2041</v>
      </c>
      <c r="K202">
        <f t="shared" si="45"/>
        <v>3</v>
      </c>
      <c r="L202" s="101">
        <f t="shared" si="46"/>
        <v>2041</v>
      </c>
      <c r="M202" s="76">
        <f t="shared" si="43"/>
        <v>51561</v>
      </c>
      <c r="N202" s="77">
        <v>58.700099999999999</v>
      </c>
      <c r="O202" s="77">
        <v>54.084000000000003</v>
      </c>
      <c r="P202" s="77">
        <v>55.473500000000001</v>
      </c>
      <c r="Q202" s="78">
        <v>50.845599999999997</v>
      </c>
      <c r="S202" s="98">
        <v>52.658755316285337</v>
      </c>
      <c r="T202" s="100">
        <f t="shared" si="47"/>
        <v>1.0270656736026933</v>
      </c>
      <c r="U202" s="100">
        <f t="shared" si="48"/>
        <v>0.96556782807730746</v>
      </c>
      <c r="AD202" s="152" t="str">
        <f t="shared" si="38"/>
        <v>Summer</v>
      </c>
      <c r="AE202">
        <f t="shared" si="39"/>
        <v>9</v>
      </c>
      <c r="AF202" s="150">
        <v>48823</v>
      </c>
      <c r="AG202" s="149">
        <v>400</v>
      </c>
      <c r="AH202" s="149">
        <v>320</v>
      </c>
      <c r="AI202">
        <f t="shared" si="40"/>
        <v>25</v>
      </c>
      <c r="AJ202">
        <f t="shared" si="41"/>
        <v>5</v>
      </c>
    </row>
    <row r="203" spans="2:36" x14ac:dyDescent="0.2">
      <c r="B203" s="80">
        <f t="shared" si="44"/>
        <v>51592</v>
      </c>
      <c r="C203" s="73">
        <v>7.1332516326530619</v>
      </c>
      <c r="D203" s="73">
        <v>6.7123799849451391</v>
      </c>
      <c r="E203" s="81">
        <f t="shared" si="42"/>
        <v>2041</v>
      </c>
      <c r="K203">
        <f t="shared" si="45"/>
        <v>4</v>
      </c>
      <c r="L203" s="101">
        <f t="shared" si="46"/>
        <v>2041</v>
      </c>
      <c r="M203" s="76">
        <f t="shared" si="43"/>
        <v>51592</v>
      </c>
      <c r="N203" s="77">
        <v>31.698799999999999</v>
      </c>
      <c r="O203" s="77">
        <v>18.908799999999999</v>
      </c>
      <c r="P203" s="77">
        <v>31.9575</v>
      </c>
      <c r="Q203" s="78">
        <v>22.178999999999998</v>
      </c>
      <c r="S203" s="98">
        <v>20.289551111111113</v>
      </c>
      <c r="T203" s="100">
        <f t="shared" si="47"/>
        <v>0.93194767574946613</v>
      </c>
      <c r="U203" s="100">
        <f t="shared" si="48"/>
        <v>1.0931242331849409</v>
      </c>
      <c r="AD203" s="152" t="str">
        <f t="shared" si="38"/>
        <v>Winter</v>
      </c>
      <c r="AE203">
        <f t="shared" si="39"/>
        <v>10</v>
      </c>
      <c r="AF203" s="150">
        <v>48853</v>
      </c>
      <c r="AG203" s="149">
        <v>416</v>
      </c>
      <c r="AH203" s="149">
        <v>328</v>
      </c>
      <c r="AI203">
        <f t="shared" si="40"/>
        <v>26</v>
      </c>
      <c r="AJ203">
        <f t="shared" si="41"/>
        <v>5</v>
      </c>
    </row>
    <row r="204" spans="2:36" x14ac:dyDescent="0.2">
      <c r="B204" s="80">
        <f t="shared" si="44"/>
        <v>51622</v>
      </c>
      <c r="C204" s="73">
        <v>7.1703944897959184</v>
      </c>
      <c r="D204" s="73">
        <v>6.6549811997862038</v>
      </c>
      <c r="E204" s="81">
        <f t="shared" si="42"/>
        <v>2041</v>
      </c>
      <c r="K204">
        <f t="shared" si="45"/>
        <v>5</v>
      </c>
      <c r="L204" s="101">
        <f t="shared" si="46"/>
        <v>2041</v>
      </c>
      <c r="M204" s="76">
        <f t="shared" si="43"/>
        <v>51622</v>
      </c>
      <c r="N204" s="77">
        <v>9.2149999999999999</v>
      </c>
      <c r="O204" s="77">
        <v>24.333600000000001</v>
      </c>
      <c r="P204" s="77">
        <v>6.5456000000000003</v>
      </c>
      <c r="Q204" s="78">
        <v>19.821899999999999</v>
      </c>
      <c r="S204" s="98">
        <v>22.344570967741937</v>
      </c>
      <c r="T204" s="100">
        <f t="shared" si="47"/>
        <v>1.0890162104758938</v>
      </c>
      <c r="U204" s="100">
        <f t="shared" si="48"/>
        <v>0.8871013915915491</v>
      </c>
      <c r="AD204" s="152" t="str">
        <f t="shared" si="38"/>
        <v>Winter</v>
      </c>
      <c r="AE204">
        <f t="shared" si="39"/>
        <v>11</v>
      </c>
      <c r="AF204" s="150">
        <v>48884</v>
      </c>
      <c r="AG204" s="149">
        <v>400</v>
      </c>
      <c r="AH204" s="149">
        <v>320</v>
      </c>
      <c r="AI204">
        <f t="shared" si="40"/>
        <v>25</v>
      </c>
      <c r="AJ204">
        <f t="shared" si="41"/>
        <v>5</v>
      </c>
    </row>
    <row r="205" spans="2:36" x14ac:dyDescent="0.2">
      <c r="B205" s="80">
        <f t="shared" si="44"/>
        <v>51653</v>
      </c>
      <c r="C205" s="73">
        <v>7.2197822448979592</v>
      </c>
      <c r="D205" s="73">
        <v>6.6756385960564737</v>
      </c>
      <c r="E205" s="81">
        <f t="shared" si="42"/>
        <v>2041</v>
      </c>
      <c r="K205">
        <f t="shared" si="45"/>
        <v>6</v>
      </c>
      <c r="L205" s="101">
        <f t="shared" si="46"/>
        <v>2041</v>
      </c>
      <c r="M205" s="76">
        <f t="shared" si="43"/>
        <v>51653</v>
      </c>
      <c r="N205" s="77">
        <v>18.7499</v>
      </c>
      <c r="O205" s="77">
        <v>37.148099999999999</v>
      </c>
      <c r="P205" s="77">
        <v>18.600000000000001</v>
      </c>
      <c r="Q205" s="78">
        <v>35.059699999999999</v>
      </c>
      <c r="S205" s="98">
        <v>36.219922222222223</v>
      </c>
      <c r="T205" s="100">
        <f t="shared" si="47"/>
        <v>1.0256261670603011</v>
      </c>
      <c r="U205" s="100">
        <f t="shared" si="48"/>
        <v>0.96796729117462366</v>
      </c>
      <c r="AD205" s="152" t="str">
        <f t="shared" si="38"/>
        <v>Winter</v>
      </c>
      <c r="AE205">
        <f t="shared" si="39"/>
        <v>12</v>
      </c>
      <c r="AF205" s="150">
        <v>48914</v>
      </c>
      <c r="AG205" s="149">
        <v>416</v>
      </c>
      <c r="AH205" s="149">
        <v>328</v>
      </c>
      <c r="AI205">
        <f t="shared" si="40"/>
        <v>26</v>
      </c>
      <c r="AJ205">
        <f t="shared" si="41"/>
        <v>5</v>
      </c>
    </row>
    <row r="206" spans="2:36" x14ac:dyDescent="0.2">
      <c r="B206" s="80">
        <f t="shared" si="44"/>
        <v>51683</v>
      </c>
      <c r="C206" s="73">
        <v>7.2930475510204085</v>
      </c>
      <c r="D206" s="73">
        <v>6.7182380525441703</v>
      </c>
      <c r="E206" s="81">
        <f t="shared" si="42"/>
        <v>2041</v>
      </c>
      <c r="K206">
        <f t="shared" si="45"/>
        <v>7</v>
      </c>
      <c r="L206" s="101">
        <f t="shared" si="46"/>
        <v>2041</v>
      </c>
      <c r="M206" s="76">
        <f t="shared" si="43"/>
        <v>51683</v>
      </c>
      <c r="N206" s="77">
        <v>64.404600000000002</v>
      </c>
      <c r="O206" s="77">
        <v>65.6511</v>
      </c>
      <c r="P206" s="77">
        <v>66.471199999999996</v>
      </c>
      <c r="Q206" s="78">
        <v>70.570099999999996</v>
      </c>
      <c r="S206" s="98">
        <v>67.819691397849454</v>
      </c>
      <c r="T206" s="100">
        <f t="shared" si="47"/>
        <v>0.96802416299525917</v>
      </c>
      <c r="U206" s="100">
        <f t="shared" si="48"/>
        <v>1.0405547201035739</v>
      </c>
      <c r="AD206" s="152" t="str">
        <f t="shared" si="38"/>
        <v>Winter</v>
      </c>
      <c r="AE206">
        <f t="shared" si="39"/>
        <v>1</v>
      </c>
      <c r="AF206" s="150">
        <v>48945</v>
      </c>
      <c r="AG206" s="149">
        <v>400</v>
      </c>
      <c r="AH206" s="149">
        <v>344</v>
      </c>
      <c r="AI206">
        <f t="shared" si="40"/>
        <v>25</v>
      </c>
      <c r="AJ206">
        <f t="shared" si="41"/>
        <v>6</v>
      </c>
    </row>
    <row r="207" spans="2:36" x14ac:dyDescent="0.2">
      <c r="B207" s="80">
        <f t="shared" si="44"/>
        <v>51714</v>
      </c>
      <c r="C207" s="73">
        <v>7.3876393877551028</v>
      </c>
      <c r="D207" s="73">
        <v>7.0479855945002017</v>
      </c>
      <c r="E207" s="81">
        <f t="shared" si="42"/>
        <v>2041</v>
      </c>
      <c r="K207">
        <f t="shared" si="45"/>
        <v>8</v>
      </c>
      <c r="L207" s="101">
        <f t="shared" si="46"/>
        <v>2041</v>
      </c>
      <c r="M207" s="76">
        <f t="shared" si="43"/>
        <v>51714</v>
      </c>
      <c r="N207" s="77">
        <v>74.041600000000003</v>
      </c>
      <c r="O207" s="77">
        <v>72.0167</v>
      </c>
      <c r="P207" s="77">
        <v>63.878100000000003</v>
      </c>
      <c r="Q207" s="78">
        <v>68.056100000000001</v>
      </c>
      <c r="S207" s="98">
        <v>70.355803225806454</v>
      </c>
      <c r="T207" s="100">
        <f t="shared" si="47"/>
        <v>1.0236071041483659</v>
      </c>
      <c r="U207" s="100">
        <f t="shared" si="48"/>
        <v>0.96731324040995492</v>
      </c>
      <c r="AD207" s="152" t="str">
        <f t="shared" si="38"/>
        <v>Winter</v>
      </c>
      <c r="AE207">
        <f t="shared" si="39"/>
        <v>2</v>
      </c>
      <c r="AF207" s="150">
        <v>48976</v>
      </c>
      <c r="AG207" s="149">
        <v>384</v>
      </c>
      <c r="AH207" s="149">
        <v>288</v>
      </c>
      <c r="AI207">
        <f t="shared" si="40"/>
        <v>24</v>
      </c>
      <c r="AJ207">
        <f t="shared" si="41"/>
        <v>4</v>
      </c>
    </row>
    <row r="208" spans="2:36" x14ac:dyDescent="0.2">
      <c r="B208" s="80">
        <f t="shared" si="44"/>
        <v>51745</v>
      </c>
      <c r="C208" s="73">
        <v>7.6908026530612243</v>
      </c>
      <c r="D208" s="73">
        <v>7.1349830370016143</v>
      </c>
      <c r="E208" s="81">
        <f t="shared" si="42"/>
        <v>2041</v>
      </c>
      <c r="K208">
        <f t="shared" si="45"/>
        <v>9</v>
      </c>
      <c r="L208" s="101">
        <f t="shared" si="46"/>
        <v>2041</v>
      </c>
      <c r="M208" s="76">
        <f t="shared" si="43"/>
        <v>51745</v>
      </c>
      <c r="N208" s="77">
        <v>65.200800000000001</v>
      </c>
      <c r="O208" s="77">
        <v>65.441699999999997</v>
      </c>
      <c r="P208" s="77">
        <v>62.867600000000003</v>
      </c>
      <c r="Q208" s="78">
        <v>65.947500000000005</v>
      </c>
      <c r="S208" s="98">
        <v>65.67774</v>
      </c>
      <c r="T208" s="100">
        <f t="shared" si="47"/>
        <v>0.99640608827283028</v>
      </c>
      <c r="U208" s="100">
        <f t="shared" si="48"/>
        <v>1.004107327688194</v>
      </c>
      <c r="AD208" s="152" t="str">
        <f t="shared" si="38"/>
        <v>Winter</v>
      </c>
      <c r="AE208">
        <f t="shared" si="39"/>
        <v>3</v>
      </c>
      <c r="AF208" s="150">
        <v>49004</v>
      </c>
      <c r="AG208" s="149">
        <v>432</v>
      </c>
      <c r="AH208" s="149">
        <v>312</v>
      </c>
      <c r="AI208">
        <f t="shared" si="40"/>
        <v>27</v>
      </c>
      <c r="AJ208">
        <f t="shared" si="41"/>
        <v>4</v>
      </c>
    </row>
    <row r="209" spans="2:36" x14ac:dyDescent="0.2">
      <c r="B209" s="80">
        <f t="shared" si="44"/>
        <v>51775</v>
      </c>
      <c r="C209" s="73">
        <v>7.7867210204081641</v>
      </c>
      <c r="D209" s="73">
        <v>7.3152984686244444</v>
      </c>
      <c r="E209" s="81">
        <f t="shared" si="42"/>
        <v>2041</v>
      </c>
      <c r="K209">
        <f t="shared" si="45"/>
        <v>10</v>
      </c>
      <c r="L209" s="101">
        <f t="shared" si="46"/>
        <v>2041</v>
      </c>
      <c r="M209" s="76">
        <f t="shared" si="43"/>
        <v>51775</v>
      </c>
      <c r="N209" s="77">
        <v>58.047899999999998</v>
      </c>
      <c r="O209" s="77">
        <v>52.064399999999999</v>
      </c>
      <c r="P209" s="77">
        <v>56.478400000000001</v>
      </c>
      <c r="Q209" s="78">
        <v>52.8018</v>
      </c>
      <c r="S209" s="98">
        <v>52.373632258064511</v>
      </c>
      <c r="T209" s="100">
        <f t="shared" si="47"/>
        <v>0.99409564995338096</v>
      </c>
      <c r="U209" s="100">
        <f t="shared" si="48"/>
        <v>1.0081752539107036</v>
      </c>
      <c r="AD209" s="152" t="str">
        <f t="shared" si="38"/>
        <v>Winter</v>
      </c>
      <c r="AE209">
        <f t="shared" si="39"/>
        <v>4</v>
      </c>
      <c r="AF209" s="150">
        <v>49035</v>
      </c>
      <c r="AG209" s="149">
        <v>400</v>
      </c>
      <c r="AH209" s="149">
        <v>320</v>
      </c>
      <c r="AI209">
        <f t="shared" si="40"/>
        <v>25</v>
      </c>
      <c r="AJ209">
        <f t="shared" si="41"/>
        <v>5</v>
      </c>
    </row>
    <row r="210" spans="2:36" x14ac:dyDescent="0.2">
      <c r="B210" s="80">
        <f t="shared" si="44"/>
        <v>51806</v>
      </c>
      <c r="C210" s="73">
        <v>8.2645781632653073</v>
      </c>
      <c r="D210" s="73">
        <v>7.9377438443005239</v>
      </c>
      <c r="E210" s="81">
        <f t="shared" si="42"/>
        <v>2041</v>
      </c>
      <c r="K210">
        <f t="shared" si="45"/>
        <v>11</v>
      </c>
      <c r="L210" s="101">
        <f t="shared" si="46"/>
        <v>2041</v>
      </c>
      <c r="M210" s="76">
        <f t="shared" si="43"/>
        <v>51806</v>
      </c>
      <c r="N210" s="77">
        <v>78.916399999999996</v>
      </c>
      <c r="O210" s="77">
        <v>78.346500000000006</v>
      </c>
      <c r="P210" s="77">
        <v>74.244200000000006</v>
      </c>
      <c r="Q210" s="78">
        <v>77.4024</v>
      </c>
      <c r="S210" s="98">
        <v>77.926172538141472</v>
      </c>
      <c r="T210" s="100">
        <f t="shared" si="47"/>
        <v>1.0053939189898335</v>
      </c>
      <c r="U210" s="100">
        <f t="shared" si="48"/>
        <v>0.99327860562014503</v>
      </c>
      <c r="AD210" s="152" t="str">
        <f t="shared" si="38"/>
        <v>Winter</v>
      </c>
      <c r="AE210">
        <f t="shared" si="39"/>
        <v>5</v>
      </c>
      <c r="AF210" s="150">
        <v>49065</v>
      </c>
      <c r="AG210" s="149">
        <v>416</v>
      </c>
      <c r="AH210" s="149">
        <v>328</v>
      </c>
      <c r="AI210">
        <f t="shared" si="40"/>
        <v>26</v>
      </c>
      <c r="AJ210">
        <f t="shared" si="41"/>
        <v>5</v>
      </c>
    </row>
    <row r="211" spans="2:36" x14ac:dyDescent="0.2">
      <c r="B211" s="82">
        <f t="shared" si="44"/>
        <v>51836</v>
      </c>
      <c r="C211" s="83">
        <v>8.5572312244897955</v>
      </c>
      <c r="D211" s="83">
        <v>8.210760626350142</v>
      </c>
      <c r="E211" s="84">
        <f t="shared" si="42"/>
        <v>2041</v>
      </c>
      <c r="K211">
        <f t="shared" si="45"/>
        <v>12</v>
      </c>
      <c r="L211" s="101">
        <f t="shared" si="46"/>
        <v>2041</v>
      </c>
      <c r="M211" s="85">
        <f t="shared" si="43"/>
        <v>51836</v>
      </c>
      <c r="N211" s="86">
        <v>99.559600000000003</v>
      </c>
      <c r="O211" s="86">
        <v>91.776499999999999</v>
      </c>
      <c r="P211" s="86">
        <v>101.5097</v>
      </c>
      <c r="Q211" s="87">
        <v>98.318200000000004</v>
      </c>
      <c r="S211" s="98">
        <v>94.801156989247318</v>
      </c>
      <c r="T211" s="100">
        <f t="shared" si="47"/>
        <v>0.96809472494528326</v>
      </c>
      <c r="U211" s="100">
        <f t="shared" si="48"/>
        <v>1.0370991570403683</v>
      </c>
      <c r="AD211" s="152" t="str">
        <f t="shared" si="38"/>
        <v>Summer</v>
      </c>
      <c r="AE211">
        <f t="shared" si="39"/>
        <v>6</v>
      </c>
      <c r="AF211" s="150">
        <v>49096</v>
      </c>
      <c r="AG211" s="149">
        <v>416</v>
      </c>
      <c r="AH211" s="149">
        <v>304</v>
      </c>
      <c r="AI211">
        <f t="shared" si="40"/>
        <v>26</v>
      </c>
      <c r="AJ211">
        <f t="shared" si="41"/>
        <v>4</v>
      </c>
    </row>
    <row r="212" spans="2:36" x14ac:dyDescent="0.2">
      <c r="B212" s="204">
        <f t="shared" si="44"/>
        <v>51867</v>
      </c>
      <c r="C212" s="73">
        <v>9.0039659183673475</v>
      </c>
      <c r="D212" s="73">
        <v>8.6251932157027031</v>
      </c>
      <c r="E212" s="203">
        <f t="shared" si="42"/>
        <v>2042</v>
      </c>
      <c r="K212">
        <f t="shared" si="45"/>
        <v>1</v>
      </c>
      <c r="L212" s="101">
        <f t="shared" si="46"/>
        <v>2042</v>
      </c>
      <c r="M212" s="76">
        <f t="shared" si="43"/>
        <v>51867</v>
      </c>
      <c r="N212" s="202">
        <v>107.639</v>
      </c>
      <c r="O212" s="202">
        <v>104.6825</v>
      </c>
      <c r="P212" s="202">
        <v>92.746499999999997</v>
      </c>
      <c r="Q212" s="201">
        <v>104.02679999999999</v>
      </c>
      <c r="S212" s="98">
        <v>104.39342795698926</v>
      </c>
      <c r="T212" s="100">
        <f t="shared" si="47"/>
        <v>1.002769063615095</v>
      </c>
      <c r="U212" s="100">
        <f t="shared" si="48"/>
        <v>0.99648801687841582</v>
      </c>
      <c r="AD212" s="152" t="str">
        <f t="shared" si="38"/>
        <v>Summer</v>
      </c>
      <c r="AE212">
        <f t="shared" si="39"/>
        <v>7</v>
      </c>
      <c r="AF212" s="150">
        <v>49126</v>
      </c>
      <c r="AG212" s="149">
        <v>400</v>
      </c>
      <c r="AH212" s="149">
        <v>344</v>
      </c>
      <c r="AI212">
        <f t="shared" si="40"/>
        <v>25</v>
      </c>
      <c r="AJ212">
        <f t="shared" si="41"/>
        <v>6</v>
      </c>
    </row>
    <row r="213" spans="2:36" x14ac:dyDescent="0.2">
      <c r="B213" s="80">
        <f t="shared" si="44"/>
        <v>51898</v>
      </c>
      <c r="C213" s="73">
        <v>8.9503944897959187</v>
      </c>
      <c r="D213" s="73">
        <v>8.5470856477156101</v>
      </c>
      <c r="E213" s="81">
        <f t="shared" si="42"/>
        <v>2042</v>
      </c>
      <c r="K213">
        <f t="shared" si="45"/>
        <v>2</v>
      </c>
      <c r="L213" s="101">
        <f t="shared" si="46"/>
        <v>2042</v>
      </c>
      <c r="M213" s="76">
        <f t="shared" si="43"/>
        <v>51898</v>
      </c>
      <c r="N213" s="77">
        <v>131.95339999999999</v>
      </c>
      <c r="O213" s="77">
        <v>106.34869999999999</v>
      </c>
      <c r="P213" s="77">
        <v>114.1293</v>
      </c>
      <c r="Q213" s="78">
        <v>100.6292</v>
      </c>
      <c r="S213" s="98">
        <v>103.89748571428569</v>
      </c>
      <c r="T213" s="100">
        <f t="shared" si="47"/>
        <v>1.0235926237181048</v>
      </c>
      <c r="U213" s="100">
        <f t="shared" si="48"/>
        <v>0.96854316837586074</v>
      </c>
      <c r="AD213" s="152" t="str">
        <f t="shared" si="38"/>
        <v>Summer</v>
      </c>
      <c r="AE213">
        <f t="shared" si="39"/>
        <v>8</v>
      </c>
      <c r="AF213" s="150">
        <v>49157</v>
      </c>
      <c r="AG213" s="149">
        <v>432</v>
      </c>
      <c r="AH213" s="149">
        <v>312</v>
      </c>
      <c r="AI213">
        <f t="shared" si="40"/>
        <v>27</v>
      </c>
      <c r="AJ213">
        <f t="shared" si="41"/>
        <v>4</v>
      </c>
    </row>
    <row r="214" spans="2:36" x14ac:dyDescent="0.2">
      <c r="B214" s="80">
        <f t="shared" si="44"/>
        <v>51926</v>
      </c>
      <c r="C214" s="73">
        <v>7.9903944897959187</v>
      </c>
      <c r="D214" s="73">
        <v>7.5437117184288018</v>
      </c>
      <c r="E214" s="81">
        <f t="shared" si="42"/>
        <v>2042</v>
      </c>
      <c r="K214">
        <f t="shared" si="45"/>
        <v>3</v>
      </c>
      <c r="L214" s="101">
        <f t="shared" si="46"/>
        <v>2042</v>
      </c>
      <c r="M214" s="76">
        <f t="shared" si="43"/>
        <v>51926</v>
      </c>
      <c r="N214" s="77">
        <v>58.415199999999999</v>
      </c>
      <c r="O214" s="77">
        <v>54.634399999999999</v>
      </c>
      <c r="P214" s="77">
        <v>52.776499999999999</v>
      </c>
      <c r="Q214" s="78">
        <v>47.908000000000001</v>
      </c>
      <c r="S214" s="98">
        <v>51.674059757738895</v>
      </c>
      <c r="T214" s="100">
        <f t="shared" si="47"/>
        <v>1.0572887103537041</v>
      </c>
      <c r="U214" s="100">
        <f t="shared" si="48"/>
        <v>0.92711894951944673</v>
      </c>
      <c r="AD214" s="152" t="str">
        <f t="shared" si="38"/>
        <v>Summer</v>
      </c>
      <c r="AE214">
        <f t="shared" si="39"/>
        <v>9</v>
      </c>
      <c r="AF214" s="150">
        <v>49188</v>
      </c>
      <c r="AG214" s="149">
        <v>400</v>
      </c>
      <c r="AH214" s="149">
        <v>320</v>
      </c>
      <c r="AI214">
        <f t="shared" si="40"/>
        <v>25</v>
      </c>
      <c r="AJ214">
        <f t="shared" si="41"/>
        <v>5</v>
      </c>
    </row>
    <row r="215" spans="2:36" x14ac:dyDescent="0.2">
      <c r="B215" s="80">
        <f t="shared" si="44"/>
        <v>51957</v>
      </c>
      <c r="C215" s="73">
        <v>7.4955985714285713</v>
      </c>
      <c r="D215" s="73">
        <v>7.0432580311746671</v>
      </c>
      <c r="E215" s="81">
        <f t="shared" si="42"/>
        <v>2042</v>
      </c>
      <c r="K215">
        <f t="shared" si="45"/>
        <v>4</v>
      </c>
      <c r="L215" s="101">
        <f t="shared" si="46"/>
        <v>2042</v>
      </c>
      <c r="M215" s="76">
        <f t="shared" si="43"/>
        <v>51957</v>
      </c>
      <c r="N215" s="77">
        <v>43.220100000000002</v>
      </c>
      <c r="O215" s="77">
        <v>38.030999999999999</v>
      </c>
      <c r="P215" s="77">
        <v>45.9129</v>
      </c>
      <c r="Q215" s="78">
        <v>36.486199999999997</v>
      </c>
      <c r="S215" s="98">
        <v>37.378751111111114</v>
      </c>
      <c r="T215" s="100">
        <f t="shared" si="47"/>
        <v>1.0174497239608147</v>
      </c>
      <c r="U215" s="100">
        <f t="shared" si="48"/>
        <v>0.97612143036941112</v>
      </c>
      <c r="AD215" s="152" t="str">
        <f t="shared" si="38"/>
        <v>Winter</v>
      </c>
      <c r="AE215">
        <f t="shared" si="39"/>
        <v>10</v>
      </c>
      <c r="AF215" s="150">
        <v>49218</v>
      </c>
      <c r="AG215" s="149">
        <v>416</v>
      </c>
      <c r="AH215" s="149">
        <v>328</v>
      </c>
      <c r="AI215">
        <f t="shared" si="40"/>
        <v>26</v>
      </c>
      <c r="AJ215">
        <f t="shared" si="41"/>
        <v>5</v>
      </c>
    </row>
    <row r="216" spans="2:36" x14ac:dyDescent="0.2">
      <c r="B216" s="80">
        <f t="shared" si="44"/>
        <v>51987</v>
      </c>
      <c r="C216" s="73">
        <v>7.5400883673469394</v>
      </c>
      <c r="D216" s="73">
        <v>6.9933102969092378</v>
      </c>
      <c r="E216" s="81">
        <f t="shared" si="42"/>
        <v>2042</v>
      </c>
      <c r="K216">
        <f t="shared" si="45"/>
        <v>5</v>
      </c>
      <c r="L216" s="101">
        <f t="shared" si="46"/>
        <v>2042</v>
      </c>
      <c r="M216" s="76">
        <f t="shared" si="43"/>
        <v>51987</v>
      </c>
      <c r="N216" s="77">
        <v>8.8978000000000002</v>
      </c>
      <c r="O216" s="77">
        <v>22.273199999999999</v>
      </c>
      <c r="P216" s="77">
        <v>5.2525000000000004</v>
      </c>
      <c r="Q216" s="78">
        <v>20.469899999999999</v>
      </c>
      <c r="S216" s="98">
        <v>21.478196774193549</v>
      </c>
      <c r="T216" s="100">
        <f t="shared" si="47"/>
        <v>1.0370144306882252</v>
      </c>
      <c r="U216" s="100">
        <f t="shared" si="48"/>
        <v>0.95305486839542153</v>
      </c>
      <c r="AD216" s="152" t="str">
        <f t="shared" si="38"/>
        <v>Winter</v>
      </c>
      <c r="AE216">
        <f t="shared" si="39"/>
        <v>11</v>
      </c>
      <c r="AF216" s="150">
        <v>49249</v>
      </c>
      <c r="AG216" s="149">
        <v>400</v>
      </c>
      <c r="AH216" s="149">
        <v>320</v>
      </c>
      <c r="AI216">
        <f t="shared" si="40"/>
        <v>25</v>
      </c>
      <c r="AJ216">
        <f t="shared" si="41"/>
        <v>5</v>
      </c>
    </row>
    <row r="217" spans="2:36" x14ac:dyDescent="0.2">
      <c r="B217" s="80">
        <f t="shared" si="44"/>
        <v>52018</v>
      </c>
      <c r="C217" s="73">
        <v>7.5864148979591839</v>
      </c>
      <c r="D217" s="73">
        <v>6.9867328174997967</v>
      </c>
      <c r="E217" s="81">
        <f t="shared" si="42"/>
        <v>2042</v>
      </c>
      <c r="K217">
        <f t="shared" si="45"/>
        <v>6</v>
      </c>
      <c r="L217" s="101">
        <f t="shared" si="46"/>
        <v>2042</v>
      </c>
      <c r="M217" s="76">
        <f t="shared" si="43"/>
        <v>52018</v>
      </c>
      <c r="N217" s="77">
        <v>23.109000000000002</v>
      </c>
      <c r="O217" s="77">
        <v>40.190399999999997</v>
      </c>
      <c r="P217" s="77">
        <v>21.766999999999999</v>
      </c>
      <c r="Q217" s="78">
        <v>36.286099999999998</v>
      </c>
      <c r="S217" s="98">
        <v>38.455155555555557</v>
      </c>
      <c r="T217" s="100">
        <f t="shared" si="47"/>
        <v>1.0451238441081732</v>
      </c>
      <c r="U217" s="100">
        <f t="shared" si="48"/>
        <v>0.94359519486478327</v>
      </c>
      <c r="AD217" s="152" t="str">
        <f t="shared" si="38"/>
        <v>Winter</v>
      </c>
      <c r="AE217">
        <f t="shared" si="39"/>
        <v>12</v>
      </c>
      <c r="AF217" s="150">
        <v>49279</v>
      </c>
      <c r="AG217" s="149">
        <v>400</v>
      </c>
      <c r="AH217" s="149">
        <v>344</v>
      </c>
      <c r="AI217">
        <f t="shared" si="40"/>
        <v>25</v>
      </c>
      <c r="AJ217">
        <f t="shared" si="41"/>
        <v>6</v>
      </c>
    </row>
    <row r="218" spans="2:36" x14ac:dyDescent="0.2">
      <c r="B218" s="80">
        <f t="shared" si="44"/>
        <v>52048</v>
      </c>
      <c r="C218" s="73">
        <v>7.6544761224489797</v>
      </c>
      <c r="D218" s="73">
        <v>7.0486022331948357</v>
      </c>
      <c r="E218" s="81">
        <f t="shared" si="42"/>
        <v>2042</v>
      </c>
      <c r="K218">
        <f t="shared" si="45"/>
        <v>7</v>
      </c>
      <c r="L218" s="101">
        <f t="shared" si="46"/>
        <v>2042</v>
      </c>
      <c r="M218" s="76">
        <f t="shared" si="43"/>
        <v>52048</v>
      </c>
      <c r="N218" s="77">
        <v>66.198599999999999</v>
      </c>
      <c r="O218" s="77">
        <v>70.870699999999999</v>
      </c>
      <c r="P218" s="77">
        <v>62.203099999999999</v>
      </c>
      <c r="Q218" s="78">
        <v>69.681399999999996</v>
      </c>
      <c r="S218" s="98">
        <v>70.346384946236554</v>
      </c>
      <c r="T218" s="100">
        <f t="shared" si="47"/>
        <v>1.0074533333043931</v>
      </c>
      <c r="U218" s="100">
        <f t="shared" si="48"/>
        <v>0.99054699190662343</v>
      </c>
      <c r="AD218" s="152" t="str">
        <f t="shared" si="38"/>
        <v>Winter</v>
      </c>
      <c r="AE218">
        <f t="shared" si="39"/>
        <v>1</v>
      </c>
      <c r="AF218" s="150">
        <v>49310</v>
      </c>
      <c r="AG218" s="149">
        <v>416</v>
      </c>
      <c r="AH218" s="149">
        <v>328</v>
      </c>
      <c r="AI218">
        <f t="shared" si="40"/>
        <v>26</v>
      </c>
      <c r="AJ218">
        <f t="shared" si="41"/>
        <v>5</v>
      </c>
    </row>
    <row r="219" spans="2:36" x14ac:dyDescent="0.2">
      <c r="B219" s="80">
        <f t="shared" si="44"/>
        <v>52079</v>
      </c>
      <c r="C219" s="73">
        <v>7.7615169387755101</v>
      </c>
      <c r="D219" s="73">
        <v>7.384156456192013</v>
      </c>
      <c r="E219" s="81">
        <f t="shared" si="42"/>
        <v>2042</v>
      </c>
      <c r="K219">
        <f t="shared" si="45"/>
        <v>8</v>
      </c>
      <c r="L219" s="101">
        <f t="shared" si="46"/>
        <v>2042</v>
      </c>
      <c r="M219" s="76">
        <f t="shared" si="43"/>
        <v>52079</v>
      </c>
      <c r="N219" s="77">
        <v>75.207700000000003</v>
      </c>
      <c r="O219" s="77">
        <v>76.243499999999997</v>
      </c>
      <c r="P219" s="77">
        <v>68.611000000000004</v>
      </c>
      <c r="Q219" s="78">
        <v>73.347399999999993</v>
      </c>
      <c r="S219" s="98">
        <v>74.966724731182794</v>
      </c>
      <c r="T219" s="100">
        <f t="shared" si="47"/>
        <v>1.0170312264994301</v>
      </c>
      <c r="U219" s="100">
        <f t="shared" si="48"/>
        <v>0.9783994200495032</v>
      </c>
      <c r="AD219" s="152" t="str">
        <f t="shared" si="38"/>
        <v>Winter</v>
      </c>
      <c r="AE219">
        <f t="shared" si="39"/>
        <v>2</v>
      </c>
      <c r="AF219" s="150">
        <v>49341</v>
      </c>
      <c r="AG219" s="149">
        <v>384</v>
      </c>
      <c r="AH219" s="149">
        <v>288</v>
      </c>
      <c r="AI219">
        <f t="shared" si="40"/>
        <v>24</v>
      </c>
      <c r="AJ219">
        <f t="shared" si="41"/>
        <v>4</v>
      </c>
    </row>
    <row r="220" spans="2:36" x14ac:dyDescent="0.2">
      <c r="B220" s="80">
        <f t="shared" si="44"/>
        <v>52110</v>
      </c>
      <c r="C220" s="73">
        <v>8.0654965306122453</v>
      </c>
      <c r="D220" s="73">
        <v>7.4623154107369913</v>
      </c>
      <c r="E220" s="81">
        <f t="shared" si="42"/>
        <v>2042</v>
      </c>
      <c r="K220">
        <f t="shared" si="45"/>
        <v>9</v>
      </c>
      <c r="L220" s="101">
        <f t="shared" si="46"/>
        <v>2042</v>
      </c>
      <c r="M220" s="76">
        <f t="shared" si="43"/>
        <v>52110</v>
      </c>
      <c r="N220" s="77">
        <v>65.927599999999998</v>
      </c>
      <c r="O220" s="77">
        <v>67.312200000000004</v>
      </c>
      <c r="P220" s="77">
        <v>59.1892</v>
      </c>
      <c r="Q220" s="78">
        <v>64.277199999999993</v>
      </c>
      <c r="S220" s="98">
        <v>65.963311111111111</v>
      </c>
      <c r="T220" s="100">
        <f t="shared" si="47"/>
        <v>1.0204490779217674</v>
      </c>
      <c r="U220" s="100">
        <f t="shared" si="48"/>
        <v>0.97443865259779083</v>
      </c>
      <c r="AD220" s="152" t="str">
        <f t="shared" si="38"/>
        <v>Winter</v>
      </c>
      <c r="AE220">
        <f t="shared" si="39"/>
        <v>3</v>
      </c>
      <c r="AF220" s="150">
        <v>49369</v>
      </c>
      <c r="AG220" s="149">
        <v>432</v>
      </c>
      <c r="AH220" s="149">
        <v>312</v>
      </c>
      <c r="AI220">
        <f t="shared" si="40"/>
        <v>27</v>
      </c>
      <c r="AJ220">
        <f t="shared" si="41"/>
        <v>4</v>
      </c>
    </row>
    <row r="221" spans="2:36" x14ac:dyDescent="0.2">
      <c r="B221" s="80">
        <f t="shared" si="44"/>
        <v>52140</v>
      </c>
      <c r="C221" s="73">
        <v>8.1662108163265312</v>
      </c>
      <c r="D221" s="73">
        <v>7.6472042460116985</v>
      </c>
      <c r="E221" s="81">
        <f t="shared" si="42"/>
        <v>2042</v>
      </c>
      <c r="K221">
        <f t="shared" si="45"/>
        <v>10</v>
      </c>
      <c r="L221" s="101">
        <f t="shared" si="46"/>
        <v>2042</v>
      </c>
      <c r="M221" s="76">
        <f t="shared" si="43"/>
        <v>52140</v>
      </c>
      <c r="N221" s="77">
        <v>59.143799999999999</v>
      </c>
      <c r="O221" s="77">
        <v>53.463099999999997</v>
      </c>
      <c r="P221" s="77">
        <v>57.197699999999998</v>
      </c>
      <c r="Q221" s="78">
        <v>50.887799999999999</v>
      </c>
      <c r="S221" s="98">
        <v>52.383135483870959</v>
      </c>
      <c r="T221" s="100">
        <f t="shared" si="47"/>
        <v>1.0206166451502614</v>
      </c>
      <c r="U221" s="100">
        <f t="shared" si="48"/>
        <v>0.97145387594579213</v>
      </c>
      <c r="AD221" s="152" t="str">
        <f t="shared" si="38"/>
        <v>Winter</v>
      </c>
      <c r="AE221">
        <f t="shared" si="39"/>
        <v>4</v>
      </c>
      <c r="AF221" s="150">
        <v>49400</v>
      </c>
      <c r="AG221" s="149">
        <v>400</v>
      </c>
      <c r="AH221" s="149">
        <v>320</v>
      </c>
      <c r="AI221">
        <f t="shared" si="40"/>
        <v>25</v>
      </c>
      <c r="AJ221">
        <f t="shared" si="41"/>
        <v>5</v>
      </c>
    </row>
    <row r="222" spans="2:36" x14ac:dyDescent="0.2">
      <c r="B222" s="80">
        <f t="shared" si="44"/>
        <v>52171</v>
      </c>
      <c r="C222" s="73">
        <v>8.6659046938775521</v>
      </c>
      <c r="D222" s="73">
        <v>8.3140476077014931</v>
      </c>
      <c r="E222" s="81">
        <f t="shared" si="42"/>
        <v>2042</v>
      </c>
      <c r="K222">
        <f t="shared" si="45"/>
        <v>11</v>
      </c>
      <c r="L222" s="101">
        <f t="shared" si="46"/>
        <v>2042</v>
      </c>
      <c r="M222" s="76">
        <f t="shared" si="43"/>
        <v>52171</v>
      </c>
      <c r="N222" s="77">
        <v>78.322100000000006</v>
      </c>
      <c r="O222" s="77">
        <v>78.622500000000002</v>
      </c>
      <c r="P222" s="77">
        <v>70.511300000000006</v>
      </c>
      <c r="Q222" s="78">
        <v>73.649199999999993</v>
      </c>
      <c r="S222" s="98">
        <v>76.297947850208047</v>
      </c>
      <c r="T222" s="100">
        <f t="shared" si="47"/>
        <v>1.0304667715880855</v>
      </c>
      <c r="U222" s="100">
        <f t="shared" si="48"/>
        <v>0.96528415344265606</v>
      </c>
      <c r="AD222" s="152" t="str">
        <f t="shared" si="38"/>
        <v>Winter</v>
      </c>
      <c r="AE222">
        <f t="shared" si="39"/>
        <v>5</v>
      </c>
      <c r="AF222" s="150">
        <v>49430</v>
      </c>
      <c r="AG222" s="149">
        <v>416</v>
      </c>
      <c r="AH222" s="149">
        <v>328</v>
      </c>
      <c r="AI222">
        <f t="shared" si="40"/>
        <v>26</v>
      </c>
      <c r="AJ222">
        <f t="shared" si="41"/>
        <v>5</v>
      </c>
    </row>
    <row r="223" spans="2:36" x14ac:dyDescent="0.2">
      <c r="B223" s="82">
        <f t="shared" si="44"/>
        <v>52201</v>
      </c>
      <c r="C223" s="83">
        <v>8.9348842857142863</v>
      </c>
      <c r="D223" s="83">
        <v>8.5217520746776909</v>
      </c>
      <c r="E223" s="84">
        <f t="shared" si="42"/>
        <v>2042</v>
      </c>
      <c r="K223">
        <f t="shared" si="45"/>
        <v>12</v>
      </c>
      <c r="L223" s="101">
        <f t="shared" si="46"/>
        <v>2042</v>
      </c>
      <c r="M223" s="85">
        <f t="shared" si="43"/>
        <v>52201</v>
      </c>
      <c r="N223" s="86">
        <v>102.1532</v>
      </c>
      <c r="O223" s="86">
        <v>93.264799999999994</v>
      </c>
      <c r="P223" s="86">
        <v>97.923299999999998</v>
      </c>
      <c r="Q223" s="87">
        <v>92.814999999999998</v>
      </c>
      <c r="S223" s="98">
        <v>93.066501075268818</v>
      </c>
      <c r="T223" s="100">
        <f t="shared" si="47"/>
        <v>1.0021307228964242</v>
      </c>
      <c r="U223" s="100">
        <f t="shared" si="48"/>
        <v>0.99729761974112019</v>
      </c>
      <c r="AD223" s="152" t="str">
        <f t="shared" si="38"/>
        <v>Summer</v>
      </c>
      <c r="AE223">
        <f t="shared" si="39"/>
        <v>6</v>
      </c>
      <c r="AF223" s="150">
        <v>49461</v>
      </c>
      <c r="AG223" s="149">
        <v>416</v>
      </c>
      <c r="AH223" s="149">
        <v>304</v>
      </c>
      <c r="AI223">
        <f t="shared" si="40"/>
        <v>26</v>
      </c>
      <c r="AJ223">
        <f t="shared" si="41"/>
        <v>4</v>
      </c>
    </row>
    <row r="224" spans="2:36" x14ac:dyDescent="0.2">
      <c r="B224" s="204">
        <f t="shared" si="44"/>
        <v>52232</v>
      </c>
      <c r="C224" s="73">
        <v>9.5797822448979595</v>
      </c>
      <c r="D224" s="73">
        <v>9.1536525770048414</v>
      </c>
      <c r="E224" s="203">
        <f t="shared" si="42"/>
        <v>2043</v>
      </c>
      <c r="K224">
        <f t="shared" si="45"/>
        <v>1</v>
      </c>
      <c r="L224" s="101">
        <f t="shared" si="46"/>
        <v>2043</v>
      </c>
      <c r="M224" s="76">
        <f t="shared" si="43"/>
        <v>52232</v>
      </c>
      <c r="N224" s="202">
        <v>108.4684</v>
      </c>
      <c r="O224" s="202">
        <v>106.5655</v>
      </c>
      <c r="P224" s="202">
        <v>98.519900000000007</v>
      </c>
      <c r="Q224" s="201">
        <v>108.3415</v>
      </c>
      <c r="S224" s="98">
        <v>107.34846774193548</v>
      </c>
      <c r="T224" s="100">
        <f t="shared" si="47"/>
        <v>0.99270629792483178</v>
      </c>
      <c r="U224" s="100">
        <f t="shared" si="48"/>
        <v>1.0092505489733841</v>
      </c>
      <c r="AD224" s="152" t="str">
        <f t="shared" si="38"/>
        <v>Summer</v>
      </c>
      <c r="AE224">
        <f t="shared" si="39"/>
        <v>7</v>
      </c>
      <c r="AF224" s="150">
        <v>49491</v>
      </c>
      <c r="AG224" s="149">
        <v>400</v>
      </c>
      <c r="AH224" s="149">
        <v>344</v>
      </c>
      <c r="AI224">
        <f t="shared" si="40"/>
        <v>25</v>
      </c>
      <c r="AJ224">
        <f t="shared" si="41"/>
        <v>6</v>
      </c>
    </row>
    <row r="225" spans="2:36" x14ac:dyDescent="0.2">
      <c r="B225" s="80">
        <f t="shared" si="44"/>
        <v>52263</v>
      </c>
      <c r="C225" s="73">
        <v>9.3604965306122452</v>
      </c>
      <c r="D225" s="73">
        <v>8.9415288660504224</v>
      </c>
      <c r="E225" s="81">
        <f t="shared" si="42"/>
        <v>2043</v>
      </c>
      <c r="K225">
        <f t="shared" si="45"/>
        <v>2</v>
      </c>
      <c r="L225" s="101">
        <f t="shared" si="46"/>
        <v>2043</v>
      </c>
      <c r="M225" s="76">
        <f t="shared" si="43"/>
        <v>52263</v>
      </c>
      <c r="N225" s="77">
        <v>150.85249999999999</v>
      </c>
      <c r="O225" s="77">
        <v>117.7938</v>
      </c>
      <c r="P225" s="77">
        <v>125.13160000000001</v>
      </c>
      <c r="Q225" s="78">
        <v>108.3669</v>
      </c>
      <c r="S225" s="98">
        <v>113.75369999999999</v>
      </c>
      <c r="T225" s="100">
        <f t="shared" si="47"/>
        <v>1.0355162073849027</v>
      </c>
      <c r="U225" s="100">
        <f t="shared" si="48"/>
        <v>0.9526450568201299</v>
      </c>
      <c r="AD225" s="152" t="str">
        <f t="shared" si="38"/>
        <v>Summer</v>
      </c>
      <c r="AE225">
        <f t="shared" si="39"/>
        <v>8</v>
      </c>
      <c r="AF225" s="150">
        <v>49522</v>
      </c>
      <c r="AG225" s="149">
        <v>432</v>
      </c>
      <c r="AH225" s="149">
        <v>312</v>
      </c>
      <c r="AI225">
        <f t="shared" si="40"/>
        <v>27</v>
      </c>
      <c r="AJ225">
        <f t="shared" si="41"/>
        <v>4</v>
      </c>
    </row>
    <row r="226" spans="2:36" x14ac:dyDescent="0.2">
      <c r="B226" s="80">
        <f t="shared" si="44"/>
        <v>52291</v>
      </c>
      <c r="C226" s="73">
        <v>8.3430475510204083</v>
      </c>
      <c r="D226" s="73">
        <v>7.8745383781004428</v>
      </c>
      <c r="E226" s="81">
        <f t="shared" si="42"/>
        <v>2043</v>
      </c>
      <c r="K226">
        <f t="shared" si="45"/>
        <v>3</v>
      </c>
      <c r="L226" s="101">
        <f t="shared" si="46"/>
        <v>2043</v>
      </c>
      <c r="M226" s="76">
        <f t="shared" si="43"/>
        <v>52291</v>
      </c>
      <c r="N226" s="77">
        <v>63.888800000000003</v>
      </c>
      <c r="O226" s="77">
        <v>58.146099999999997</v>
      </c>
      <c r="P226" s="77">
        <v>52.254199999999997</v>
      </c>
      <c r="Q226" s="78">
        <v>49.338299999999997</v>
      </c>
      <c r="S226" s="98">
        <v>54.269719650067287</v>
      </c>
      <c r="T226" s="100">
        <f t="shared" si="47"/>
        <v>1.0714280518662658</v>
      </c>
      <c r="U226" s="100">
        <f t="shared" si="48"/>
        <v>0.909131285699185</v>
      </c>
      <c r="AD226" s="152" t="str">
        <f t="shared" si="38"/>
        <v>Summer</v>
      </c>
      <c r="AE226">
        <f t="shared" si="39"/>
        <v>9</v>
      </c>
      <c r="AF226" s="150">
        <v>49553</v>
      </c>
      <c r="AG226" s="149">
        <v>384</v>
      </c>
      <c r="AH226" s="149">
        <v>336</v>
      </c>
      <c r="AI226">
        <f t="shared" si="40"/>
        <v>24</v>
      </c>
      <c r="AJ226">
        <f t="shared" si="41"/>
        <v>6</v>
      </c>
    </row>
    <row r="227" spans="2:36" x14ac:dyDescent="0.2">
      <c r="B227" s="80">
        <f t="shared" si="44"/>
        <v>52322</v>
      </c>
      <c r="C227" s="73">
        <v>7.8380475510204084</v>
      </c>
      <c r="D227" s="73">
        <v>7.3817926745292457</v>
      </c>
      <c r="E227" s="81">
        <f t="shared" si="42"/>
        <v>2043</v>
      </c>
      <c r="K227">
        <f t="shared" si="45"/>
        <v>4</v>
      </c>
      <c r="L227" s="101">
        <f t="shared" si="46"/>
        <v>2043</v>
      </c>
      <c r="M227" s="76">
        <f t="shared" si="43"/>
        <v>52322</v>
      </c>
      <c r="N227" s="77">
        <v>43.219799999999999</v>
      </c>
      <c r="O227" s="77">
        <v>28.9556</v>
      </c>
      <c r="P227" s="77">
        <v>37.708799999999997</v>
      </c>
      <c r="Q227" s="78">
        <v>28.262499999999999</v>
      </c>
      <c r="S227" s="98">
        <v>28.66295777777778</v>
      </c>
      <c r="T227" s="100">
        <f t="shared" si="47"/>
        <v>1.0102097705509341</v>
      </c>
      <c r="U227" s="100">
        <f t="shared" si="48"/>
        <v>0.98602873503556376</v>
      </c>
      <c r="AD227" s="152" t="str">
        <f t="shared" si="38"/>
        <v>Winter</v>
      </c>
      <c r="AE227">
        <f t="shared" si="39"/>
        <v>10</v>
      </c>
      <c r="AF227" s="150">
        <v>49583</v>
      </c>
      <c r="AG227" s="149">
        <v>432</v>
      </c>
      <c r="AH227" s="149">
        <v>312</v>
      </c>
      <c r="AI227">
        <f t="shared" si="40"/>
        <v>27</v>
      </c>
      <c r="AJ227">
        <f t="shared" si="41"/>
        <v>4</v>
      </c>
    </row>
    <row r="228" spans="2:36" x14ac:dyDescent="0.2">
      <c r="B228" s="80">
        <f t="shared" si="44"/>
        <v>52352</v>
      </c>
      <c r="C228" s="73">
        <v>7.8845781632653065</v>
      </c>
      <c r="D228" s="73">
        <v>7.342070865283179</v>
      </c>
      <c r="E228" s="81">
        <f t="shared" si="42"/>
        <v>2043</v>
      </c>
      <c r="K228">
        <f t="shared" si="45"/>
        <v>5</v>
      </c>
      <c r="L228" s="101">
        <f t="shared" si="46"/>
        <v>2043</v>
      </c>
      <c r="M228" s="76">
        <f t="shared" si="43"/>
        <v>52352</v>
      </c>
      <c r="N228" s="77">
        <v>11.824</v>
      </c>
      <c r="O228" s="77">
        <v>27.089099999999998</v>
      </c>
      <c r="P228" s="77">
        <v>10.6911</v>
      </c>
      <c r="Q228" s="78">
        <v>23.521899999999999</v>
      </c>
      <c r="S228" s="98">
        <v>25.439749462365587</v>
      </c>
      <c r="T228" s="100">
        <f t="shared" si="47"/>
        <v>1.0648335998777969</v>
      </c>
      <c r="U228" s="100">
        <f t="shared" si="48"/>
        <v>0.92461209316535264</v>
      </c>
      <c r="AD228" s="152" t="str">
        <f t="shared" si="38"/>
        <v>Winter</v>
      </c>
      <c r="AE228">
        <f t="shared" si="39"/>
        <v>11</v>
      </c>
      <c r="AF228" s="150">
        <v>49614</v>
      </c>
      <c r="AG228" s="149">
        <v>400</v>
      </c>
      <c r="AH228" s="149">
        <v>320</v>
      </c>
      <c r="AI228">
        <f t="shared" si="40"/>
        <v>25</v>
      </c>
      <c r="AJ228">
        <f t="shared" si="41"/>
        <v>5</v>
      </c>
    </row>
    <row r="229" spans="2:36" x14ac:dyDescent="0.2">
      <c r="B229" s="80">
        <f t="shared" si="44"/>
        <v>52383</v>
      </c>
      <c r="C229" s="73">
        <v>7.9329455102040818</v>
      </c>
      <c r="D229" s="73">
        <v>7.3445374200617186</v>
      </c>
      <c r="E229" s="81">
        <f t="shared" si="42"/>
        <v>2043</v>
      </c>
      <c r="K229">
        <f t="shared" si="45"/>
        <v>6</v>
      </c>
      <c r="L229" s="101">
        <f t="shared" si="46"/>
        <v>2043</v>
      </c>
      <c r="M229" s="76">
        <f t="shared" si="43"/>
        <v>52383</v>
      </c>
      <c r="N229" s="77">
        <v>23.084900000000001</v>
      </c>
      <c r="O229" s="77">
        <v>39.994</v>
      </c>
      <c r="P229" s="77">
        <v>24.135000000000002</v>
      </c>
      <c r="Q229" s="78">
        <v>40.298099999999998</v>
      </c>
      <c r="S229" s="98">
        <v>40.122397777777778</v>
      </c>
      <c r="T229" s="100">
        <f t="shared" si="47"/>
        <v>0.99679984784336861</v>
      </c>
      <c r="U229" s="100">
        <f t="shared" si="48"/>
        <v>1.0043791555827586</v>
      </c>
      <c r="AD229" s="152" t="str">
        <f t="shared" si="38"/>
        <v>Winter</v>
      </c>
      <c r="AE229">
        <f t="shared" si="39"/>
        <v>12</v>
      </c>
      <c r="AF229" s="150">
        <v>49644</v>
      </c>
      <c r="AG229" s="149">
        <v>400</v>
      </c>
      <c r="AH229" s="149">
        <v>344</v>
      </c>
      <c r="AI229">
        <f t="shared" si="40"/>
        <v>25</v>
      </c>
      <c r="AJ229">
        <f t="shared" si="41"/>
        <v>6</v>
      </c>
    </row>
    <row r="230" spans="2:36" x14ac:dyDescent="0.2">
      <c r="B230" s="80">
        <f t="shared" si="44"/>
        <v>52413</v>
      </c>
      <c r="C230" s="73">
        <v>8.008557755102041</v>
      </c>
      <c r="D230" s="73">
        <v>7.3891923388648646</v>
      </c>
      <c r="E230" s="81">
        <f t="shared" si="42"/>
        <v>2043</v>
      </c>
      <c r="K230">
        <f t="shared" si="45"/>
        <v>7</v>
      </c>
      <c r="L230" s="101">
        <f t="shared" si="46"/>
        <v>2043</v>
      </c>
      <c r="M230" s="76">
        <f t="shared" si="43"/>
        <v>52413</v>
      </c>
      <c r="N230" s="77">
        <v>70.511300000000006</v>
      </c>
      <c r="O230" s="77">
        <v>72.067400000000006</v>
      </c>
      <c r="P230" s="77">
        <v>70.571100000000001</v>
      </c>
      <c r="Q230" s="78">
        <v>76.539900000000003</v>
      </c>
      <c r="S230" s="98">
        <v>74.039147311827961</v>
      </c>
      <c r="T230" s="100">
        <f t="shared" si="47"/>
        <v>0.97336885440450016</v>
      </c>
      <c r="U230" s="100">
        <f t="shared" si="48"/>
        <v>1.0337760870967316</v>
      </c>
      <c r="AD230" s="152" t="str">
        <f t="shared" si="38"/>
        <v>Winter</v>
      </c>
      <c r="AE230">
        <f t="shared" si="39"/>
        <v>1</v>
      </c>
      <c r="AF230" s="150">
        <v>49675</v>
      </c>
      <c r="AG230" s="149">
        <v>416</v>
      </c>
      <c r="AH230" s="149">
        <v>328</v>
      </c>
      <c r="AI230">
        <f t="shared" si="40"/>
        <v>26</v>
      </c>
      <c r="AJ230">
        <f t="shared" si="41"/>
        <v>5</v>
      </c>
    </row>
    <row r="231" spans="2:36" x14ac:dyDescent="0.2">
      <c r="B231" s="80">
        <f t="shared" si="44"/>
        <v>52444</v>
      </c>
      <c r="C231" s="73">
        <v>8.1352924489795928</v>
      </c>
      <c r="D231" s="73">
        <v>7.7496176558789829</v>
      </c>
      <c r="E231" s="81">
        <f t="shared" si="42"/>
        <v>2043</v>
      </c>
      <c r="K231">
        <f t="shared" si="45"/>
        <v>8</v>
      </c>
      <c r="L231" s="101">
        <f t="shared" si="46"/>
        <v>2043</v>
      </c>
      <c r="M231" s="76">
        <f t="shared" si="43"/>
        <v>52444</v>
      </c>
      <c r="N231" s="77">
        <v>79.516199999999998</v>
      </c>
      <c r="O231" s="77">
        <v>80.982399999999998</v>
      </c>
      <c r="P231" s="77">
        <v>72.607399999999998</v>
      </c>
      <c r="Q231" s="78">
        <v>74.292100000000005</v>
      </c>
      <c r="S231" s="98">
        <v>78.032912903225807</v>
      </c>
      <c r="T231" s="100">
        <f t="shared" si="47"/>
        <v>1.0377979878879064</v>
      </c>
      <c r="U231" s="100">
        <f t="shared" si="48"/>
        <v>0.95206108853241134</v>
      </c>
      <c r="AD231" s="152" t="str">
        <f t="shared" si="38"/>
        <v>Winter</v>
      </c>
      <c r="AE231">
        <f t="shared" si="39"/>
        <v>2</v>
      </c>
      <c r="AF231" s="150">
        <v>49706</v>
      </c>
      <c r="AG231" s="149">
        <v>400</v>
      </c>
      <c r="AH231" s="149">
        <v>296</v>
      </c>
      <c r="AI231">
        <f t="shared" si="40"/>
        <v>25</v>
      </c>
      <c r="AJ231">
        <f t="shared" si="41"/>
        <v>4</v>
      </c>
    </row>
    <row r="232" spans="2:36" x14ac:dyDescent="0.2">
      <c r="B232" s="80">
        <f t="shared" si="44"/>
        <v>52475</v>
      </c>
      <c r="C232" s="73">
        <v>8.4442720408163279</v>
      </c>
      <c r="D232" s="73">
        <v>7.8278793835397344</v>
      </c>
      <c r="E232" s="81">
        <f t="shared" si="42"/>
        <v>2043</v>
      </c>
      <c r="K232">
        <f t="shared" si="45"/>
        <v>9</v>
      </c>
      <c r="L232" s="101">
        <f t="shared" si="46"/>
        <v>2043</v>
      </c>
      <c r="M232" s="76">
        <f t="shared" si="43"/>
        <v>52475</v>
      </c>
      <c r="N232" s="77">
        <v>69.838700000000003</v>
      </c>
      <c r="O232" s="77">
        <v>70.4131</v>
      </c>
      <c r="P232" s="77">
        <v>60.203600000000002</v>
      </c>
      <c r="Q232" s="78">
        <v>66.422200000000004</v>
      </c>
      <c r="S232" s="98">
        <v>68.63936666666666</v>
      </c>
      <c r="T232" s="100">
        <f t="shared" si="47"/>
        <v>1.0258413417761723</v>
      </c>
      <c r="U232" s="100">
        <f t="shared" si="48"/>
        <v>0.96769832277978496</v>
      </c>
      <c r="AD232" s="152" t="str">
        <f t="shared" si="38"/>
        <v>Winter</v>
      </c>
      <c r="AE232">
        <f t="shared" si="39"/>
        <v>3</v>
      </c>
      <c r="AF232" s="150">
        <v>49735</v>
      </c>
      <c r="AG232" s="149">
        <v>416</v>
      </c>
      <c r="AH232" s="149">
        <v>328</v>
      </c>
      <c r="AI232">
        <f t="shared" si="40"/>
        <v>26</v>
      </c>
      <c r="AJ232">
        <f t="shared" si="41"/>
        <v>5</v>
      </c>
    </row>
    <row r="233" spans="2:36" x14ac:dyDescent="0.2">
      <c r="B233" s="80">
        <f t="shared" si="44"/>
        <v>52505</v>
      </c>
      <c r="C233" s="73">
        <v>8.5720271428571433</v>
      </c>
      <c r="D233" s="73">
        <v>8.0097877984570403</v>
      </c>
      <c r="E233" s="81">
        <f t="shared" si="42"/>
        <v>2043</v>
      </c>
      <c r="K233">
        <f t="shared" si="45"/>
        <v>10</v>
      </c>
      <c r="L233" s="101">
        <f t="shared" si="46"/>
        <v>2043</v>
      </c>
      <c r="M233" s="76">
        <f t="shared" si="43"/>
        <v>52505</v>
      </c>
      <c r="N233" s="77">
        <v>64.074600000000004</v>
      </c>
      <c r="O233" s="77">
        <v>54.459899999999998</v>
      </c>
      <c r="P233" s="77">
        <v>54.599299999999999</v>
      </c>
      <c r="Q233" s="78">
        <v>49.803800000000003</v>
      </c>
      <c r="S233" s="98">
        <v>52.507341935483872</v>
      </c>
      <c r="T233" s="100">
        <f t="shared" si="47"/>
        <v>1.0371863818000013</v>
      </c>
      <c r="U233" s="100">
        <f t="shared" si="48"/>
        <v>0.94851116366153654</v>
      </c>
      <c r="AD233" s="152" t="str">
        <f t="shared" si="38"/>
        <v>Winter</v>
      </c>
      <c r="AE233">
        <f t="shared" si="39"/>
        <v>4</v>
      </c>
      <c r="AF233" s="150">
        <v>49766</v>
      </c>
      <c r="AG233" s="149">
        <v>416</v>
      </c>
      <c r="AH233" s="149">
        <v>304</v>
      </c>
      <c r="AI233">
        <f t="shared" si="40"/>
        <v>26</v>
      </c>
      <c r="AJ233">
        <f t="shared" si="41"/>
        <v>4</v>
      </c>
    </row>
    <row r="234" spans="2:36" x14ac:dyDescent="0.2">
      <c r="B234" s="80">
        <f t="shared" si="44"/>
        <v>52536</v>
      </c>
      <c r="C234" s="73">
        <v>9.060088367346939</v>
      </c>
      <c r="D234" s="73">
        <v>8.7026327584372751</v>
      </c>
      <c r="E234" s="81">
        <f t="shared" si="42"/>
        <v>2043</v>
      </c>
      <c r="K234">
        <f t="shared" si="45"/>
        <v>11</v>
      </c>
      <c r="L234" s="101">
        <f t="shared" si="46"/>
        <v>2043</v>
      </c>
      <c r="M234" s="76">
        <f t="shared" si="43"/>
        <v>52536</v>
      </c>
      <c r="N234" s="77">
        <v>86.197000000000003</v>
      </c>
      <c r="O234" s="77">
        <v>85.466899999999995</v>
      </c>
      <c r="P234" s="77">
        <v>80.285700000000006</v>
      </c>
      <c r="Q234" s="78">
        <v>79.932100000000005</v>
      </c>
      <c r="S234" s="98">
        <v>82.879899167822458</v>
      </c>
      <c r="T234" s="100">
        <f t="shared" si="47"/>
        <v>1.0312138511044657</v>
      </c>
      <c r="U234" s="100">
        <f t="shared" si="48"/>
        <v>0.96443288182755271</v>
      </c>
      <c r="AD234" s="152" t="str">
        <f t="shared" si="38"/>
        <v>Winter</v>
      </c>
      <c r="AE234">
        <f t="shared" si="39"/>
        <v>5</v>
      </c>
      <c r="AF234" s="150">
        <v>49796</v>
      </c>
      <c r="AG234" s="149">
        <v>416</v>
      </c>
      <c r="AH234" s="149">
        <v>328</v>
      </c>
      <c r="AI234">
        <f t="shared" si="40"/>
        <v>26</v>
      </c>
      <c r="AJ234">
        <f t="shared" si="41"/>
        <v>5</v>
      </c>
    </row>
    <row r="235" spans="2:36" x14ac:dyDescent="0.2">
      <c r="B235" s="82">
        <f t="shared" si="44"/>
        <v>52566</v>
      </c>
      <c r="C235" s="83">
        <v>9.3554965306122462</v>
      </c>
      <c r="D235" s="83">
        <v>8.8907589468588135</v>
      </c>
      <c r="E235" s="84">
        <f t="shared" si="42"/>
        <v>2043</v>
      </c>
      <c r="K235">
        <f t="shared" si="45"/>
        <v>12</v>
      </c>
      <c r="L235" s="101">
        <f t="shared" si="46"/>
        <v>2043</v>
      </c>
      <c r="M235" s="85">
        <f t="shared" si="43"/>
        <v>52566</v>
      </c>
      <c r="N235" s="86">
        <v>105.35850000000001</v>
      </c>
      <c r="O235" s="86">
        <v>97.491500000000002</v>
      </c>
      <c r="P235" s="86">
        <v>103.0712</v>
      </c>
      <c r="Q235" s="87">
        <v>98.378399999999999</v>
      </c>
      <c r="S235" s="98">
        <v>97.882498924731181</v>
      </c>
      <c r="T235" s="100">
        <f t="shared" si="47"/>
        <v>0.99600542559674687</v>
      </c>
      <c r="U235" s="100">
        <f t="shared" si="48"/>
        <v>1.0050662894870528</v>
      </c>
      <c r="AD235" s="152" t="str">
        <f t="shared" si="38"/>
        <v>Summer</v>
      </c>
      <c r="AE235">
        <f t="shared" si="39"/>
        <v>6</v>
      </c>
      <c r="AF235" s="150">
        <v>49827</v>
      </c>
      <c r="AG235" s="149">
        <v>400</v>
      </c>
      <c r="AH235" s="149">
        <v>320</v>
      </c>
      <c r="AI235">
        <f t="shared" si="40"/>
        <v>25</v>
      </c>
      <c r="AJ235">
        <f t="shared" si="41"/>
        <v>5</v>
      </c>
    </row>
    <row r="236" spans="2:36" x14ac:dyDescent="0.2">
      <c r="B236" s="204">
        <f t="shared" si="44"/>
        <v>52597</v>
      </c>
      <c r="C236" s="73">
        <v>9.7280475510204099</v>
      </c>
      <c r="D236" s="73">
        <v>9.2547813229249698</v>
      </c>
      <c r="E236" s="203">
        <f t="shared" si="42"/>
        <v>2044</v>
      </c>
      <c r="K236">
        <f t="shared" si="45"/>
        <v>1</v>
      </c>
      <c r="L236" s="101">
        <f t="shared" si="46"/>
        <v>2044</v>
      </c>
      <c r="M236" s="76">
        <f t="shared" si="43"/>
        <v>52597</v>
      </c>
      <c r="N236" s="202">
        <v>121.43340000000001</v>
      </c>
      <c r="O236" s="202">
        <v>132.17509999999999</v>
      </c>
      <c r="P236" s="202">
        <v>110.31959999999999</v>
      </c>
      <c r="Q236" s="201">
        <v>137.99279999999999</v>
      </c>
      <c r="S236" s="98">
        <v>134.86500430107523</v>
      </c>
      <c r="T236" s="100">
        <f t="shared" si="47"/>
        <v>0.9800548384288762</v>
      </c>
      <c r="U236" s="100">
        <f t="shared" si="48"/>
        <v>1.0231920483385164</v>
      </c>
      <c r="AD236" s="152" t="str">
        <f t="shared" si="38"/>
        <v>Summer</v>
      </c>
      <c r="AE236">
        <f t="shared" si="39"/>
        <v>7</v>
      </c>
      <c r="AF236" s="150">
        <v>49857</v>
      </c>
      <c r="AG236" s="149">
        <v>416</v>
      </c>
      <c r="AH236" s="149">
        <v>328</v>
      </c>
      <c r="AI236">
        <f t="shared" si="40"/>
        <v>26</v>
      </c>
      <c r="AJ236">
        <f t="shared" si="41"/>
        <v>5</v>
      </c>
    </row>
    <row r="237" spans="2:36" x14ac:dyDescent="0.2">
      <c r="B237" s="80">
        <f t="shared" si="44"/>
        <v>52628</v>
      </c>
      <c r="C237" s="73">
        <v>9.2224353061224491</v>
      </c>
      <c r="D237" s="73">
        <v>8.7479043159350542</v>
      </c>
      <c r="E237" s="81">
        <f t="shared" si="42"/>
        <v>2044</v>
      </c>
      <c r="K237">
        <f t="shared" si="45"/>
        <v>2</v>
      </c>
      <c r="L237" s="101">
        <f t="shared" si="46"/>
        <v>2044</v>
      </c>
      <c r="M237" s="76">
        <f t="shared" si="43"/>
        <v>52628</v>
      </c>
      <c r="N237" s="77">
        <v>135.7576</v>
      </c>
      <c r="O237" s="77">
        <v>108.0825</v>
      </c>
      <c r="P237" s="77">
        <v>119.11799999999999</v>
      </c>
      <c r="Q237" s="78">
        <v>105.85380000000001</v>
      </c>
      <c r="S237" s="98">
        <v>107.13466206896551</v>
      </c>
      <c r="T237" s="100">
        <f t="shared" si="47"/>
        <v>1.0088471640525112</v>
      </c>
      <c r="U237" s="100">
        <f t="shared" si="48"/>
        <v>0.98804437290201208</v>
      </c>
      <c r="AD237" s="152" t="str">
        <f t="shared" si="38"/>
        <v>Summer</v>
      </c>
      <c r="AE237">
        <f t="shared" si="39"/>
        <v>8</v>
      </c>
      <c r="AF237" s="150">
        <v>49888</v>
      </c>
      <c r="AG237" s="149">
        <v>416</v>
      </c>
      <c r="AH237" s="149">
        <v>328</v>
      </c>
      <c r="AI237">
        <f t="shared" si="40"/>
        <v>26</v>
      </c>
      <c r="AJ237">
        <f t="shared" si="41"/>
        <v>5</v>
      </c>
    </row>
    <row r="238" spans="2:36" x14ac:dyDescent="0.2">
      <c r="B238" s="80">
        <f t="shared" si="44"/>
        <v>52657</v>
      </c>
      <c r="C238" s="73">
        <v>8.6983536734693896</v>
      </c>
      <c r="D238" s="73">
        <v>8.2184686100330779</v>
      </c>
      <c r="E238" s="81">
        <f t="shared" si="42"/>
        <v>2044</v>
      </c>
      <c r="K238">
        <f t="shared" si="45"/>
        <v>3</v>
      </c>
      <c r="L238" s="101">
        <f t="shared" si="46"/>
        <v>2044</v>
      </c>
      <c r="M238" s="76">
        <f t="shared" si="43"/>
        <v>52657</v>
      </c>
      <c r="N238" s="77">
        <v>61.433</v>
      </c>
      <c r="O238" s="77">
        <v>54.041699999999999</v>
      </c>
      <c r="P238" s="77">
        <v>60.393099999999997</v>
      </c>
      <c r="Q238" s="78">
        <v>52.811199999999999</v>
      </c>
      <c r="S238" s="98">
        <v>53.526645491251678</v>
      </c>
      <c r="T238" s="100">
        <f t="shared" si="47"/>
        <v>1.0096223946787868</v>
      </c>
      <c r="U238" s="100">
        <f t="shared" si="48"/>
        <v>0.98663384404747334</v>
      </c>
      <c r="AD238" s="152" t="str">
        <f t="shared" si="38"/>
        <v>Summer</v>
      </c>
      <c r="AE238">
        <f t="shared" si="39"/>
        <v>9</v>
      </c>
      <c r="AF238" s="150">
        <v>49919</v>
      </c>
      <c r="AG238" s="149">
        <v>400</v>
      </c>
      <c r="AH238" s="149">
        <v>320</v>
      </c>
      <c r="AI238">
        <f t="shared" si="40"/>
        <v>25</v>
      </c>
      <c r="AJ238">
        <f t="shared" si="41"/>
        <v>5</v>
      </c>
    </row>
    <row r="239" spans="2:36" x14ac:dyDescent="0.2">
      <c r="B239" s="80">
        <f t="shared" si="44"/>
        <v>52688</v>
      </c>
      <c r="C239" s="73">
        <v>8.1944761224489806</v>
      </c>
      <c r="D239" s="73">
        <v>7.7246437887462687</v>
      </c>
      <c r="E239" s="81">
        <f t="shared" si="42"/>
        <v>2044</v>
      </c>
      <c r="K239">
        <f t="shared" si="45"/>
        <v>4</v>
      </c>
      <c r="L239" s="101">
        <f t="shared" si="46"/>
        <v>2044</v>
      </c>
      <c r="M239" s="76">
        <f t="shared" si="43"/>
        <v>52688</v>
      </c>
      <c r="N239" s="77">
        <v>44.550199999999997</v>
      </c>
      <c r="O239" s="77">
        <v>30.758299999999998</v>
      </c>
      <c r="P239" s="77">
        <v>38.326099999999997</v>
      </c>
      <c r="Q239" s="78">
        <v>25.063800000000001</v>
      </c>
      <c r="S239" s="98">
        <v>28.353955555555551</v>
      </c>
      <c r="T239" s="100">
        <f t="shared" si="47"/>
        <v>1.0847974964104559</v>
      </c>
      <c r="U239" s="100">
        <f t="shared" si="48"/>
        <v>0.8839613207014817</v>
      </c>
      <c r="AD239" s="152" t="str">
        <f t="shared" si="38"/>
        <v>Winter</v>
      </c>
      <c r="AE239">
        <f t="shared" si="39"/>
        <v>10</v>
      </c>
      <c r="AF239" s="150">
        <v>49949</v>
      </c>
      <c r="AG239" s="149">
        <v>432</v>
      </c>
      <c r="AH239" s="149">
        <v>312</v>
      </c>
      <c r="AI239">
        <f t="shared" si="40"/>
        <v>27</v>
      </c>
      <c r="AJ239">
        <f t="shared" si="41"/>
        <v>4</v>
      </c>
    </row>
    <row r="240" spans="2:36" x14ac:dyDescent="0.2">
      <c r="B240" s="80">
        <f t="shared" si="44"/>
        <v>52718</v>
      </c>
      <c r="C240" s="73">
        <v>8.243149591836735</v>
      </c>
      <c r="D240" s="73">
        <v>7.6736683233231133</v>
      </c>
      <c r="E240" s="81">
        <f t="shared" si="42"/>
        <v>2044</v>
      </c>
      <c r="K240">
        <f t="shared" si="45"/>
        <v>5</v>
      </c>
      <c r="L240" s="101">
        <f t="shared" si="46"/>
        <v>2044</v>
      </c>
      <c r="M240" s="76">
        <f t="shared" si="43"/>
        <v>52718</v>
      </c>
      <c r="N240" s="77">
        <v>14.142799999999999</v>
      </c>
      <c r="O240" s="77">
        <v>25.9102</v>
      </c>
      <c r="P240" s="77">
        <v>11.4755</v>
      </c>
      <c r="Q240" s="78">
        <v>22.2273</v>
      </c>
      <c r="S240" s="98">
        <v>24.20735376344086</v>
      </c>
      <c r="T240" s="100">
        <f t="shared" si="47"/>
        <v>1.0703441711638413</v>
      </c>
      <c r="U240" s="100">
        <f t="shared" si="48"/>
        <v>0.91820445213506829</v>
      </c>
      <c r="AD240" s="152" t="str">
        <f t="shared" si="38"/>
        <v>Winter</v>
      </c>
      <c r="AE240">
        <f t="shared" si="39"/>
        <v>11</v>
      </c>
      <c r="AF240" s="150">
        <v>49980</v>
      </c>
      <c r="AG240" s="149">
        <v>384</v>
      </c>
      <c r="AH240" s="149">
        <v>336</v>
      </c>
      <c r="AI240">
        <f t="shared" si="40"/>
        <v>24</v>
      </c>
      <c r="AJ240">
        <f t="shared" si="41"/>
        <v>6</v>
      </c>
    </row>
    <row r="241" spans="2:36" x14ac:dyDescent="0.2">
      <c r="B241" s="80">
        <f t="shared" si="44"/>
        <v>52749</v>
      </c>
      <c r="C241" s="73">
        <v>8.2936597959183675</v>
      </c>
      <c r="D241" s="73">
        <v>7.6586634484203309</v>
      </c>
      <c r="E241" s="81">
        <f t="shared" si="42"/>
        <v>2044</v>
      </c>
      <c r="K241">
        <f t="shared" si="45"/>
        <v>6</v>
      </c>
      <c r="L241" s="101">
        <f t="shared" si="46"/>
        <v>2044</v>
      </c>
      <c r="M241" s="76">
        <f t="shared" si="43"/>
        <v>52749</v>
      </c>
      <c r="N241" s="77">
        <v>23.870200000000001</v>
      </c>
      <c r="O241" s="77">
        <v>38.212400000000002</v>
      </c>
      <c r="P241" s="77">
        <v>21.332699999999999</v>
      </c>
      <c r="Q241" s="78">
        <v>34.871600000000001</v>
      </c>
      <c r="S241" s="98">
        <v>36.801840000000006</v>
      </c>
      <c r="T241" s="100">
        <f t="shared" si="47"/>
        <v>1.0383285183566908</v>
      </c>
      <c r="U241" s="100">
        <f t="shared" si="48"/>
        <v>0.94755044856452819</v>
      </c>
      <c r="AD241" s="152" t="str">
        <f t="shared" si="38"/>
        <v>Winter</v>
      </c>
      <c r="AE241">
        <f t="shared" si="39"/>
        <v>12</v>
      </c>
      <c r="AF241" s="150">
        <v>50010</v>
      </c>
      <c r="AG241" s="149">
        <v>416</v>
      </c>
      <c r="AH241" s="149">
        <v>328</v>
      </c>
      <c r="AI241">
        <f t="shared" si="40"/>
        <v>26</v>
      </c>
      <c r="AJ241">
        <f t="shared" si="41"/>
        <v>5</v>
      </c>
    </row>
    <row r="242" spans="2:36" x14ac:dyDescent="0.2">
      <c r="B242" s="80">
        <f t="shared" si="44"/>
        <v>52779</v>
      </c>
      <c r="C242" s="73">
        <v>8.3641699999999997</v>
      </c>
      <c r="D242" s="73">
        <v>7.7052710564231539</v>
      </c>
      <c r="E242" s="81">
        <f t="shared" si="42"/>
        <v>2044</v>
      </c>
      <c r="K242">
        <f t="shared" si="45"/>
        <v>7</v>
      </c>
      <c r="L242" s="101">
        <f t="shared" si="46"/>
        <v>2044</v>
      </c>
      <c r="M242" s="76">
        <f t="shared" si="43"/>
        <v>52779</v>
      </c>
      <c r="N242" s="77">
        <v>74.811599999999999</v>
      </c>
      <c r="O242" s="77">
        <v>78.973600000000005</v>
      </c>
      <c r="P242" s="77">
        <v>74.326700000000002</v>
      </c>
      <c r="Q242" s="78">
        <v>79.506799999999998</v>
      </c>
      <c r="S242" s="98">
        <v>79.220133333333337</v>
      </c>
      <c r="T242" s="100">
        <f t="shared" si="47"/>
        <v>0.99688799648574189</v>
      </c>
      <c r="U242" s="100">
        <f t="shared" si="48"/>
        <v>1.0036186087375094</v>
      </c>
      <c r="AD242" s="152" t="str">
        <f t="shared" si="38"/>
        <v>Winter</v>
      </c>
      <c r="AE242">
        <f t="shared" si="39"/>
        <v>1</v>
      </c>
      <c r="AF242" s="150">
        <v>50041</v>
      </c>
      <c r="AG242" s="149">
        <v>416</v>
      </c>
      <c r="AH242" s="149">
        <v>328</v>
      </c>
      <c r="AI242">
        <f t="shared" si="40"/>
        <v>26</v>
      </c>
      <c r="AJ242">
        <f t="shared" si="41"/>
        <v>5</v>
      </c>
    </row>
    <row r="243" spans="2:36" x14ac:dyDescent="0.2">
      <c r="B243" s="80">
        <f t="shared" si="44"/>
        <v>52810</v>
      </c>
      <c r="C243" s="73">
        <v>8.4654965306122456</v>
      </c>
      <c r="D243" s="73">
        <v>8.0692934324893084</v>
      </c>
      <c r="E243" s="81">
        <f t="shared" si="42"/>
        <v>2044</v>
      </c>
      <c r="K243">
        <f t="shared" si="45"/>
        <v>8</v>
      </c>
      <c r="L243" s="101">
        <f t="shared" si="46"/>
        <v>2044</v>
      </c>
      <c r="M243" s="76">
        <f t="shared" si="43"/>
        <v>52810</v>
      </c>
      <c r="N243" s="77">
        <v>82.945899999999995</v>
      </c>
      <c r="O243" s="77">
        <v>81.977800000000002</v>
      </c>
      <c r="P243" s="77">
        <v>65.843400000000003</v>
      </c>
      <c r="Q243" s="78">
        <v>71.073999999999998</v>
      </c>
      <c r="S243" s="98">
        <v>77.40523870967742</v>
      </c>
      <c r="T243" s="100">
        <f t="shared" si="47"/>
        <v>1.0590730209808255</v>
      </c>
      <c r="U243" s="100">
        <f t="shared" si="48"/>
        <v>0.91820658633424157</v>
      </c>
      <c r="AD243" s="152" t="str">
        <f t="shared" si="38"/>
        <v>Winter</v>
      </c>
      <c r="AE243">
        <f t="shared" si="39"/>
        <v>2</v>
      </c>
      <c r="AF243" s="150">
        <v>50072</v>
      </c>
      <c r="AG243" s="149">
        <v>384</v>
      </c>
      <c r="AH243" s="149">
        <v>288</v>
      </c>
      <c r="AI243">
        <f t="shared" si="40"/>
        <v>24</v>
      </c>
      <c r="AJ243">
        <f t="shared" si="41"/>
        <v>4</v>
      </c>
    </row>
    <row r="244" spans="2:36" x14ac:dyDescent="0.2">
      <c r="B244" s="80">
        <f t="shared" si="44"/>
        <v>52841</v>
      </c>
      <c r="C244" s="73">
        <v>8.7925373469387758</v>
      </c>
      <c r="D244" s="73">
        <v>8.1483773450762396</v>
      </c>
      <c r="E244" s="81">
        <f t="shared" si="42"/>
        <v>2044</v>
      </c>
      <c r="K244">
        <f t="shared" si="45"/>
        <v>9</v>
      </c>
      <c r="L244" s="101">
        <f t="shared" si="46"/>
        <v>2044</v>
      </c>
      <c r="M244" s="76">
        <f t="shared" si="43"/>
        <v>52841</v>
      </c>
      <c r="N244" s="77">
        <v>64.383600000000001</v>
      </c>
      <c r="O244" s="77">
        <v>68.189499999999995</v>
      </c>
      <c r="P244" s="77">
        <v>67.4024</v>
      </c>
      <c r="Q244" s="78">
        <v>72.3172</v>
      </c>
      <c r="S244" s="98">
        <v>70.024033333333335</v>
      </c>
      <c r="T244" s="100">
        <f t="shared" si="47"/>
        <v>0.97380137581335158</v>
      </c>
      <c r="U244" s="100">
        <f t="shared" si="48"/>
        <v>1.0327482802333103</v>
      </c>
      <c r="AD244" s="152" t="str">
        <f t="shared" si="38"/>
        <v>Winter</v>
      </c>
      <c r="AE244">
        <f t="shared" si="39"/>
        <v>3</v>
      </c>
      <c r="AF244" s="150">
        <v>50100</v>
      </c>
      <c r="AG244" s="149">
        <v>416</v>
      </c>
      <c r="AH244" s="149">
        <v>328</v>
      </c>
      <c r="AI244">
        <f t="shared" si="40"/>
        <v>26</v>
      </c>
      <c r="AJ244">
        <f t="shared" si="41"/>
        <v>5</v>
      </c>
    </row>
    <row r="245" spans="2:36" x14ac:dyDescent="0.2">
      <c r="B245" s="80">
        <f t="shared" si="44"/>
        <v>52871</v>
      </c>
      <c r="C245" s="73">
        <v>8.9265169387755101</v>
      </c>
      <c r="D245" s="73">
        <v>8.3307482390145218</v>
      </c>
      <c r="E245" s="81">
        <f t="shared" si="42"/>
        <v>2044</v>
      </c>
      <c r="K245">
        <f t="shared" si="45"/>
        <v>10</v>
      </c>
      <c r="L245" s="101">
        <f t="shared" si="46"/>
        <v>2044</v>
      </c>
      <c r="M245" s="76">
        <f t="shared" si="43"/>
        <v>52871</v>
      </c>
      <c r="N245" s="77">
        <v>62.831600000000002</v>
      </c>
      <c r="O245" s="77">
        <v>53.974899999999998</v>
      </c>
      <c r="P245" s="77">
        <v>65.66</v>
      </c>
      <c r="Q245" s="78">
        <v>59.204599999999999</v>
      </c>
      <c r="S245" s="98">
        <v>56.280466666666669</v>
      </c>
      <c r="T245" s="100">
        <f t="shared" si="47"/>
        <v>0.95903433636537005</v>
      </c>
      <c r="U245" s="100">
        <f t="shared" si="48"/>
        <v>1.0519564514390427</v>
      </c>
      <c r="AD245" s="152" t="str">
        <f t="shared" si="38"/>
        <v>Winter</v>
      </c>
      <c r="AE245">
        <f t="shared" si="39"/>
        <v>4</v>
      </c>
      <c r="AF245" s="150">
        <v>50131</v>
      </c>
      <c r="AG245" s="149">
        <v>416</v>
      </c>
      <c r="AH245" s="149">
        <v>304</v>
      </c>
      <c r="AI245">
        <f t="shared" si="40"/>
        <v>26</v>
      </c>
      <c r="AJ245">
        <f t="shared" si="41"/>
        <v>4</v>
      </c>
    </row>
    <row r="246" spans="2:36" x14ac:dyDescent="0.2">
      <c r="B246" s="80">
        <f t="shared" si="44"/>
        <v>52902</v>
      </c>
      <c r="C246" s="73">
        <v>9.440700612244898</v>
      </c>
      <c r="D246" s="73">
        <v>9.0411674017918493</v>
      </c>
      <c r="E246" s="81">
        <f t="shared" si="42"/>
        <v>2044</v>
      </c>
      <c r="K246">
        <f t="shared" si="45"/>
        <v>11</v>
      </c>
      <c r="L246" s="101">
        <f t="shared" si="46"/>
        <v>2044</v>
      </c>
      <c r="M246" s="76">
        <f t="shared" si="43"/>
        <v>52902</v>
      </c>
      <c r="N246" s="77">
        <v>86.671899999999994</v>
      </c>
      <c r="O246" s="77">
        <v>85.677300000000002</v>
      </c>
      <c r="P246" s="77">
        <v>75.630899999999997</v>
      </c>
      <c r="Q246" s="78">
        <v>77.484999999999999</v>
      </c>
      <c r="S246" s="98">
        <v>82.029965325936189</v>
      </c>
      <c r="T246" s="100">
        <f t="shared" si="47"/>
        <v>1.0444634428354513</v>
      </c>
      <c r="U246" s="100">
        <f t="shared" si="48"/>
        <v>0.94459384070348784</v>
      </c>
      <c r="AD246" s="152" t="str">
        <f t="shared" si="38"/>
        <v>Winter</v>
      </c>
      <c r="AE246">
        <f t="shared" si="39"/>
        <v>5</v>
      </c>
      <c r="AF246" s="150">
        <v>50161</v>
      </c>
      <c r="AG246" s="149">
        <v>400</v>
      </c>
      <c r="AH246" s="149">
        <v>344</v>
      </c>
      <c r="AI246">
        <f t="shared" si="40"/>
        <v>25</v>
      </c>
      <c r="AJ246">
        <f t="shared" si="41"/>
        <v>6</v>
      </c>
    </row>
    <row r="247" spans="2:36" x14ac:dyDescent="0.2">
      <c r="B247" s="82">
        <f t="shared" si="44"/>
        <v>52932</v>
      </c>
      <c r="C247" s="83">
        <v>9.7232516326530618</v>
      </c>
      <c r="D247" s="83">
        <v>9.234740565349334</v>
      </c>
      <c r="E247" s="84">
        <f t="shared" si="42"/>
        <v>2044</v>
      </c>
      <c r="K247">
        <f t="shared" si="45"/>
        <v>12</v>
      </c>
      <c r="L247" s="101">
        <f t="shared" si="46"/>
        <v>2044</v>
      </c>
      <c r="M247" s="85">
        <f t="shared" si="43"/>
        <v>52932</v>
      </c>
      <c r="N247" s="86">
        <v>119.8035</v>
      </c>
      <c r="O247" s="86">
        <v>105.9554</v>
      </c>
      <c r="P247" s="86">
        <v>123.2764</v>
      </c>
      <c r="Q247" s="87">
        <v>113.26439999999999</v>
      </c>
      <c r="S247" s="98">
        <v>109.17764731182795</v>
      </c>
      <c r="T247" s="100">
        <f t="shared" si="47"/>
        <v>0.97048619940833925</v>
      </c>
      <c r="U247" s="100">
        <f t="shared" si="48"/>
        <v>1.0374321373357649</v>
      </c>
      <c r="AD247" s="152" t="str">
        <f t="shared" si="38"/>
        <v>Summer</v>
      </c>
      <c r="AE247">
        <f t="shared" si="39"/>
        <v>6</v>
      </c>
      <c r="AF247" s="150">
        <v>50192</v>
      </c>
      <c r="AG247" s="149">
        <v>416</v>
      </c>
      <c r="AH247" s="149">
        <v>304</v>
      </c>
      <c r="AI247">
        <f t="shared" si="40"/>
        <v>26</v>
      </c>
      <c r="AJ247">
        <f t="shared" si="41"/>
        <v>4</v>
      </c>
    </row>
    <row r="248" spans="2:36" x14ac:dyDescent="0.2">
      <c r="B248" s="204">
        <f t="shared" si="44"/>
        <v>52963</v>
      </c>
      <c r="C248" s="73">
        <v>10.153863877551021</v>
      </c>
      <c r="D248" s="73">
        <v>9.6348363050516337</v>
      </c>
      <c r="E248" s="203">
        <f t="shared" ref="E248:E259" si="49">YEAR(B248)</f>
        <v>2045</v>
      </c>
      <c r="K248">
        <f t="shared" si="45"/>
        <v>1</v>
      </c>
      <c r="L248" s="101">
        <f t="shared" ref="L248:L259" si="50">YEAR(M248)</f>
        <v>2045</v>
      </c>
      <c r="M248" s="76">
        <f t="shared" ref="M248:M259" si="51">B248</f>
        <v>52963</v>
      </c>
      <c r="N248" s="202">
        <v>128.66030000000001</v>
      </c>
      <c r="O248" s="202">
        <v>131.77119999999999</v>
      </c>
      <c r="P248" s="202">
        <v>121.1396</v>
      </c>
      <c r="Q248" s="201">
        <v>189.94390000000001</v>
      </c>
      <c r="S248" s="98">
        <v>158.66825483870969</v>
      </c>
      <c r="T248" s="100">
        <f t="shared" ref="T248:T259" si="52">O248/S248</f>
        <v>0.8304824435987449</v>
      </c>
      <c r="U248" s="100">
        <f t="shared" ref="U248:U259" si="53">Q248/S248</f>
        <v>1.1971134376758781</v>
      </c>
      <c r="AD248" s="152" t="str">
        <f t="shared" si="38"/>
        <v>Summer</v>
      </c>
      <c r="AE248">
        <f t="shared" si="39"/>
        <v>7</v>
      </c>
      <c r="AF248" s="150">
        <v>50222</v>
      </c>
      <c r="AG248" s="149">
        <v>416</v>
      </c>
      <c r="AH248" s="149">
        <v>328</v>
      </c>
      <c r="AI248">
        <f t="shared" si="40"/>
        <v>26</v>
      </c>
      <c r="AJ248">
        <f t="shared" si="41"/>
        <v>5</v>
      </c>
    </row>
    <row r="249" spans="2:36" x14ac:dyDescent="0.2">
      <c r="B249" s="80">
        <f t="shared" si="44"/>
        <v>52994</v>
      </c>
      <c r="C249" s="73">
        <v>10.115292448979591</v>
      </c>
      <c r="D249" s="73">
        <v>9.6233771026430013</v>
      </c>
      <c r="E249" s="81">
        <f t="shared" si="49"/>
        <v>2045</v>
      </c>
      <c r="K249">
        <f t="shared" si="45"/>
        <v>2</v>
      </c>
      <c r="L249" s="101">
        <f t="shared" si="50"/>
        <v>2045</v>
      </c>
      <c r="M249" s="76">
        <f t="shared" si="51"/>
        <v>52994</v>
      </c>
      <c r="N249" s="77">
        <v>188.7998</v>
      </c>
      <c r="O249" s="77">
        <v>123.7171</v>
      </c>
      <c r="P249" s="77">
        <v>145.54920000000001</v>
      </c>
      <c r="Q249" s="78">
        <v>114.42230000000001</v>
      </c>
      <c r="S249" s="98">
        <v>119.73361428571428</v>
      </c>
      <c r="T249" s="100">
        <f t="shared" si="52"/>
        <v>1.0332695687677158</v>
      </c>
      <c r="U249" s="100">
        <f t="shared" si="53"/>
        <v>0.95564057497637922</v>
      </c>
      <c r="AD249" s="152" t="str">
        <f t="shared" si="38"/>
        <v>Summer</v>
      </c>
      <c r="AE249">
        <f t="shared" si="39"/>
        <v>8</v>
      </c>
      <c r="AF249" s="150">
        <v>50253</v>
      </c>
      <c r="AG249" s="149">
        <v>416</v>
      </c>
      <c r="AH249" s="149">
        <v>328</v>
      </c>
      <c r="AI249">
        <f t="shared" si="40"/>
        <v>26</v>
      </c>
      <c r="AJ249">
        <f t="shared" si="41"/>
        <v>5</v>
      </c>
    </row>
    <row r="250" spans="2:36" x14ac:dyDescent="0.2">
      <c r="B250" s="80">
        <f t="shared" si="44"/>
        <v>53022</v>
      </c>
      <c r="C250" s="73">
        <v>9.1132516326530624</v>
      </c>
      <c r="D250" s="73">
        <v>8.6140937191992748</v>
      </c>
      <c r="E250" s="81">
        <f t="shared" si="49"/>
        <v>2045</v>
      </c>
      <c r="K250">
        <f t="shared" si="45"/>
        <v>3</v>
      </c>
      <c r="L250" s="101">
        <f t="shared" si="50"/>
        <v>2045</v>
      </c>
      <c r="M250" s="76">
        <f t="shared" si="51"/>
        <v>53022</v>
      </c>
      <c r="N250" s="77">
        <v>56.6126</v>
      </c>
      <c r="O250" s="77">
        <v>52.639899999999997</v>
      </c>
      <c r="P250" s="77">
        <v>54.2241</v>
      </c>
      <c r="Q250" s="78">
        <v>53.071800000000003</v>
      </c>
      <c r="S250" s="98">
        <v>52.820681830417222</v>
      </c>
      <c r="T250" s="100">
        <f t="shared" si="52"/>
        <v>0.99657744231705236</v>
      </c>
      <c r="U250" s="100">
        <f t="shared" si="53"/>
        <v>1.0047541637267956</v>
      </c>
      <c r="AD250" s="152" t="str">
        <f t="shared" si="38"/>
        <v>Summer</v>
      </c>
      <c r="AE250">
        <f t="shared" si="39"/>
        <v>9</v>
      </c>
      <c r="AF250" s="150">
        <v>50284</v>
      </c>
      <c r="AG250" s="149">
        <v>400</v>
      </c>
      <c r="AH250" s="149">
        <v>320</v>
      </c>
      <c r="AI250">
        <f t="shared" si="40"/>
        <v>25</v>
      </c>
      <c r="AJ250">
        <f t="shared" si="41"/>
        <v>5</v>
      </c>
    </row>
    <row r="251" spans="2:36" x14ac:dyDescent="0.2">
      <c r="B251" s="80">
        <f t="shared" si="44"/>
        <v>53053</v>
      </c>
      <c r="C251" s="73">
        <v>8.6128434693877569</v>
      </c>
      <c r="D251" s="73">
        <v>8.1102485191246476</v>
      </c>
      <c r="E251" s="81">
        <f t="shared" si="49"/>
        <v>2045</v>
      </c>
      <c r="K251">
        <f t="shared" si="45"/>
        <v>4</v>
      </c>
      <c r="L251" s="101">
        <f t="shared" si="50"/>
        <v>2045</v>
      </c>
      <c r="M251" s="76">
        <f t="shared" si="51"/>
        <v>53053</v>
      </c>
      <c r="N251" s="77">
        <v>44.734299999999998</v>
      </c>
      <c r="O251" s="77">
        <v>34.3521</v>
      </c>
      <c r="P251" s="77">
        <v>37.943600000000004</v>
      </c>
      <c r="Q251" s="78">
        <v>28.184200000000001</v>
      </c>
      <c r="S251" s="98">
        <v>31.610811111111111</v>
      </c>
      <c r="T251" s="100">
        <f t="shared" si="52"/>
        <v>1.0867199794163249</v>
      </c>
      <c r="U251" s="100">
        <f t="shared" si="53"/>
        <v>0.89160002572959396</v>
      </c>
      <c r="AD251" s="152" t="str">
        <f t="shared" si="38"/>
        <v>Winter</v>
      </c>
      <c r="AE251">
        <f t="shared" si="39"/>
        <v>10</v>
      </c>
      <c r="AF251" s="150">
        <v>50314</v>
      </c>
      <c r="AG251" s="149">
        <v>432</v>
      </c>
      <c r="AH251" s="149">
        <v>312</v>
      </c>
      <c r="AI251">
        <f t="shared" si="40"/>
        <v>27</v>
      </c>
      <c r="AJ251">
        <f t="shared" si="41"/>
        <v>4</v>
      </c>
    </row>
    <row r="252" spans="2:36" x14ac:dyDescent="0.2">
      <c r="B252" s="80">
        <f t="shared" si="44"/>
        <v>53083</v>
      </c>
      <c r="C252" s="73">
        <v>8.6627414285714295</v>
      </c>
      <c r="D252" s="73">
        <v>8.0578856166385648</v>
      </c>
      <c r="E252" s="81">
        <f t="shared" si="49"/>
        <v>2045</v>
      </c>
      <c r="K252">
        <f t="shared" si="45"/>
        <v>5</v>
      </c>
      <c r="L252" s="101">
        <f t="shared" si="50"/>
        <v>2045</v>
      </c>
      <c r="M252" s="76">
        <f t="shared" si="51"/>
        <v>53083</v>
      </c>
      <c r="N252" s="77">
        <v>10.121700000000001</v>
      </c>
      <c r="O252" s="77">
        <v>20.018599999999999</v>
      </c>
      <c r="P252" s="77">
        <v>6.9526000000000003</v>
      </c>
      <c r="Q252" s="78">
        <v>20.7974</v>
      </c>
      <c r="S252" s="98">
        <v>20.361941935483873</v>
      </c>
      <c r="T252" s="100">
        <f t="shared" si="52"/>
        <v>0.98313805546780653</v>
      </c>
      <c r="U252" s="100">
        <f t="shared" si="53"/>
        <v>1.0213858808700989</v>
      </c>
      <c r="AD252" s="152" t="str">
        <f t="shared" si="38"/>
        <v>Winter</v>
      </c>
      <c r="AE252">
        <f t="shared" si="39"/>
        <v>11</v>
      </c>
      <c r="AF252" s="150">
        <v>50345</v>
      </c>
      <c r="AG252" s="149">
        <v>384</v>
      </c>
      <c r="AH252" s="149">
        <v>336</v>
      </c>
      <c r="AI252">
        <f t="shared" si="40"/>
        <v>24</v>
      </c>
      <c r="AJ252">
        <f t="shared" si="41"/>
        <v>6</v>
      </c>
    </row>
    <row r="253" spans="2:36" x14ac:dyDescent="0.2">
      <c r="B253" s="80">
        <f t="shared" si="44"/>
        <v>53114</v>
      </c>
      <c r="C253" s="73">
        <v>8.7158026530612247</v>
      </c>
      <c r="D253" s="73">
        <v>8.0437029266619611</v>
      </c>
      <c r="E253" s="81">
        <f t="shared" si="49"/>
        <v>2045</v>
      </c>
      <c r="K253">
        <f t="shared" si="45"/>
        <v>6</v>
      </c>
      <c r="L253" s="101">
        <f t="shared" si="50"/>
        <v>2045</v>
      </c>
      <c r="M253" s="76">
        <f t="shared" si="51"/>
        <v>53114</v>
      </c>
      <c r="N253" s="77">
        <v>21.415600000000001</v>
      </c>
      <c r="O253" s="77">
        <v>41.990699999999997</v>
      </c>
      <c r="P253" s="77">
        <v>23.266100000000002</v>
      </c>
      <c r="Q253" s="78">
        <v>41.029800000000002</v>
      </c>
      <c r="S253" s="98">
        <v>41.584986666666666</v>
      </c>
      <c r="T253" s="100">
        <f t="shared" si="52"/>
        <v>1.0097562453629099</v>
      </c>
      <c r="U253" s="100">
        <f t="shared" si="53"/>
        <v>0.98664934845075503</v>
      </c>
      <c r="AD253" s="152" t="str">
        <f t="shared" si="38"/>
        <v>Winter</v>
      </c>
      <c r="AE253">
        <f t="shared" si="39"/>
        <v>12</v>
      </c>
      <c r="AF253" s="150">
        <v>50375</v>
      </c>
      <c r="AG253" s="149">
        <v>416</v>
      </c>
      <c r="AH253" s="149">
        <v>328</v>
      </c>
      <c r="AI253">
        <f t="shared" si="40"/>
        <v>26</v>
      </c>
      <c r="AJ253">
        <f t="shared" si="41"/>
        <v>5</v>
      </c>
    </row>
    <row r="254" spans="2:36" x14ac:dyDescent="0.2">
      <c r="B254" s="80">
        <f t="shared" si="44"/>
        <v>53144</v>
      </c>
      <c r="C254" s="73">
        <v>8.768047551020409</v>
      </c>
      <c r="D254" s="73">
        <v>8.0904133077805565</v>
      </c>
      <c r="E254" s="81">
        <f t="shared" si="49"/>
        <v>2045</v>
      </c>
      <c r="K254">
        <f t="shared" si="45"/>
        <v>7</v>
      </c>
      <c r="L254" s="101">
        <f t="shared" si="50"/>
        <v>2045</v>
      </c>
      <c r="M254" s="76">
        <f t="shared" si="51"/>
        <v>53144</v>
      </c>
      <c r="N254" s="77">
        <v>79.428700000000006</v>
      </c>
      <c r="O254" s="77">
        <v>80.595799999999997</v>
      </c>
      <c r="P254" s="77">
        <v>77.788799999999995</v>
      </c>
      <c r="Q254" s="78">
        <v>84.790999999999997</v>
      </c>
      <c r="S254" s="98">
        <v>82.535516129032246</v>
      </c>
      <c r="T254" s="100">
        <f t="shared" si="52"/>
        <v>0.97649840674649946</v>
      </c>
      <c r="U254" s="100">
        <f t="shared" si="53"/>
        <v>1.0273274340156986</v>
      </c>
      <c r="AD254" s="152" t="str">
        <f t="shared" si="38"/>
        <v>Winter</v>
      </c>
      <c r="AE254">
        <f t="shared" si="39"/>
        <v>1</v>
      </c>
      <c r="AF254" s="150">
        <v>50406</v>
      </c>
      <c r="AG254" s="149">
        <v>400</v>
      </c>
      <c r="AH254" s="149">
        <v>344</v>
      </c>
      <c r="AI254">
        <f t="shared" si="40"/>
        <v>25</v>
      </c>
      <c r="AJ254">
        <f t="shared" si="41"/>
        <v>6</v>
      </c>
    </row>
    <row r="255" spans="2:36" x14ac:dyDescent="0.2">
      <c r="B255" s="80">
        <f t="shared" si="44"/>
        <v>53175</v>
      </c>
      <c r="C255" s="73">
        <v>8.8580475510204089</v>
      </c>
      <c r="D255" s="73">
        <v>8.4469846329532068</v>
      </c>
      <c r="E255" s="81">
        <f t="shared" si="49"/>
        <v>2045</v>
      </c>
      <c r="K255">
        <f t="shared" si="45"/>
        <v>8</v>
      </c>
      <c r="L255" s="101">
        <f t="shared" si="50"/>
        <v>2045</v>
      </c>
      <c r="M255" s="76">
        <f t="shared" si="51"/>
        <v>53175</v>
      </c>
      <c r="N255" s="77">
        <v>79.794899999999998</v>
      </c>
      <c r="O255" s="77">
        <v>83.000399999999999</v>
      </c>
      <c r="P255" s="77">
        <v>67.828699999999998</v>
      </c>
      <c r="Q255" s="78">
        <v>72.469099999999997</v>
      </c>
      <c r="S255" s="98">
        <v>78.584048387096772</v>
      </c>
      <c r="T255" s="100">
        <f t="shared" si="52"/>
        <v>1.0561990849739471</v>
      </c>
      <c r="U255" s="100">
        <f t="shared" si="53"/>
        <v>0.92218588234376553</v>
      </c>
      <c r="AD255" s="152" t="str">
        <f t="shared" si="38"/>
        <v>Winter</v>
      </c>
      <c r="AE255">
        <f t="shared" si="39"/>
        <v>2</v>
      </c>
      <c r="AF255" s="150">
        <v>50437</v>
      </c>
      <c r="AG255" s="149">
        <v>384</v>
      </c>
      <c r="AH255" s="149">
        <v>288</v>
      </c>
      <c r="AI255">
        <f t="shared" si="40"/>
        <v>24</v>
      </c>
      <c r="AJ255">
        <f t="shared" si="41"/>
        <v>4</v>
      </c>
    </row>
    <row r="256" spans="2:36" x14ac:dyDescent="0.2">
      <c r="B256" s="80">
        <f t="shared" si="44"/>
        <v>53206</v>
      </c>
      <c r="C256" s="73">
        <v>9.159272040816326</v>
      </c>
      <c r="D256" s="73">
        <v>8.51604816675232</v>
      </c>
      <c r="E256" s="81">
        <f t="shared" si="49"/>
        <v>2045</v>
      </c>
      <c r="K256">
        <f t="shared" si="45"/>
        <v>9</v>
      </c>
      <c r="L256" s="101">
        <f t="shared" si="50"/>
        <v>2045</v>
      </c>
      <c r="M256" s="76">
        <f t="shared" si="51"/>
        <v>53206</v>
      </c>
      <c r="N256" s="77">
        <v>73.737399999999994</v>
      </c>
      <c r="O256" s="77">
        <v>75.372</v>
      </c>
      <c r="P256" s="77">
        <v>69.591999999999999</v>
      </c>
      <c r="Q256" s="78">
        <v>74.588300000000004</v>
      </c>
      <c r="S256" s="98">
        <v>75.023688888888884</v>
      </c>
      <c r="T256" s="100">
        <f t="shared" si="52"/>
        <v>1.0046426817485203</v>
      </c>
      <c r="U256" s="100">
        <f t="shared" si="53"/>
        <v>0.99419664781434969</v>
      </c>
      <c r="AD256" s="152" t="str">
        <f t="shared" si="38"/>
        <v>Winter</v>
      </c>
      <c r="AE256">
        <f t="shared" si="39"/>
        <v>3</v>
      </c>
      <c r="AF256" s="150">
        <v>50465</v>
      </c>
      <c r="AG256" s="149">
        <v>432</v>
      </c>
      <c r="AH256" s="149">
        <v>312</v>
      </c>
      <c r="AI256">
        <f t="shared" si="40"/>
        <v>27</v>
      </c>
      <c r="AJ256">
        <f t="shared" si="41"/>
        <v>4</v>
      </c>
    </row>
    <row r="257" spans="2:36" x14ac:dyDescent="0.2">
      <c r="B257" s="80">
        <f t="shared" si="44"/>
        <v>53236</v>
      </c>
      <c r="C257" s="73">
        <v>9.3117210204081626</v>
      </c>
      <c r="D257" s="73">
        <v>8.6998578843114167</v>
      </c>
      <c r="E257" s="81">
        <f t="shared" si="49"/>
        <v>2045</v>
      </c>
      <c r="K257">
        <f t="shared" si="45"/>
        <v>10</v>
      </c>
      <c r="L257" s="101">
        <f t="shared" si="50"/>
        <v>2045</v>
      </c>
      <c r="M257" s="76">
        <f t="shared" si="51"/>
        <v>53236</v>
      </c>
      <c r="N257" s="77">
        <v>63.210599999999999</v>
      </c>
      <c r="O257" s="77">
        <v>52.4968</v>
      </c>
      <c r="P257" s="77">
        <v>60.633499999999998</v>
      </c>
      <c r="Q257" s="78">
        <v>51.4968</v>
      </c>
      <c r="S257" s="98">
        <v>52.055939784946233</v>
      </c>
      <c r="T257" s="100">
        <f t="shared" si="52"/>
        <v>1.0084689704359397</v>
      </c>
      <c r="U257" s="100">
        <f t="shared" si="53"/>
        <v>0.98925886676417418</v>
      </c>
      <c r="AD257" s="152" t="str">
        <f t="shared" si="38"/>
        <v>Winter</v>
      </c>
      <c r="AE257">
        <f t="shared" si="39"/>
        <v>4</v>
      </c>
      <c r="AF257" s="150">
        <v>50496</v>
      </c>
      <c r="AG257" s="149">
        <v>416</v>
      </c>
      <c r="AH257" s="149">
        <v>304</v>
      </c>
      <c r="AI257">
        <f t="shared" si="40"/>
        <v>26</v>
      </c>
      <c r="AJ257">
        <f t="shared" si="41"/>
        <v>4</v>
      </c>
    </row>
    <row r="258" spans="2:36" x14ac:dyDescent="0.2">
      <c r="B258" s="80">
        <f t="shared" si="44"/>
        <v>53267</v>
      </c>
      <c r="C258" s="73">
        <v>9.8519251020408163</v>
      </c>
      <c r="D258" s="73">
        <v>9.4093520890467932</v>
      </c>
      <c r="E258" s="81">
        <f t="shared" si="49"/>
        <v>2045</v>
      </c>
      <c r="K258">
        <f t="shared" si="45"/>
        <v>11</v>
      </c>
      <c r="L258" s="101">
        <f t="shared" si="50"/>
        <v>2045</v>
      </c>
      <c r="M258" s="76">
        <f t="shared" si="51"/>
        <v>53267</v>
      </c>
      <c r="N258" s="77">
        <v>86.733400000000003</v>
      </c>
      <c r="O258" s="77">
        <v>87.179599999999994</v>
      </c>
      <c r="P258" s="77">
        <v>73.218000000000004</v>
      </c>
      <c r="Q258" s="78">
        <v>76.183099999999996</v>
      </c>
      <c r="S258" s="98">
        <v>82.283793481275993</v>
      </c>
      <c r="T258" s="100">
        <f t="shared" si="52"/>
        <v>1.059499037557597</v>
      </c>
      <c r="U258" s="100">
        <f t="shared" si="53"/>
        <v>0.92585789712448985</v>
      </c>
      <c r="AD258" s="152" t="str">
        <f t="shared" ref="AD258:AD313" si="54">IF(AND(AE258&gt;=6,AE258&lt;=9),"Summer","Winter")</f>
        <v>Winter</v>
      </c>
      <c r="AE258">
        <f t="shared" ref="AE258:AE313" si="55">MONTH(AF258)</f>
        <v>5</v>
      </c>
      <c r="AF258" s="150">
        <v>50526</v>
      </c>
      <c r="AG258" s="149">
        <v>400</v>
      </c>
      <c r="AH258" s="149">
        <v>344</v>
      </c>
      <c r="AI258">
        <f t="shared" ref="AI258:AI313" si="56">AG258/16</f>
        <v>25</v>
      </c>
      <c r="AJ258">
        <f t="shared" ref="AJ258:AJ313" si="57">EDATE(AF258,1)-AF258-AI258</f>
        <v>6</v>
      </c>
    </row>
    <row r="259" spans="2:36" x14ac:dyDescent="0.2">
      <c r="B259" s="82">
        <f t="shared" si="44"/>
        <v>53297</v>
      </c>
      <c r="C259" s="83">
        <v>10.137129183673471</v>
      </c>
      <c r="D259" s="83">
        <v>9.5950631092476808</v>
      </c>
      <c r="E259" s="84">
        <f t="shared" si="49"/>
        <v>2045</v>
      </c>
      <c r="K259">
        <f t="shared" si="45"/>
        <v>12</v>
      </c>
      <c r="L259" s="101">
        <f t="shared" si="50"/>
        <v>2045</v>
      </c>
      <c r="M259" s="85">
        <f t="shared" si="51"/>
        <v>53297</v>
      </c>
      <c r="N259" s="86">
        <v>119.84480000000001</v>
      </c>
      <c r="O259" s="86">
        <v>110.1353</v>
      </c>
      <c r="P259" s="86">
        <v>122.9361</v>
      </c>
      <c r="Q259" s="87">
        <v>115.1862</v>
      </c>
      <c r="S259" s="98">
        <v>112.47066236559141</v>
      </c>
      <c r="T259" s="100">
        <f t="shared" si="52"/>
        <v>0.9792358085524544</v>
      </c>
      <c r="U259" s="100">
        <f t="shared" si="53"/>
        <v>1.0241444086599365</v>
      </c>
      <c r="AD259" s="152" t="str">
        <f t="shared" si="54"/>
        <v>Summer</v>
      </c>
      <c r="AE259">
        <f t="shared" si="55"/>
        <v>6</v>
      </c>
      <c r="AF259" s="150">
        <v>50557</v>
      </c>
      <c r="AG259" s="149">
        <v>416</v>
      </c>
      <c r="AH259" s="149">
        <v>304</v>
      </c>
      <c r="AI259">
        <f t="shared" si="56"/>
        <v>26</v>
      </c>
      <c r="AJ259">
        <f t="shared" si="57"/>
        <v>4</v>
      </c>
    </row>
    <row r="260" spans="2:36" x14ac:dyDescent="0.2">
      <c r="AD260" s="152" t="str">
        <f t="shared" si="54"/>
        <v>Summer</v>
      </c>
      <c r="AE260">
        <f t="shared" si="55"/>
        <v>7</v>
      </c>
      <c r="AF260" s="150">
        <v>50587</v>
      </c>
      <c r="AG260" s="149">
        <v>416</v>
      </c>
      <c r="AH260" s="149">
        <v>328</v>
      </c>
      <c r="AI260">
        <f t="shared" si="56"/>
        <v>26</v>
      </c>
      <c r="AJ260">
        <f t="shared" si="57"/>
        <v>5</v>
      </c>
    </row>
    <row r="261" spans="2:36" x14ac:dyDescent="0.2">
      <c r="AD261" s="152" t="str">
        <f t="shared" si="54"/>
        <v>Summer</v>
      </c>
      <c r="AE261">
        <f t="shared" si="55"/>
        <v>8</v>
      </c>
      <c r="AF261" s="150">
        <v>50618</v>
      </c>
      <c r="AG261" s="149">
        <v>416</v>
      </c>
      <c r="AH261" s="149">
        <v>328</v>
      </c>
      <c r="AI261">
        <f t="shared" si="56"/>
        <v>26</v>
      </c>
      <c r="AJ261">
        <f t="shared" si="57"/>
        <v>5</v>
      </c>
    </row>
    <row r="262" spans="2:36" x14ac:dyDescent="0.2">
      <c r="AD262" s="152" t="str">
        <f t="shared" si="54"/>
        <v>Summer</v>
      </c>
      <c r="AE262">
        <f t="shared" si="55"/>
        <v>9</v>
      </c>
      <c r="AF262" s="150">
        <v>50649</v>
      </c>
      <c r="AG262" s="149">
        <v>400</v>
      </c>
      <c r="AH262" s="149">
        <v>320</v>
      </c>
      <c r="AI262">
        <f t="shared" si="56"/>
        <v>25</v>
      </c>
      <c r="AJ262">
        <f t="shared" si="57"/>
        <v>5</v>
      </c>
    </row>
    <row r="263" spans="2:36" x14ac:dyDescent="0.2">
      <c r="C263" s="239" t="s">
        <v>147</v>
      </c>
      <c r="D263" s="92" t="s">
        <v>103</v>
      </c>
      <c r="N263" s="92" t="s">
        <v>47</v>
      </c>
      <c r="O263" s="92" t="s">
        <v>48</v>
      </c>
      <c r="P263" s="92" t="s">
        <v>47</v>
      </c>
      <c r="Q263" s="92" t="s">
        <v>48</v>
      </c>
      <c r="AD263" s="152" t="str">
        <f t="shared" si="54"/>
        <v>Winter</v>
      </c>
      <c r="AE263">
        <f t="shared" si="55"/>
        <v>10</v>
      </c>
      <c r="AF263" s="150">
        <v>50679</v>
      </c>
      <c r="AG263" s="149">
        <v>416</v>
      </c>
      <c r="AH263" s="149">
        <v>328</v>
      </c>
      <c r="AI263">
        <f t="shared" si="56"/>
        <v>26</v>
      </c>
      <c r="AJ263">
        <f t="shared" si="57"/>
        <v>5</v>
      </c>
    </row>
    <row r="264" spans="2:36" x14ac:dyDescent="0.2">
      <c r="C264" s="94">
        <v>44</v>
      </c>
      <c r="D264" s="94">
        <v>43</v>
      </c>
      <c r="N264" s="94">
        <v>7</v>
      </c>
      <c r="O264" s="94">
        <v>6</v>
      </c>
      <c r="P264" s="94">
        <f>N264+8</f>
        <v>15</v>
      </c>
      <c r="Q264" s="94">
        <f>O264+8</f>
        <v>14</v>
      </c>
      <c r="AD264" s="152" t="str">
        <f t="shared" si="54"/>
        <v>Winter</v>
      </c>
      <c r="AE264">
        <f t="shared" si="55"/>
        <v>11</v>
      </c>
      <c r="AF264" s="150">
        <v>50710</v>
      </c>
      <c r="AG264" s="149">
        <v>400</v>
      </c>
      <c r="AH264" s="149">
        <v>320</v>
      </c>
      <c r="AI264">
        <f t="shared" si="56"/>
        <v>25</v>
      </c>
      <c r="AJ264">
        <f t="shared" si="57"/>
        <v>5</v>
      </c>
    </row>
    <row r="265" spans="2:36" x14ac:dyDescent="0.2">
      <c r="M265" s="95"/>
      <c r="AD265" s="152" t="str">
        <f t="shared" si="54"/>
        <v>Winter</v>
      </c>
      <c r="AE265">
        <f t="shared" si="55"/>
        <v>12</v>
      </c>
      <c r="AF265" s="150">
        <v>50740</v>
      </c>
      <c r="AG265" s="149">
        <v>416</v>
      </c>
      <c r="AH265" s="149">
        <v>328</v>
      </c>
      <c r="AI265">
        <f t="shared" si="56"/>
        <v>26</v>
      </c>
      <c r="AJ265">
        <f t="shared" si="57"/>
        <v>5</v>
      </c>
    </row>
    <row r="266" spans="2:36" x14ac:dyDescent="0.2">
      <c r="B266" s="96" t="s">
        <v>50</v>
      </c>
      <c r="C266" s="40">
        <v>0</v>
      </c>
      <c r="D266" s="40">
        <v>0</v>
      </c>
      <c r="M266" s="93" t="s">
        <v>50</v>
      </c>
      <c r="N266" s="97">
        <v>0</v>
      </c>
      <c r="O266" s="97">
        <v>0</v>
      </c>
      <c r="P266" s="97">
        <v>0</v>
      </c>
      <c r="Q266" s="97">
        <v>0</v>
      </c>
      <c r="AD266" s="152" t="str">
        <f t="shared" si="54"/>
        <v>Winter</v>
      </c>
      <c r="AE266">
        <f t="shared" si="55"/>
        <v>1</v>
      </c>
      <c r="AF266" s="150">
        <v>50771</v>
      </c>
      <c r="AG266" s="149">
        <v>400</v>
      </c>
      <c r="AH266" s="149">
        <v>344</v>
      </c>
      <c r="AI266">
        <f t="shared" si="56"/>
        <v>25</v>
      </c>
      <c r="AJ266">
        <f t="shared" si="57"/>
        <v>6</v>
      </c>
    </row>
    <row r="267" spans="2:36" x14ac:dyDescent="0.2">
      <c r="AD267" s="152" t="str">
        <f t="shared" si="54"/>
        <v>Winter</v>
      </c>
      <c r="AE267">
        <f t="shared" si="55"/>
        <v>2</v>
      </c>
      <c r="AF267" s="150">
        <v>50802</v>
      </c>
      <c r="AG267" s="149">
        <v>384</v>
      </c>
      <c r="AH267" s="149">
        <v>288</v>
      </c>
      <c r="AI267">
        <f t="shared" si="56"/>
        <v>24</v>
      </c>
      <c r="AJ267">
        <f t="shared" si="57"/>
        <v>4</v>
      </c>
    </row>
    <row r="268" spans="2:36" x14ac:dyDescent="0.2">
      <c r="AD268" s="152" t="str">
        <f t="shared" si="54"/>
        <v>Winter</v>
      </c>
      <c r="AE268">
        <f t="shared" si="55"/>
        <v>3</v>
      </c>
      <c r="AF268" s="150">
        <v>50830</v>
      </c>
      <c r="AG268" s="149">
        <v>432</v>
      </c>
      <c r="AH268" s="149">
        <v>312</v>
      </c>
      <c r="AI268">
        <f t="shared" si="56"/>
        <v>27</v>
      </c>
      <c r="AJ268">
        <f t="shared" si="57"/>
        <v>4</v>
      </c>
    </row>
    <row r="269" spans="2:36" x14ac:dyDescent="0.2">
      <c r="AD269" s="152" t="str">
        <f t="shared" si="54"/>
        <v>Winter</v>
      </c>
      <c r="AE269">
        <f t="shared" si="55"/>
        <v>4</v>
      </c>
      <c r="AF269" s="150">
        <v>50861</v>
      </c>
      <c r="AG269" s="149">
        <v>416</v>
      </c>
      <c r="AH269" s="149">
        <v>304</v>
      </c>
      <c r="AI269">
        <f t="shared" si="56"/>
        <v>26</v>
      </c>
      <c r="AJ269">
        <f t="shared" si="57"/>
        <v>4</v>
      </c>
    </row>
    <row r="270" spans="2:36" x14ac:dyDescent="0.2">
      <c r="AD270" s="152" t="str">
        <f t="shared" si="54"/>
        <v>Winter</v>
      </c>
      <c r="AE270">
        <f t="shared" si="55"/>
        <v>5</v>
      </c>
      <c r="AF270" s="150">
        <v>50891</v>
      </c>
      <c r="AG270" s="149">
        <v>400</v>
      </c>
      <c r="AH270" s="149">
        <v>344</v>
      </c>
      <c r="AI270">
        <f t="shared" si="56"/>
        <v>25</v>
      </c>
      <c r="AJ270">
        <f t="shared" si="57"/>
        <v>6</v>
      </c>
    </row>
    <row r="271" spans="2:36" x14ac:dyDescent="0.2">
      <c r="AD271" s="152" t="str">
        <f t="shared" si="54"/>
        <v>Summer</v>
      </c>
      <c r="AE271">
        <f t="shared" si="55"/>
        <v>6</v>
      </c>
      <c r="AF271" s="150">
        <v>50922</v>
      </c>
      <c r="AG271" s="149">
        <v>416</v>
      </c>
      <c r="AH271" s="149">
        <v>304</v>
      </c>
      <c r="AI271">
        <f t="shared" si="56"/>
        <v>26</v>
      </c>
      <c r="AJ271">
        <f t="shared" si="57"/>
        <v>4</v>
      </c>
    </row>
    <row r="272" spans="2:36" x14ac:dyDescent="0.2">
      <c r="AD272" s="152" t="str">
        <f t="shared" si="54"/>
        <v>Summer</v>
      </c>
      <c r="AE272">
        <f t="shared" si="55"/>
        <v>7</v>
      </c>
      <c r="AF272" s="150">
        <v>50952</v>
      </c>
      <c r="AG272" s="149">
        <v>400</v>
      </c>
      <c r="AH272" s="149">
        <v>344</v>
      </c>
      <c r="AI272">
        <f t="shared" si="56"/>
        <v>25</v>
      </c>
      <c r="AJ272">
        <f t="shared" si="57"/>
        <v>6</v>
      </c>
    </row>
    <row r="273" spans="30:36" x14ac:dyDescent="0.2">
      <c r="AD273" s="152" t="str">
        <f t="shared" si="54"/>
        <v>Summer</v>
      </c>
      <c r="AE273">
        <f t="shared" si="55"/>
        <v>8</v>
      </c>
      <c r="AF273" s="150">
        <v>50983</v>
      </c>
      <c r="AG273" s="149">
        <v>432</v>
      </c>
      <c r="AH273" s="149">
        <v>312</v>
      </c>
      <c r="AI273">
        <f t="shared" si="56"/>
        <v>27</v>
      </c>
      <c r="AJ273">
        <f t="shared" si="57"/>
        <v>4</v>
      </c>
    </row>
    <row r="274" spans="30:36" x14ac:dyDescent="0.2">
      <c r="AD274" s="152" t="str">
        <f t="shared" si="54"/>
        <v>Summer</v>
      </c>
      <c r="AE274">
        <f t="shared" si="55"/>
        <v>9</v>
      </c>
      <c r="AF274" s="150">
        <v>51014</v>
      </c>
      <c r="AG274" s="149">
        <v>400</v>
      </c>
      <c r="AH274" s="149">
        <v>320</v>
      </c>
      <c r="AI274">
        <f t="shared" si="56"/>
        <v>25</v>
      </c>
      <c r="AJ274">
        <f t="shared" si="57"/>
        <v>5</v>
      </c>
    </row>
    <row r="275" spans="30:36" x14ac:dyDescent="0.2">
      <c r="AD275" s="152" t="str">
        <f t="shared" si="54"/>
        <v>Winter</v>
      </c>
      <c r="AE275">
        <f t="shared" si="55"/>
        <v>10</v>
      </c>
      <c r="AF275" s="150">
        <v>51044</v>
      </c>
      <c r="AG275" s="149">
        <v>416</v>
      </c>
      <c r="AH275" s="149">
        <v>328</v>
      </c>
      <c r="AI275">
        <f t="shared" si="56"/>
        <v>26</v>
      </c>
      <c r="AJ275">
        <f t="shared" si="57"/>
        <v>5</v>
      </c>
    </row>
    <row r="276" spans="30:36" x14ac:dyDescent="0.2">
      <c r="AD276" s="152" t="str">
        <f t="shared" si="54"/>
        <v>Winter</v>
      </c>
      <c r="AE276">
        <f t="shared" si="55"/>
        <v>11</v>
      </c>
      <c r="AF276" s="150">
        <v>51075</v>
      </c>
      <c r="AG276" s="149">
        <v>400</v>
      </c>
      <c r="AH276" s="149">
        <v>320</v>
      </c>
      <c r="AI276">
        <f t="shared" si="56"/>
        <v>25</v>
      </c>
      <c r="AJ276">
        <f t="shared" si="57"/>
        <v>5</v>
      </c>
    </row>
    <row r="277" spans="30:36" x14ac:dyDescent="0.2">
      <c r="AD277" s="152" t="str">
        <f t="shared" si="54"/>
        <v>Winter</v>
      </c>
      <c r="AE277">
        <f t="shared" si="55"/>
        <v>12</v>
      </c>
      <c r="AF277" s="150">
        <v>51105</v>
      </c>
      <c r="AG277" s="149">
        <v>416</v>
      </c>
      <c r="AH277" s="149">
        <v>328</v>
      </c>
      <c r="AI277">
        <f t="shared" si="56"/>
        <v>26</v>
      </c>
      <c r="AJ277">
        <f t="shared" si="57"/>
        <v>5</v>
      </c>
    </row>
    <row r="278" spans="30:36" x14ac:dyDescent="0.2">
      <c r="AD278" s="152" t="str">
        <f t="shared" si="54"/>
        <v>Winter</v>
      </c>
      <c r="AE278">
        <f t="shared" si="55"/>
        <v>1</v>
      </c>
      <c r="AF278" s="150">
        <v>51136</v>
      </c>
      <c r="AG278" s="149">
        <v>400</v>
      </c>
      <c r="AH278" s="149">
        <v>344</v>
      </c>
      <c r="AI278">
        <f t="shared" si="56"/>
        <v>25</v>
      </c>
      <c r="AJ278">
        <f t="shared" si="57"/>
        <v>6</v>
      </c>
    </row>
    <row r="279" spans="30:36" x14ac:dyDescent="0.2">
      <c r="AD279" s="152" t="str">
        <f t="shared" si="54"/>
        <v>Winter</v>
      </c>
      <c r="AE279">
        <f t="shared" si="55"/>
        <v>2</v>
      </c>
      <c r="AF279" s="150">
        <v>51167</v>
      </c>
      <c r="AG279" s="149">
        <v>400</v>
      </c>
      <c r="AH279" s="149">
        <v>296</v>
      </c>
      <c r="AI279">
        <f t="shared" si="56"/>
        <v>25</v>
      </c>
      <c r="AJ279">
        <f t="shared" si="57"/>
        <v>4</v>
      </c>
    </row>
    <row r="280" spans="30:36" x14ac:dyDescent="0.2">
      <c r="AD280" s="152" t="str">
        <f t="shared" si="54"/>
        <v>Winter</v>
      </c>
      <c r="AE280">
        <f t="shared" si="55"/>
        <v>3</v>
      </c>
      <c r="AF280" s="150">
        <v>51196</v>
      </c>
      <c r="AG280" s="149">
        <v>432</v>
      </c>
      <c r="AH280" s="149">
        <v>312</v>
      </c>
      <c r="AI280">
        <f t="shared" si="56"/>
        <v>27</v>
      </c>
      <c r="AJ280">
        <f t="shared" si="57"/>
        <v>4</v>
      </c>
    </row>
    <row r="281" spans="30:36" x14ac:dyDescent="0.2">
      <c r="AD281" s="152" t="str">
        <f t="shared" si="54"/>
        <v>Winter</v>
      </c>
      <c r="AE281">
        <f t="shared" si="55"/>
        <v>4</v>
      </c>
      <c r="AF281" s="150">
        <v>51227</v>
      </c>
      <c r="AG281" s="149">
        <v>400</v>
      </c>
      <c r="AH281" s="149">
        <v>320</v>
      </c>
      <c r="AI281">
        <f t="shared" si="56"/>
        <v>25</v>
      </c>
      <c r="AJ281">
        <f t="shared" si="57"/>
        <v>5</v>
      </c>
    </row>
    <row r="282" spans="30:36" x14ac:dyDescent="0.2">
      <c r="AD282" s="152" t="str">
        <f t="shared" si="54"/>
        <v>Winter</v>
      </c>
      <c r="AE282">
        <f t="shared" si="55"/>
        <v>5</v>
      </c>
      <c r="AF282" s="150">
        <v>51257</v>
      </c>
      <c r="AG282" s="149">
        <v>416</v>
      </c>
      <c r="AH282" s="149">
        <v>328</v>
      </c>
      <c r="AI282">
        <f t="shared" si="56"/>
        <v>26</v>
      </c>
      <c r="AJ282">
        <f t="shared" si="57"/>
        <v>5</v>
      </c>
    </row>
    <row r="283" spans="30:36" x14ac:dyDescent="0.2">
      <c r="AD283" s="152" t="str">
        <f t="shared" si="54"/>
        <v>Summer</v>
      </c>
      <c r="AE283">
        <f t="shared" si="55"/>
        <v>6</v>
      </c>
      <c r="AF283" s="150">
        <v>51288</v>
      </c>
      <c r="AG283" s="149">
        <v>416</v>
      </c>
      <c r="AH283" s="149">
        <v>304</v>
      </c>
      <c r="AI283">
        <f t="shared" si="56"/>
        <v>26</v>
      </c>
      <c r="AJ283">
        <f t="shared" si="57"/>
        <v>4</v>
      </c>
    </row>
    <row r="284" spans="30:36" x14ac:dyDescent="0.2">
      <c r="AD284" s="152" t="str">
        <f t="shared" si="54"/>
        <v>Summer</v>
      </c>
      <c r="AE284">
        <f t="shared" si="55"/>
        <v>7</v>
      </c>
      <c r="AF284" s="150">
        <v>51318</v>
      </c>
      <c r="AG284" s="149">
        <v>400</v>
      </c>
      <c r="AH284" s="149">
        <v>344</v>
      </c>
      <c r="AI284">
        <f t="shared" si="56"/>
        <v>25</v>
      </c>
      <c r="AJ284">
        <f t="shared" si="57"/>
        <v>6</v>
      </c>
    </row>
    <row r="285" spans="30:36" x14ac:dyDescent="0.2">
      <c r="AD285" s="152" t="str">
        <f t="shared" si="54"/>
        <v>Summer</v>
      </c>
      <c r="AE285">
        <f t="shared" si="55"/>
        <v>8</v>
      </c>
      <c r="AF285" s="150">
        <v>51349</v>
      </c>
      <c r="AG285" s="149">
        <v>432</v>
      </c>
      <c r="AH285" s="149">
        <v>312</v>
      </c>
      <c r="AI285">
        <f t="shared" si="56"/>
        <v>27</v>
      </c>
      <c r="AJ285">
        <f t="shared" si="57"/>
        <v>4</v>
      </c>
    </row>
    <row r="286" spans="30:36" x14ac:dyDescent="0.2">
      <c r="AD286" s="152" t="str">
        <f t="shared" si="54"/>
        <v>Summer</v>
      </c>
      <c r="AE286">
        <f t="shared" si="55"/>
        <v>9</v>
      </c>
      <c r="AF286" s="150">
        <v>51380</v>
      </c>
      <c r="AG286" s="149">
        <v>384</v>
      </c>
      <c r="AH286" s="149">
        <v>336</v>
      </c>
      <c r="AI286">
        <f t="shared" si="56"/>
        <v>24</v>
      </c>
      <c r="AJ286">
        <f t="shared" si="57"/>
        <v>6</v>
      </c>
    </row>
    <row r="287" spans="30:36" x14ac:dyDescent="0.2">
      <c r="AD287" s="152" t="str">
        <f t="shared" si="54"/>
        <v>Winter</v>
      </c>
      <c r="AE287">
        <f t="shared" si="55"/>
        <v>10</v>
      </c>
      <c r="AF287" s="150">
        <v>51410</v>
      </c>
      <c r="AG287" s="149">
        <v>432</v>
      </c>
      <c r="AH287" s="149">
        <v>312</v>
      </c>
      <c r="AI287">
        <f t="shared" si="56"/>
        <v>27</v>
      </c>
      <c r="AJ287">
        <f t="shared" si="57"/>
        <v>4</v>
      </c>
    </row>
    <row r="288" spans="30:36" x14ac:dyDescent="0.2">
      <c r="AD288" s="152" t="str">
        <f t="shared" si="54"/>
        <v>Winter</v>
      </c>
      <c r="AE288">
        <f t="shared" si="55"/>
        <v>11</v>
      </c>
      <c r="AF288" s="150">
        <v>51441</v>
      </c>
      <c r="AG288" s="149">
        <v>400</v>
      </c>
      <c r="AH288" s="149">
        <v>320</v>
      </c>
      <c r="AI288">
        <f t="shared" si="56"/>
        <v>25</v>
      </c>
      <c r="AJ288">
        <f t="shared" si="57"/>
        <v>5</v>
      </c>
    </row>
    <row r="289" spans="30:36" x14ac:dyDescent="0.2">
      <c r="AD289" s="152" t="str">
        <f t="shared" si="54"/>
        <v>Winter</v>
      </c>
      <c r="AE289">
        <f t="shared" si="55"/>
        <v>12</v>
      </c>
      <c r="AF289" s="150">
        <v>51471</v>
      </c>
      <c r="AG289" s="149">
        <v>400</v>
      </c>
      <c r="AH289" s="149">
        <v>344</v>
      </c>
      <c r="AI289">
        <f t="shared" si="56"/>
        <v>25</v>
      </c>
      <c r="AJ289">
        <f t="shared" si="57"/>
        <v>6</v>
      </c>
    </row>
    <row r="290" spans="30:36" x14ac:dyDescent="0.2">
      <c r="AD290" s="152" t="str">
        <f t="shared" si="54"/>
        <v>Winter</v>
      </c>
      <c r="AE290">
        <f t="shared" si="55"/>
        <v>1</v>
      </c>
      <c r="AF290" s="150">
        <v>51502</v>
      </c>
      <c r="AG290" s="149">
        <v>416</v>
      </c>
      <c r="AH290" s="149">
        <v>328</v>
      </c>
      <c r="AI290">
        <f t="shared" si="56"/>
        <v>26</v>
      </c>
      <c r="AJ290">
        <f t="shared" si="57"/>
        <v>5</v>
      </c>
    </row>
    <row r="291" spans="30:36" x14ac:dyDescent="0.2">
      <c r="AD291" s="152" t="str">
        <f t="shared" si="54"/>
        <v>Winter</v>
      </c>
      <c r="AE291">
        <f t="shared" si="55"/>
        <v>2</v>
      </c>
      <c r="AF291" s="150">
        <v>51533</v>
      </c>
      <c r="AG291" s="149">
        <v>384</v>
      </c>
      <c r="AH291" s="149">
        <v>288</v>
      </c>
      <c r="AI291">
        <f t="shared" si="56"/>
        <v>24</v>
      </c>
      <c r="AJ291">
        <f t="shared" si="57"/>
        <v>4</v>
      </c>
    </row>
    <row r="292" spans="30:36" x14ac:dyDescent="0.2">
      <c r="AD292" s="152" t="str">
        <f t="shared" si="54"/>
        <v>Winter</v>
      </c>
      <c r="AE292">
        <f t="shared" si="55"/>
        <v>3</v>
      </c>
      <c r="AF292" s="150">
        <v>51561</v>
      </c>
      <c r="AG292" s="149">
        <v>416</v>
      </c>
      <c r="AH292" s="149">
        <v>328</v>
      </c>
      <c r="AI292">
        <f t="shared" si="56"/>
        <v>26</v>
      </c>
      <c r="AJ292">
        <f t="shared" si="57"/>
        <v>5</v>
      </c>
    </row>
    <row r="293" spans="30:36" x14ac:dyDescent="0.2">
      <c r="AD293" s="152" t="str">
        <f t="shared" si="54"/>
        <v>Winter</v>
      </c>
      <c r="AE293">
        <f t="shared" si="55"/>
        <v>4</v>
      </c>
      <c r="AF293" s="150">
        <v>51592</v>
      </c>
      <c r="AG293" s="149">
        <v>416</v>
      </c>
      <c r="AH293" s="149">
        <v>304</v>
      </c>
      <c r="AI293">
        <f t="shared" si="56"/>
        <v>26</v>
      </c>
      <c r="AJ293">
        <f t="shared" si="57"/>
        <v>4</v>
      </c>
    </row>
    <row r="294" spans="30:36" x14ac:dyDescent="0.2">
      <c r="AD294" s="152" t="str">
        <f t="shared" si="54"/>
        <v>Winter</v>
      </c>
      <c r="AE294">
        <f t="shared" si="55"/>
        <v>5</v>
      </c>
      <c r="AF294" s="150">
        <v>51622</v>
      </c>
      <c r="AG294" s="149">
        <v>416</v>
      </c>
      <c r="AH294" s="149">
        <v>328</v>
      </c>
      <c r="AI294">
        <f t="shared" si="56"/>
        <v>26</v>
      </c>
      <c r="AJ294">
        <f t="shared" si="57"/>
        <v>5</v>
      </c>
    </row>
    <row r="295" spans="30:36" x14ac:dyDescent="0.2">
      <c r="AD295" s="152" t="str">
        <f t="shared" si="54"/>
        <v>Summer</v>
      </c>
      <c r="AE295">
        <f t="shared" si="55"/>
        <v>6</v>
      </c>
      <c r="AF295" s="150">
        <v>51653</v>
      </c>
      <c r="AG295" s="149">
        <v>400</v>
      </c>
      <c r="AH295" s="149">
        <v>320</v>
      </c>
      <c r="AI295">
        <f t="shared" si="56"/>
        <v>25</v>
      </c>
      <c r="AJ295">
        <f t="shared" si="57"/>
        <v>5</v>
      </c>
    </row>
    <row r="296" spans="30:36" x14ac:dyDescent="0.2">
      <c r="AD296" s="152" t="str">
        <f t="shared" si="54"/>
        <v>Summer</v>
      </c>
      <c r="AE296">
        <f t="shared" si="55"/>
        <v>7</v>
      </c>
      <c r="AF296" s="150">
        <v>51683</v>
      </c>
      <c r="AG296" s="149">
        <v>416</v>
      </c>
      <c r="AH296" s="149">
        <v>328</v>
      </c>
      <c r="AI296">
        <f t="shared" si="56"/>
        <v>26</v>
      </c>
      <c r="AJ296">
        <f t="shared" si="57"/>
        <v>5</v>
      </c>
    </row>
    <row r="297" spans="30:36" x14ac:dyDescent="0.2">
      <c r="AD297" s="152" t="str">
        <f t="shared" si="54"/>
        <v>Summer</v>
      </c>
      <c r="AE297">
        <f t="shared" si="55"/>
        <v>8</v>
      </c>
      <c r="AF297" s="150">
        <v>51714</v>
      </c>
      <c r="AG297" s="149">
        <v>432</v>
      </c>
      <c r="AH297" s="149">
        <v>312</v>
      </c>
      <c r="AI297">
        <f t="shared" si="56"/>
        <v>27</v>
      </c>
      <c r="AJ297">
        <f t="shared" si="57"/>
        <v>4</v>
      </c>
    </row>
    <row r="298" spans="30:36" x14ac:dyDescent="0.2">
      <c r="AD298" s="152" t="str">
        <f t="shared" si="54"/>
        <v>Summer</v>
      </c>
      <c r="AE298">
        <f t="shared" si="55"/>
        <v>9</v>
      </c>
      <c r="AF298" s="150">
        <v>51745</v>
      </c>
      <c r="AG298" s="149">
        <v>384</v>
      </c>
      <c r="AH298" s="149">
        <v>336</v>
      </c>
      <c r="AI298">
        <f t="shared" si="56"/>
        <v>24</v>
      </c>
      <c r="AJ298">
        <f t="shared" si="57"/>
        <v>6</v>
      </c>
    </row>
    <row r="299" spans="30:36" x14ac:dyDescent="0.2">
      <c r="AD299" s="152" t="str">
        <f t="shared" si="54"/>
        <v>Winter</v>
      </c>
      <c r="AE299">
        <f t="shared" si="55"/>
        <v>10</v>
      </c>
      <c r="AF299" s="150">
        <v>51775</v>
      </c>
      <c r="AG299" s="149">
        <v>432</v>
      </c>
      <c r="AH299" s="149">
        <v>312</v>
      </c>
      <c r="AI299">
        <f t="shared" si="56"/>
        <v>27</v>
      </c>
      <c r="AJ299">
        <f t="shared" si="57"/>
        <v>4</v>
      </c>
    </row>
    <row r="300" spans="30:36" x14ac:dyDescent="0.2">
      <c r="AD300" s="152" t="str">
        <f t="shared" si="54"/>
        <v>Winter</v>
      </c>
      <c r="AE300">
        <f t="shared" si="55"/>
        <v>11</v>
      </c>
      <c r="AF300" s="150">
        <v>51806</v>
      </c>
      <c r="AG300" s="149">
        <v>400</v>
      </c>
      <c r="AH300" s="149">
        <v>320</v>
      </c>
      <c r="AI300">
        <f t="shared" si="56"/>
        <v>25</v>
      </c>
      <c r="AJ300">
        <f t="shared" si="57"/>
        <v>5</v>
      </c>
    </row>
    <row r="301" spans="30:36" x14ac:dyDescent="0.2">
      <c r="AD301" s="152" t="str">
        <f t="shared" si="54"/>
        <v>Winter</v>
      </c>
      <c r="AE301">
        <f t="shared" si="55"/>
        <v>12</v>
      </c>
      <c r="AF301" s="150">
        <v>51836</v>
      </c>
      <c r="AG301" s="149">
        <v>400</v>
      </c>
      <c r="AH301" s="149">
        <v>344</v>
      </c>
      <c r="AI301">
        <f t="shared" si="56"/>
        <v>25</v>
      </c>
      <c r="AJ301">
        <f t="shared" si="57"/>
        <v>6</v>
      </c>
    </row>
    <row r="302" spans="30:36" x14ac:dyDescent="0.2">
      <c r="AD302" s="152" t="str">
        <f t="shared" si="54"/>
        <v>Winter</v>
      </c>
      <c r="AE302">
        <f t="shared" si="55"/>
        <v>1</v>
      </c>
      <c r="AF302" s="150">
        <v>51867</v>
      </c>
      <c r="AG302" s="149">
        <v>416</v>
      </c>
      <c r="AH302" s="149">
        <v>328</v>
      </c>
      <c r="AI302">
        <f t="shared" si="56"/>
        <v>26</v>
      </c>
      <c r="AJ302">
        <f t="shared" si="57"/>
        <v>5</v>
      </c>
    </row>
    <row r="303" spans="30:36" x14ac:dyDescent="0.2">
      <c r="AD303" s="152" t="str">
        <f t="shared" si="54"/>
        <v>Winter</v>
      </c>
      <c r="AE303">
        <f t="shared" si="55"/>
        <v>2</v>
      </c>
      <c r="AF303" s="150">
        <v>51898</v>
      </c>
      <c r="AG303" s="149">
        <v>384</v>
      </c>
      <c r="AH303" s="149">
        <v>288</v>
      </c>
      <c r="AI303">
        <f t="shared" si="56"/>
        <v>24</v>
      </c>
      <c r="AJ303">
        <f t="shared" si="57"/>
        <v>4</v>
      </c>
    </row>
    <row r="304" spans="30:36" x14ac:dyDescent="0.2">
      <c r="AD304" s="152" t="str">
        <f t="shared" si="54"/>
        <v>Winter</v>
      </c>
      <c r="AE304">
        <f t="shared" si="55"/>
        <v>3</v>
      </c>
      <c r="AF304" s="150">
        <v>51926</v>
      </c>
      <c r="AG304" s="149">
        <v>416</v>
      </c>
      <c r="AH304" s="149">
        <v>328</v>
      </c>
      <c r="AI304">
        <f t="shared" si="56"/>
        <v>26</v>
      </c>
      <c r="AJ304">
        <f t="shared" si="57"/>
        <v>5</v>
      </c>
    </row>
    <row r="305" spans="30:36" x14ac:dyDescent="0.2">
      <c r="AD305" s="152" t="str">
        <f t="shared" si="54"/>
        <v>Winter</v>
      </c>
      <c r="AE305">
        <f t="shared" si="55"/>
        <v>4</v>
      </c>
      <c r="AF305" s="150">
        <v>51957</v>
      </c>
      <c r="AG305" s="149">
        <v>416</v>
      </c>
      <c r="AH305" s="149">
        <v>304</v>
      </c>
      <c r="AI305">
        <f t="shared" si="56"/>
        <v>26</v>
      </c>
      <c r="AJ305">
        <f t="shared" si="57"/>
        <v>4</v>
      </c>
    </row>
    <row r="306" spans="30:36" x14ac:dyDescent="0.2">
      <c r="AD306" s="152" t="str">
        <f t="shared" si="54"/>
        <v>Winter</v>
      </c>
      <c r="AE306">
        <f t="shared" si="55"/>
        <v>5</v>
      </c>
      <c r="AF306" s="150">
        <v>51987</v>
      </c>
      <c r="AG306" s="149">
        <v>416</v>
      </c>
      <c r="AH306" s="149">
        <v>328</v>
      </c>
      <c r="AI306">
        <f t="shared" si="56"/>
        <v>26</v>
      </c>
      <c r="AJ306">
        <f t="shared" si="57"/>
        <v>5</v>
      </c>
    </row>
    <row r="307" spans="30:36" x14ac:dyDescent="0.2">
      <c r="AD307" s="152" t="str">
        <f t="shared" si="54"/>
        <v>Summer</v>
      </c>
      <c r="AE307">
        <f t="shared" si="55"/>
        <v>6</v>
      </c>
      <c r="AF307" s="150">
        <v>52018</v>
      </c>
      <c r="AG307" s="149">
        <v>400</v>
      </c>
      <c r="AH307" s="149">
        <v>320</v>
      </c>
      <c r="AI307">
        <f t="shared" si="56"/>
        <v>25</v>
      </c>
      <c r="AJ307">
        <f t="shared" si="57"/>
        <v>5</v>
      </c>
    </row>
    <row r="308" spans="30:36" x14ac:dyDescent="0.2">
      <c r="AD308" s="152" t="str">
        <f t="shared" si="54"/>
        <v>Summer</v>
      </c>
      <c r="AE308">
        <f t="shared" si="55"/>
        <v>7</v>
      </c>
      <c r="AF308" s="150">
        <v>52048</v>
      </c>
      <c r="AG308" s="149">
        <v>416</v>
      </c>
      <c r="AH308" s="149">
        <v>328</v>
      </c>
      <c r="AI308">
        <f t="shared" si="56"/>
        <v>26</v>
      </c>
      <c r="AJ308">
        <f t="shared" si="57"/>
        <v>5</v>
      </c>
    </row>
    <row r="309" spans="30:36" x14ac:dyDescent="0.2">
      <c r="AD309" s="152" t="str">
        <f t="shared" si="54"/>
        <v>Summer</v>
      </c>
      <c r="AE309">
        <f t="shared" si="55"/>
        <v>8</v>
      </c>
      <c r="AF309" s="150">
        <v>52079</v>
      </c>
      <c r="AG309" s="149">
        <v>416</v>
      </c>
      <c r="AH309" s="149">
        <v>328</v>
      </c>
      <c r="AI309">
        <f t="shared" si="56"/>
        <v>26</v>
      </c>
      <c r="AJ309">
        <f t="shared" si="57"/>
        <v>5</v>
      </c>
    </row>
    <row r="310" spans="30:36" x14ac:dyDescent="0.2">
      <c r="AD310" s="152" t="str">
        <f t="shared" si="54"/>
        <v>Summer</v>
      </c>
      <c r="AE310">
        <f t="shared" si="55"/>
        <v>9</v>
      </c>
      <c r="AF310" s="150">
        <v>52110</v>
      </c>
      <c r="AG310" s="149">
        <v>400</v>
      </c>
      <c r="AH310" s="149">
        <v>320</v>
      </c>
      <c r="AI310">
        <f t="shared" si="56"/>
        <v>25</v>
      </c>
      <c r="AJ310">
        <f t="shared" si="57"/>
        <v>5</v>
      </c>
    </row>
    <row r="311" spans="30:36" x14ac:dyDescent="0.2">
      <c r="AD311" s="152" t="str">
        <f t="shared" si="54"/>
        <v>Winter</v>
      </c>
      <c r="AE311">
        <f t="shared" si="55"/>
        <v>10</v>
      </c>
      <c r="AF311" s="150">
        <v>52140</v>
      </c>
      <c r="AG311" s="149">
        <v>432</v>
      </c>
      <c r="AH311" s="149">
        <v>312</v>
      </c>
      <c r="AI311">
        <f t="shared" si="56"/>
        <v>27</v>
      </c>
      <c r="AJ311">
        <f t="shared" si="57"/>
        <v>4</v>
      </c>
    </row>
    <row r="312" spans="30:36" x14ac:dyDescent="0.2">
      <c r="AD312" s="152" t="str">
        <f t="shared" si="54"/>
        <v>Winter</v>
      </c>
      <c r="AE312">
        <f t="shared" si="55"/>
        <v>11</v>
      </c>
      <c r="AF312" s="150">
        <v>52171</v>
      </c>
      <c r="AG312" s="149">
        <v>384</v>
      </c>
      <c r="AH312" s="149">
        <v>336</v>
      </c>
      <c r="AI312">
        <f t="shared" si="56"/>
        <v>24</v>
      </c>
      <c r="AJ312">
        <f t="shared" si="57"/>
        <v>6</v>
      </c>
    </row>
    <row r="313" spans="30:36" x14ac:dyDescent="0.2">
      <c r="AD313" s="152" t="str">
        <f t="shared" si="54"/>
        <v>Winter</v>
      </c>
      <c r="AE313">
        <f t="shared" si="55"/>
        <v>12</v>
      </c>
      <c r="AF313" s="150">
        <v>52201</v>
      </c>
      <c r="AG313" s="149">
        <v>416</v>
      </c>
      <c r="AH313" s="149">
        <v>328</v>
      </c>
      <c r="AI313">
        <f t="shared" si="56"/>
        <v>26</v>
      </c>
      <c r="AJ313">
        <f t="shared" si="57"/>
        <v>5</v>
      </c>
    </row>
  </sheetData>
  <printOptions horizontalCentered="1"/>
  <pageMargins left="0.3" right="0.3" top="0.8" bottom="0.4" header="0.5" footer="0.2"/>
  <pageSetup scale="15" fitToHeight="20" orientation="landscape" r:id="rId1"/>
  <headerFooter alignWithMargins="0">
    <oddFooter>&amp;L&amp;8ljh    &amp;F   ( &amp;A ) &amp;C &amp;R &amp;8&amp;D  &amp;T</oddFooter>
  </headerFooter>
  <rowBreaks count="1" manualBreakCount="1">
    <brk id="26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EF4EF-39F0-4304-9ED7-A0E008312AA6}">
  <dimension ref="A1:X153"/>
  <sheetViews>
    <sheetView view="pageBreakPreview" zoomScale="60" zoomScaleNormal="60" workbookViewId="0">
      <pane xSplit="2" ySplit="5" topLeftCell="D63" activePane="bottomRight" state="frozen"/>
      <selection activeCell="C28" sqref="C28"/>
      <selection pane="topRight" activeCell="C28" sqref="C28"/>
      <selection pane="bottomLeft" activeCell="C28" sqref="C28"/>
      <selection pane="bottomRight" activeCell="C28" sqref="C28"/>
    </sheetView>
  </sheetViews>
  <sheetFormatPr defaultRowHeight="12.75" x14ac:dyDescent="0.2"/>
  <cols>
    <col min="2" max="2" width="37.1640625" customWidth="1"/>
    <col min="5" max="24" width="15.83203125" customWidth="1"/>
  </cols>
  <sheetData>
    <row r="1" spans="1:24" ht="15.75" x14ac:dyDescent="0.2">
      <c r="B1" s="313" t="s">
        <v>269</v>
      </c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  <c r="U1" s="313"/>
      <c r="V1" s="313"/>
      <c r="W1" s="313"/>
    </row>
    <row r="2" spans="1:24" ht="15.75" x14ac:dyDescent="0.2">
      <c r="B2" s="313" t="s">
        <v>244</v>
      </c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</row>
    <row r="3" spans="1:24" ht="16.5" thickBot="1" x14ac:dyDescent="0.25">
      <c r="B3" s="313" t="s">
        <v>241</v>
      </c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13"/>
      <c r="R3" s="313"/>
      <c r="S3" s="313"/>
      <c r="T3" s="313"/>
      <c r="U3" s="313"/>
      <c r="V3" s="313"/>
      <c r="W3" s="313"/>
    </row>
    <row r="4" spans="1:24" ht="14.25" x14ac:dyDescent="0.2">
      <c r="A4" s="253" t="s">
        <v>190</v>
      </c>
      <c r="B4" s="254"/>
      <c r="C4" s="273" t="s">
        <v>191</v>
      </c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4"/>
      <c r="U4" s="274"/>
      <c r="V4" s="274"/>
      <c r="W4" s="274"/>
      <c r="X4" s="274"/>
    </row>
    <row r="5" spans="1:24" ht="14.25" x14ac:dyDescent="0.2">
      <c r="A5" s="255" t="s">
        <v>153</v>
      </c>
      <c r="B5" s="254" t="s">
        <v>116</v>
      </c>
      <c r="C5" s="259">
        <v>2025</v>
      </c>
      <c r="D5" s="259">
        <v>2026</v>
      </c>
      <c r="E5" s="259">
        <v>2027</v>
      </c>
      <c r="F5" s="259">
        <v>2028</v>
      </c>
      <c r="G5" s="259">
        <v>2029</v>
      </c>
      <c r="H5" s="259">
        <v>2030</v>
      </c>
      <c r="I5" s="259">
        <v>2031</v>
      </c>
      <c r="J5" s="259">
        <v>2032</v>
      </c>
      <c r="K5" s="259">
        <v>2033</v>
      </c>
      <c r="L5" s="259">
        <v>2034</v>
      </c>
      <c r="M5" s="259">
        <v>2035</v>
      </c>
      <c r="N5" s="259">
        <v>2036</v>
      </c>
      <c r="O5" s="259">
        <v>2037</v>
      </c>
      <c r="P5" s="259">
        <v>2038</v>
      </c>
      <c r="Q5" s="259">
        <v>2039</v>
      </c>
      <c r="R5" s="259">
        <v>2040</v>
      </c>
      <c r="S5" s="259">
        <v>2041</v>
      </c>
      <c r="T5" s="259">
        <v>2042</v>
      </c>
      <c r="U5" s="259">
        <v>2043</v>
      </c>
      <c r="V5" s="259">
        <v>2044</v>
      </c>
      <c r="W5" s="259">
        <v>2045</v>
      </c>
      <c r="X5" s="259" t="s">
        <v>117</v>
      </c>
    </row>
    <row r="6" spans="1:24" ht="14.25" x14ac:dyDescent="0.2">
      <c r="A6" s="247" t="s">
        <v>31</v>
      </c>
      <c r="B6" s="256"/>
      <c r="C6" s="275"/>
      <c r="D6" s="276"/>
      <c r="E6" s="275"/>
      <c r="F6" s="276"/>
      <c r="G6" s="275"/>
      <c r="H6" s="276"/>
      <c r="I6" s="275"/>
      <c r="J6" s="276"/>
      <c r="K6" s="275"/>
      <c r="L6" s="276"/>
      <c r="M6" s="275"/>
      <c r="N6" s="276"/>
      <c r="O6" s="275"/>
      <c r="P6" s="276"/>
      <c r="Q6" s="275"/>
      <c r="R6" s="276"/>
      <c r="S6" s="275"/>
      <c r="T6" s="276"/>
      <c r="U6" s="275"/>
      <c r="V6" s="276"/>
      <c r="W6" s="275"/>
      <c r="X6" s="276"/>
    </row>
    <row r="7" spans="1:24" ht="14.25" x14ac:dyDescent="0.2">
      <c r="A7" s="247"/>
      <c r="B7" s="252" t="s">
        <v>118</v>
      </c>
      <c r="C7" s="277"/>
      <c r="D7" s="278"/>
      <c r="E7" s="277"/>
      <c r="F7" s="278"/>
      <c r="G7" s="277"/>
      <c r="H7" s="278"/>
      <c r="I7" s="277"/>
      <c r="J7" s="278"/>
      <c r="K7" s="277"/>
      <c r="L7" s="278"/>
      <c r="M7" s="277"/>
      <c r="N7" s="278"/>
      <c r="O7" s="277"/>
      <c r="P7" s="278"/>
      <c r="Q7" s="277"/>
      <c r="R7" s="278"/>
      <c r="S7" s="277"/>
      <c r="T7" s="278"/>
      <c r="U7" s="277"/>
      <c r="V7" s="278"/>
      <c r="W7" s="277"/>
      <c r="X7" s="278"/>
    </row>
    <row r="8" spans="1:24" ht="15" x14ac:dyDescent="0.25">
      <c r="A8" s="247"/>
      <c r="B8" s="248" t="s">
        <v>158</v>
      </c>
      <c r="C8" s="279"/>
      <c r="D8" s="280"/>
      <c r="E8" s="279"/>
      <c r="F8" s="280"/>
      <c r="G8" s="279"/>
      <c r="H8" s="280"/>
      <c r="I8" s="279"/>
      <c r="J8" s="280"/>
      <c r="K8" s="279"/>
      <c r="L8" s="280"/>
      <c r="M8" s="279"/>
      <c r="N8" s="280"/>
      <c r="O8" s="279"/>
      <c r="P8" s="280"/>
      <c r="Q8" s="279"/>
      <c r="R8" s="280"/>
      <c r="S8" s="279"/>
      <c r="T8" s="280"/>
      <c r="U8" s="279"/>
      <c r="V8" s="280"/>
      <c r="W8" s="279"/>
      <c r="X8" s="280"/>
    </row>
    <row r="9" spans="1:24" ht="15.75" thickBot="1" x14ac:dyDescent="0.3">
      <c r="A9" s="247"/>
      <c r="B9" s="249" t="s">
        <v>64</v>
      </c>
      <c r="C9" s="264">
        <v>0</v>
      </c>
      <c r="D9" s="265">
        <v>0</v>
      </c>
      <c r="E9" s="264">
        <v>0</v>
      </c>
      <c r="F9" s="265">
        <v>-219.99999990000001</v>
      </c>
      <c r="G9" s="264">
        <v>0</v>
      </c>
      <c r="H9" s="265">
        <v>0</v>
      </c>
      <c r="I9" s="264">
        <v>0</v>
      </c>
      <c r="J9" s="265">
        <v>0</v>
      </c>
      <c r="K9" s="264">
        <v>0</v>
      </c>
      <c r="L9" s="265">
        <v>0</v>
      </c>
      <c r="M9" s="264">
        <v>0</v>
      </c>
      <c r="N9" s="265">
        <v>0</v>
      </c>
      <c r="O9" s="264">
        <v>0</v>
      </c>
      <c r="P9" s="265">
        <v>0</v>
      </c>
      <c r="Q9" s="264">
        <v>0</v>
      </c>
      <c r="R9" s="265">
        <v>0</v>
      </c>
      <c r="S9" s="264">
        <v>0</v>
      </c>
      <c r="T9" s="265">
        <v>0</v>
      </c>
      <c r="U9" s="264">
        <v>0</v>
      </c>
      <c r="V9" s="265">
        <v>0</v>
      </c>
      <c r="W9" s="264">
        <v>0</v>
      </c>
      <c r="X9" s="265">
        <v>-219.99999990000001</v>
      </c>
    </row>
    <row r="10" spans="1:24" ht="15" thickBot="1" x14ac:dyDescent="0.25">
      <c r="A10" s="247"/>
      <c r="B10" s="250" t="s">
        <v>159</v>
      </c>
      <c r="C10" s="266">
        <v>0</v>
      </c>
      <c r="D10" s="266">
        <v>0</v>
      </c>
      <c r="E10" s="266">
        <v>0</v>
      </c>
      <c r="F10" s="266">
        <v>-219.99999990000001</v>
      </c>
      <c r="G10" s="266">
        <v>0</v>
      </c>
      <c r="H10" s="266">
        <v>0</v>
      </c>
      <c r="I10" s="266">
        <v>0</v>
      </c>
      <c r="J10" s="266">
        <v>0</v>
      </c>
      <c r="K10" s="266">
        <v>0</v>
      </c>
      <c r="L10" s="266">
        <v>0</v>
      </c>
      <c r="M10" s="266">
        <v>0</v>
      </c>
      <c r="N10" s="266">
        <v>0</v>
      </c>
      <c r="O10" s="266">
        <v>0</v>
      </c>
      <c r="P10" s="266">
        <v>0</v>
      </c>
      <c r="Q10" s="266">
        <v>0</v>
      </c>
      <c r="R10" s="266">
        <v>0</v>
      </c>
      <c r="S10" s="266">
        <v>0</v>
      </c>
      <c r="T10" s="266">
        <v>0</v>
      </c>
      <c r="U10" s="266">
        <v>0</v>
      </c>
      <c r="V10" s="266">
        <v>0</v>
      </c>
      <c r="W10" s="266">
        <v>0</v>
      </c>
      <c r="X10" s="266">
        <v>-219.99999990000001</v>
      </c>
    </row>
    <row r="11" spans="1:24" ht="15" x14ac:dyDescent="0.25">
      <c r="A11" s="247"/>
      <c r="B11" s="248" t="s">
        <v>160</v>
      </c>
      <c r="C11" s="264"/>
      <c r="D11" s="265"/>
      <c r="E11" s="264"/>
      <c r="F11" s="265"/>
      <c r="G11" s="264"/>
      <c r="H11" s="265"/>
      <c r="I11" s="264"/>
      <c r="J11" s="265"/>
      <c r="K11" s="264"/>
      <c r="L11" s="265"/>
      <c r="M11" s="264"/>
      <c r="N11" s="265"/>
      <c r="O11" s="264"/>
      <c r="P11" s="265"/>
      <c r="Q11" s="264"/>
      <c r="R11" s="265"/>
      <c r="S11" s="264"/>
      <c r="T11" s="265"/>
      <c r="U11" s="264"/>
      <c r="V11" s="265"/>
      <c r="W11" s="264"/>
      <c r="X11" s="265"/>
    </row>
    <row r="12" spans="1:24" ht="15" x14ac:dyDescent="0.25">
      <c r="A12" s="247"/>
      <c r="B12" s="249" t="s">
        <v>119</v>
      </c>
      <c r="C12" s="264">
        <v>0</v>
      </c>
      <c r="D12" s="265">
        <v>-82.3255999</v>
      </c>
      <c r="E12" s="264">
        <v>0</v>
      </c>
      <c r="F12" s="265">
        <v>0</v>
      </c>
      <c r="G12" s="264">
        <v>0</v>
      </c>
      <c r="H12" s="265">
        <v>0</v>
      </c>
      <c r="I12" s="264">
        <v>0</v>
      </c>
      <c r="J12" s="265">
        <v>0</v>
      </c>
      <c r="K12" s="264">
        <v>0</v>
      </c>
      <c r="L12" s="265">
        <v>0</v>
      </c>
      <c r="M12" s="264">
        <v>0</v>
      </c>
      <c r="N12" s="265">
        <v>0</v>
      </c>
      <c r="O12" s="264">
        <v>0</v>
      </c>
      <c r="P12" s="265">
        <v>0</v>
      </c>
      <c r="Q12" s="264">
        <v>0</v>
      </c>
      <c r="R12" s="265">
        <v>0</v>
      </c>
      <c r="S12" s="264">
        <v>0</v>
      </c>
      <c r="T12" s="265">
        <v>0</v>
      </c>
      <c r="U12" s="264">
        <v>0</v>
      </c>
      <c r="V12" s="265">
        <v>0</v>
      </c>
      <c r="W12" s="264">
        <v>0</v>
      </c>
      <c r="X12" s="265">
        <v>-82.3255999</v>
      </c>
    </row>
    <row r="13" spans="1:24" ht="15" x14ac:dyDescent="0.25">
      <c r="A13" s="247"/>
      <c r="B13" s="249" t="s">
        <v>120</v>
      </c>
      <c r="C13" s="264">
        <v>0</v>
      </c>
      <c r="D13" s="265">
        <v>0</v>
      </c>
      <c r="E13" s="264">
        <v>0</v>
      </c>
      <c r="F13" s="265">
        <v>0</v>
      </c>
      <c r="G13" s="264">
        <v>-79.047999900000008</v>
      </c>
      <c r="H13" s="265">
        <v>0</v>
      </c>
      <c r="I13" s="264">
        <v>0</v>
      </c>
      <c r="J13" s="265">
        <v>0</v>
      </c>
      <c r="K13" s="264">
        <v>0</v>
      </c>
      <c r="L13" s="265">
        <v>0</v>
      </c>
      <c r="M13" s="264">
        <v>0</v>
      </c>
      <c r="N13" s="265">
        <v>0</v>
      </c>
      <c r="O13" s="264">
        <v>0</v>
      </c>
      <c r="P13" s="265">
        <v>0</v>
      </c>
      <c r="Q13" s="264">
        <v>0</v>
      </c>
      <c r="R13" s="265">
        <v>0</v>
      </c>
      <c r="S13" s="264">
        <v>0</v>
      </c>
      <c r="T13" s="265">
        <v>0</v>
      </c>
      <c r="U13" s="264">
        <v>0</v>
      </c>
      <c r="V13" s="265">
        <v>0</v>
      </c>
      <c r="W13" s="264">
        <v>0</v>
      </c>
      <c r="X13" s="265">
        <v>-79.047999900000008</v>
      </c>
    </row>
    <row r="14" spans="1:24" ht="15" x14ac:dyDescent="0.25">
      <c r="A14" s="247"/>
      <c r="B14" s="249" t="s">
        <v>60</v>
      </c>
      <c r="C14" s="264">
        <v>0</v>
      </c>
      <c r="D14" s="265">
        <v>0</v>
      </c>
      <c r="E14" s="264">
        <v>0</v>
      </c>
      <c r="F14" s="265">
        <v>0</v>
      </c>
      <c r="G14" s="264">
        <v>-43.854999899999996</v>
      </c>
      <c r="H14" s="265">
        <v>0</v>
      </c>
      <c r="I14" s="264">
        <v>0</v>
      </c>
      <c r="J14" s="265">
        <v>0</v>
      </c>
      <c r="K14" s="264">
        <v>0</v>
      </c>
      <c r="L14" s="265">
        <v>0</v>
      </c>
      <c r="M14" s="264">
        <v>0</v>
      </c>
      <c r="N14" s="265">
        <v>0</v>
      </c>
      <c r="O14" s="264">
        <v>0</v>
      </c>
      <c r="P14" s="265">
        <v>0</v>
      </c>
      <c r="Q14" s="264">
        <v>0</v>
      </c>
      <c r="R14" s="265">
        <v>0</v>
      </c>
      <c r="S14" s="264">
        <v>0</v>
      </c>
      <c r="T14" s="265">
        <v>0</v>
      </c>
      <c r="U14" s="264">
        <v>0</v>
      </c>
      <c r="V14" s="265">
        <v>0</v>
      </c>
      <c r="W14" s="264">
        <v>0</v>
      </c>
      <c r="X14" s="265">
        <v>-43.854999899999996</v>
      </c>
    </row>
    <row r="15" spans="1:24" ht="15.75" thickBot="1" x14ac:dyDescent="0.3">
      <c r="A15" s="247"/>
      <c r="B15" s="249" t="s">
        <v>61</v>
      </c>
      <c r="C15" s="264">
        <v>0</v>
      </c>
      <c r="D15" s="265">
        <v>0</v>
      </c>
      <c r="E15" s="264">
        <v>0</v>
      </c>
      <c r="F15" s="265">
        <v>-33.011999899999999</v>
      </c>
      <c r="G15" s="264">
        <v>0</v>
      </c>
      <c r="H15" s="265">
        <v>0</v>
      </c>
      <c r="I15" s="264">
        <v>0</v>
      </c>
      <c r="J15" s="265">
        <v>0</v>
      </c>
      <c r="K15" s="264">
        <v>0</v>
      </c>
      <c r="L15" s="265">
        <v>0</v>
      </c>
      <c r="M15" s="264">
        <v>0</v>
      </c>
      <c r="N15" s="265">
        <v>0</v>
      </c>
      <c r="O15" s="264">
        <v>0</v>
      </c>
      <c r="P15" s="265">
        <v>0</v>
      </c>
      <c r="Q15" s="264">
        <v>0</v>
      </c>
      <c r="R15" s="265">
        <v>0</v>
      </c>
      <c r="S15" s="264">
        <v>0</v>
      </c>
      <c r="T15" s="265">
        <v>0</v>
      </c>
      <c r="U15" s="264">
        <v>0</v>
      </c>
      <c r="V15" s="265">
        <v>0</v>
      </c>
      <c r="W15" s="264">
        <v>0</v>
      </c>
      <c r="X15" s="265">
        <v>-33.011999899999999</v>
      </c>
    </row>
    <row r="16" spans="1:24" ht="15" thickBot="1" x14ac:dyDescent="0.25">
      <c r="A16" s="247"/>
      <c r="B16" s="250" t="s">
        <v>161</v>
      </c>
      <c r="C16" s="266">
        <v>0</v>
      </c>
      <c r="D16" s="266">
        <v>-82.3255999</v>
      </c>
      <c r="E16" s="266">
        <v>0</v>
      </c>
      <c r="F16" s="266">
        <v>-33.011999899999999</v>
      </c>
      <c r="G16" s="266">
        <v>-122.9029998</v>
      </c>
      <c r="H16" s="266">
        <v>0</v>
      </c>
      <c r="I16" s="266">
        <v>0</v>
      </c>
      <c r="J16" s="266">
        <v>0</v>
      </c>
      <c r="K16" s="266">
        <v>0</v>
      </c>
      <c r="L16" s="266">
        <v>0</v>
      </c>
      <c r="M16" s="266">
        <v>0</v>
      </c>
      <c r="N16" s="266">
        <v>0</v>
      </c>
      <c r="O16" s="266">
        <v>0</v>
      </c>
      <c r="P16" s="266">
        <v>0</v>
      </c>
      <c r="Q16" s="266">
        <v>0</v>
      </c>
      <c r="R16" s="266">
        <v>0</v>
      </c>
      <c r="S16" s="266">
        <v>0</v>
      </c>
      <c r="T16" s="266">
        <v>0</v>
      </c>
      <c r="U16" s="266">
        <v>0</v>
      </c>
      <c r="V16" s="266">
        <v>0</v>
      </c>
      <c r="W16" s="266">
        <v>0</v>
      </c>
      <c r="X16" s="266">
        <v>-238.24059960000002</v>
      </c>
    </row>
    <row r="17" spans="1:24" ht="15" x14ac:dyDescent="0.25">
      <c r="A17" s="247"/>
      <c r="B17" s="248" t="s">
        <v>192</v>
      </c>
      <c r="C17" s="264"/>
      <c r="D17" s="265"/>
      <c r="E17" s="264"/>
      <c r="F17" s="265"/>
      <c r="G17" s="264"/>
      <c r="H17" s="265"/>
      <c r="I17" s="264"/>
      <c r="J17" s="265"/>
      <c r="K17" s="264"/>
      <c r="L17" s="265"/>
      <c r="M17" s="264"/>
      <c r="N17" s="265"/>
      <c r="O17" s="264"/>
      <c r="P17" s="265"/>
      <c r="Q17" s="264"/>
      <c r="R17" s="265"/>
      <c r="S17" s="264"/>
      <c r="T17" s="265"/>
      <c r="U17" s="264"/>
      <c r="V17" s="265"/>
      <c r="W17" s="264"/>
      <c r="X17" s="265"/>
    </row>
    <row r="18" spans="1:24" ht="15" x14ac:dyDescent="0.25">
      <c r="A18" s="247"/>
      <c r="B18" s="249" t="s">
        <v>62</v>
      </c>
      <c r="C18" s="264">
        <v>0</v>
      </c>
      <c r="D18" s="265">
        <v>0</v>
      </c>
      <c r="E18" s="264">
        <v>0</v>
      </c>
      <c r="F18" s="265">
        <v>0</v>
      </c>
      <c r="G18" s="264">
        <v>-98.999999900000006</v>
      </c>
      <c r="H18" s="265">
        <v>0</v>
      </c>
      <c r="I18" s="264">
        <v>0</v>
      </c>
      <c r="J18" s="265">
        <v>0</v>
      </c>
      <c r="K18" s="264">
        <v>0</v>
      </c>
      <c r="L18" s="265">
        <v>0</v>
      </c>
      <c r="M18" s="264">
        <v>0</v>
      </c>
      <c r="N18" s="265">
        <v>0</v>
      </c>
      <c r="O18" s="264">
        <v>0</v>
      </c>
      <c r="P18" s="265">
        <v>0</v>
      </c>
      <c r="Q18" s="264">
        <v>0</v>
      </c>
      <c r="R18" s="265">
        <v>0</v>
      </c>
      <c r="S18" s="264">
        <v>0</v>
      </c>
      <c r="T18" s="265">
        <v>0</v>
      </c>
      <c r="U18" s="264">
        <v>0</v>
      </c>
      <c r="V18" s="265">
        <v>0</v>
      </c>
      <c r="W18" s="264">
        <v>0</v>
      </c>
      <c r="X18" s="265">
        <v>-98.999999900000006</v>
      </c>
    </row>
    <row r="19" spans="1:24" ht="15" x14ac:dyDescent="0.25">
      <c r="A19" s="247"/>
      <c r="B19" s="249" t="s">
        <v>63</v>
      </c>
      <c r="C19" s="264">
        <v>0</v>
      </c>
      <c r="D19" s="265">
        <v>0</v>
      </c>
      <c r="E19" s="264">
        <v>0</v>
      </c>
      <c r="F19" s="265">
        <v>0</v>
      </c>
      <c r="G19" s="264">
        <v>-105.99999990000001</v>
      </c>
      <c r="H19" s="265">
        <v>0</v>
      </c>
      <c r="I19" s="264">
        <v>0</v>
      </c>
      <c r="J19" s="265">
        <v>0</v>
      </c>
      <c r="K19" s="264">
        <v>0</v>
      </c>
      <c r="L19" s="265">
        <v>0</v>
      </c>
      <c r="M19" s="264">
        <v>0</v>
      </c>
      <c r="N19" s="265">
        <v>0</v>
      </c>
      <c r="O19" s="264">
        <v>0</v>
      </c>
      <c r="P19" s="265">
        <v>0</v>
      </c>
      <c r="Q19" s="264">
        <v>0</v>
      </c>
      <c r="R19" s="265">
        <v>0</v>
      </c>
      <c r="S19" s="264">
        <v>0</v>
      </c>
      <c r="T19" s="265">
        <v>0</v>
      </c>
      <c r="U19" s="264">
        <v>0</v>
      </c>
      <c r="V19" s="265">
        <v>0</v>
      </c>
      <c r="W19" s="264">
        <v>0</v>
      </c>
      <c r="X19" s="265">
        <v>-105.99999990000001</v>
      </c>
    </row>
    <row r="20" spans="1:24" ht="15" x14ac:dyDescent="0.25">
      <c r="A20" s="247"/>
      <c r="B20" s="249" t="s">
        <v>193</v>
      </c>
      <c r="C20" s="264">
        <v>0</v>
      </c>
      <c r="D20" s="265">
        <v>0</v>
      </c>
      <c r="E20" s="264">
        <v>0</v>
      </c>
      <c r="F20" s="265">
        <v>0</v>
      </c>
      <c r="G20" s="264">
        <v>0</v>
      </c>
      <c r="H20" s="265">
        <v>-348.99999989999998</v>
      </c>
      <c r="I20" s="264">
        <v>0</v>
      </c>
      <c r="J20" s="265">
        <v>0</v>
      </c>
      <c r="K20" s="264">
        <v>0</v>
      </c>
      <c r="L20" s="265">
        <v>0</v>
      </c>
      <c r="M20" s="264">
        <v>0</v>
      </c>
      <c r="N20" s="265">
        <v>0</v>
      </c>
      <c r="O20" s="264">
        <v>0</v>
      </c>
      <c r="P20" s="265">
        <v>0</v>
      </c>
      <c r="Q20" s="264">
        <v>0</v>
      </c>
      <c r="R20" s="265">
        <v>0</v>
      </c>
      <c r="S20" s="264">
        <v>0</v>
      </c>
      <c r="T20" s="265">
        <v>0</v>
      </c>
      <c r="U20" s="264">
        <v>0</v>
      </c>
      <c r="V20" s="265">
        <v>0</v>
      </c>
      <c r="W20" s="264">
        <v>0</v>
      </c>
      <c r="X20" s="265">
        <v>-348.99999989999998</v>
      </c>
    </row>
    <row r="21" spans="1:24" ht="15" x14ac:dyDescent="0.25">
      <c r="A21" s="247"/>
      <c r="B21" s="249" t="s">
        <v>194</v>
      </c>
      <c r="C21" s="264">
        <v>0</v>
      </c>
      <c r="D21" s="265">
        <v>0</v>
      </c>
      <c r="E21" s="264">
        <v>0</v>
      </c>
      <c r="F21" s="265">
        <v>0</v>
      </c>
      <c r="G21" s="264">
        <v>0</v>
      </c>
      <c r="H21" s="265">
        <v>-350.99999989999998</v>
      </c>
      <c r="I21" s="264">
        <v>0</v>
      </c>
      <c r="J21" s="265">
        <v>0</v>
      </c>
      <c r="K21" s="264">
        <v>0</v>
      </c>
      <c r="L21" s="265">
        <v>0</v>
      </c>
      <c r="M21" s="264">
        <v>0</v>
      </c>
      <c r="N21" s="265">
        <v>0</v>
      </c>
      <c r="O21" s="264">
        <v>0</v>
      </c>
      <c r="P21" s="265">
        <v>0</v>
      </c>
      <c r="Q21" s="264">
        <v>0</v>
      </c>
      <c r="R21" s="265">
        <v>0</v>
      </c>
      <c r="S21" s="264">
        <v>0</v>
      </c>
      <c r="T21" s="265">
        <v>0</v>
      </c>
      <c r="U21" s="264">
        <v>0</v>
      </c>
      <c r="V21" s="265">
        <v>0</v>
      </c>
      <c r="W21" s="264">
        <v>0</v>
      </c>
      <c r="X21" s="265">
        <v>-350.99999989999998</v>
      </c>
    </row>
    <row r="22" spans="1:24" ht="15" x14ac:dyDescent="0.25">
      <c r="A22" s="247"/>
      <c r="B22" s="249" t="s">
        <v>195</v>
      </c>
      <c r="C22" s="264">
        <v>0</v>
      </c>
      <c r="D22" s="265">
        <v>-155.99999990000001</v>
      </c>
      <c r="E22" s="264">
        <v>0</v>
      </c>
      <c r="F22" s="265">
        <v>0</v>
      </c>
      <c r="G22" s="264">
        <v>0</v>
      </c>
      <c r="H22" s="265">
        <v>0</v>
      </c>
      <c r="I22" s="264">
        <v>0</v>
      </c>
      <c r="J22" s="265">
        <v>0</v>
      </c>
      <c r="K22" s="264">
        <v>0</v>
      </c>
      <c r="L22" s="265">
        <v>0</v>
      </c>
      <c r="M22" s="264">
        <v>0</v>
      </c>
      <c r="N22" s="265">
        <v>0</v>
      </c>
      <c r="O22" s="264">
        <v>0</v>
      </c>
      <c r="P22" s="265">
        <v>0</v>
      </c>
      <c r="Q22" s="264">
        <v>0</v>
      </c>
      <c r="R22" s="265">
        <v>0</v>
      </c>
      <c r="S22" s="264">
        <v>0</v>
      </c>
      <c r="T22" s="265">
        <v>0</v>
      </c>
      <c r="U22" s="264">
        <v>0</v>
      </c>
      <c r="V22" s="265">
        <v>0</v>
      </c>
      <c r="W22" s="264">
        <v>0</v>
      </c>
      <c r="X22" s="265">
        <v>-155.99999990000001</v>
      </c>
    </row>
    <row r="23" spans="1:24" ht="15.75" thickBot="1" x14ac:dyDescent="0.3">
      <c r="A23" s="247"/>
      <c r="B23" s="249" t="s">
        <v>196</v>
      </c>
      <c r="C23" s="264">
        <v>0</v>
      </c>
      <c r="D23" s="265">
        <v>-200.99999990000001</v>
      </c>
      <c r="E23" s="264">
        <v>0</v>
      </c>
      <c r="F23" s="265">
        <v>0</v>
      </c>
      <c r="G23" s="264">
        <v>0</v>
      </c>
      <c r="H23" s="265">
        <v>0</v>
      </c>
      <c r="I23" s="264">
        <v>0</v>
      </c>
      <c r="J23" s="265">
        <v>0</v>
      </c>
      <c r="K23" s="264">
        <v>0</v>
      </c>
      <c r="L23" s="265">
        <v>0</v>
      </c>
      <c r="M23" s="264">
        <v>0</v>
      </c>
      <c r="N23" s="265">
        <v>0</v>
      </c>
      <c r="O23" s="264">
        <v>0</v>
      </c>
      <c r="P23" s="265">
        <v>0</v>
      </c>
      <c r="Q23" s="264">
        <v>0</v>
      </c>
      <c r="R23" s="265">
        <v>0</v>
      </c>
      <c r="S23" s="264">
        <v>0</v>
      </c>
      <c r="T23" s="265">
        <v>0</v>
      </c>
      <c r="U23" s="264">
        <v>0</v>
      </c>
      <c r="V23" s="265">
        <v>0</v>
      </c>
      <c r="W23" s="264">
        <v>0</v>
      </c>
      <c r="X23" s="265">
        <v>-200.99999990000001</v>
      </c>
    </row>
    <row r="24" spans="1:24" ht="15" thickBot="1" x14ac:dyDescent="0.25">
      <c r="A24" s="247"/>
      <c r="B24" s="250" t="s">
        <v>197</v>
      </c>
      <c r="C24" s="266">
        <v>0</v>
      </c>
      <c r="D24" s="266">
        <v>-356.99999980000001</v>
      </c>
      <c r="E24" s="266">
        <v>0</v>
      </c>
      <c r="F24" s="266">
        <v>0</v>
      </c>
      <c r="G24" s="266">
        <v>-204.99999980000001</v>
      </c>
      <c r="H24" s="266">
        <v>-699.99999979999996</v>
      </c>
      <c r="I24" s="266">
        <v>0</v>
      </c>
      <c r="J24" s="266">
        <v>0</v>
      </c>
      <c r="K24" s="266">
        <v>0</v>
      </c>
      <c r="L24" s="266">
        <v>0</v>
      </c>
      <c r="M24" s="266">
        <v>0</v>
      </c>
      <c r="N24" s="266">
        <v>0</v>
      </c>
      <c r="O24" s="266">
        <v>0</v>
      </c>
      <c r="P24" s="266">
        <v>0</v>
      </c>
      <c r="Q24" s="266">
        <v>0</v>
      </c>
      <c r="R24" s="266">
        <v>0</v>
      </c>
      <c r="S24" s="266">
        <v>0</v>
      </c>
      <c r="T24" s="266">
        <v>0</v>
      </c>
      <c r="U24" s="266">
        <v>0</v>
      </c>
      <c r="V24" s="266">
        <v>0</v>
      </c>
      <c r="W24" s="266">
        <v>0</v>
      </c>
      <c r="X24" s="266">
        <v>-1261.9999993999998</v>
      </c>
    </row>
    <row r="25" spans="1:24" ht="15" x14ac:dyDescent="0.25">
      <c r="A25" s="247"/>
      <c r="B25" s="248" t="s">
        <v>154</v>
      </c>
      <c r="C25" s="264"/>
      <c r="D25" s="265"/>
      <c r="E25" s="264"/>
      <c r="F25" s="265"/>
      <c r="G25" s="264"/>
      <c r="H25" s="265"/>
      <c r="I25" s="264"/>
      <c r="J25" s="265"/>
      <c r="K25" s="264"/>
      <c r="L25" s="265"/>
      <c r="M25" s="264"/>
      <c r="N25" s="265"/>
      <c r="O25" s="264"/>
      <c r="P25" s="265"/>
      <c r="Q25" s="264"/>
      <c r="R25" s="265"/>
      <c r="S25" s="264"/>
      <c r="T25" s="265"/>
      <c r="U25" s="264"/>
      <c r="V25" s="265"/>
      <c r="W25" s="264"/>
      <c r="X25" s="265"/>
    </row>
    <row r="26" spans="1:24" ht="15" x14ac:dyDescent="0.25">
      <c r="A26" s="247"/>
      <c r="B26" s="249" t="s">
        <v>155</v>
      </c>
      <c r="C26" s="264">
        <v>0</v>
      </c>
      <c r="D26" s="265">
        <v>0</v>
      </c>
      <c r="E26" s="264">
        <v>0</v>
      </c>
      <c r="F26" s="265">
        <v>0</v>
      </c>
      <c r="G26" s="264">
        <v>0</v>
      </c>
      <c r="H26" s="265">
        <v>262</v>
      </c>
      <c r="I26" s="264">
        <v>0</v>
      </c>
      <c r="J26" s="265">
        <v>0</v>
      </c>
      <c r="K26" s="264">
        <v>0</v>
      </c>
      <c r="L26" s="265">
        <v>0</v>
      </c>
      <c r="M26" s="264">
        <v>0</v>
      </c>
      <c r="N26" s="265">
        <v>0</v>
      </c>
      <c r="O26" s="264">
        <v>0</v>
      </c>
      <c r="P26" s="265">
        <v>0</v>
      </c>
      <c r="Q26" s="264">
        <v>0</v>
      </c>
      <c r="R26" s="265">
        <v>0</v>
      </c>
      <c r="S26" s="264">
        <v>0</v>
      </c>
      <c r="T26" s="265">
        <v>0</v>
      </c>
      <c r="U26" s="264">
        <v>0</v>
      </c>
      <c r="V26" s="265">
        <v>0</v>
      </c>
      <c r="W26" s="264">
        <v>0</v>
      </c>
      <c r="X26" s="265">
        <v>262</v>
      </c>
    </row>
    <row r="27" spans="1:24" ht="15.75" thickBot="1" x14ac:dyDescent="0.3">
      <c r="A27" s="247"/>
      <c r="B27" s="249" t="s">
        <v>156</v>
      </c>
      <c r="C27" s="264">
        <v>0</v>
      </c>
      <c r="D27" s="265">
        <v>0</v>
      </c>
      <c r="E27" s="264">
        <v>0</v>
      </c>
      <c r="F27" s="265">
        <v>0</v>
      </c>
      <c r="G27" s="264">
        <v>0</v>
      </c>
      <c r="H27" s="265">
        <v>264</v>
      </c>
      <c r="I27" s="264">
        <v>0</v>
      </c>
      <c r="J27" s="265">
        <v>0</v>
      </c>
      <c r="K27" s="264">
        <v>0</v>
      </c>
      <c r="L27" s="265">
        <v>0</v>
      </c>
      <c r="M27" s="264">
        <v>0</v>
      </c>
      <c r="N27" s="265">
        <v>0</v>
      </c>
      <c r="O27" s="264">
        <v>0</v>
      </c>
      <c r="P27" s="265">
        <v>0</v>
      </c>
      <c r="Q27" s="264">
        <v>0</v>
      </c>
      <c r="R27" s="265">
        <v>0</v>
      </c>
      <c r="S27" s="264">
        <v>0</v>
      </c>
      <c r="T27" s="265">
        <v>0</v>
      </c>
      <c r="U27" s="264">
        <v>0</v>
      </c>
      <c r="V27" s="265">
        <v>0</v>
      </c>
      <c r="W27" s="264">
        <v>0</v>
      </c>
      <c r="X27" s="265">
        <v>264</v>
      </c>
    </row>
    <row r="28" spans="1:24" ht="15" thickBot="1" x14ac:dyDescent="0.25">
      <c r="A28" s="247"/>
      <c r="B28" s="250" t="s">
        <v>157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  <c r="H28" s="266">
        <v>526</v>
      </c>
      <c r="I28" s="266">
        <v>0</v>
      </c>
      <c r="J28" s="266">
        <v>0</v>
      </c>
      <c r="K28" s="266">
        <v>0</v>
      </c>
      <c r="L28" s="266">
        <v>0</v>
      </c>
      <c r="M28" s="266">
        <v>0</v>
      </c>
      <c r="N28" s="266">
        <v>0</v>
      </c>
      <c r="O28" s="266">
        <v>0</v>
      </c>
      <c r="P28" s="266">
        <v>0</v>
      </c>
      <c r="Q28" s="266">
        <v>0</v>
      </c>
      <c r="R28" s="266">
        <v>0</v>
      </c>
      <c r="S28" s="266">
        <v>0</v>
      </c>
      <c r="T28" s="266">
        <v>0</v>
      </c>
      <c r="U28" s="266">
        <v>0</v>
      </c>
      <c r="V28" s="266">
        <v>0</v>
      </c>
      <c r="W28" s="266">
        <v>0</v>
      </c>
      <c r="X28" s="266">
        <v>526</v>
      </c>
    </row>
    <row r="29" spans="1:24" ht="15" x14ac:dyDescent="0.25">
      <c r="A29" s="247"/>
      <c r="B29" s="248" t="s">
        <v>139</v>
      </c>
      <c r="C29" s="264"/>
      <c r="D29" s="265"/>
      <c r="E29" s="264"/>
      <c r="F29" s="265"/>
      <c r="G29" s="264"/>
      <c r="H29" s="265"/>
      <c r="I29" s="264"/>
      <c r="J29" s="265"/>
      <c r="K29" s="264"/>
      <c r="L29" s="265"/>
      <c r="M29" s="264"/>
      <c r="N29" s="265"/>
      <c r="O29" s="264"/>
      <c r="P29" s="265"/>
      <c r="Q29" s="264"/>
      <c r="R29" s="265"/>
      <c r="S29" s="264"/>
      <c r="T29" s="265"/>
      <c r="U29" s="264"/>
      <c r="V29" s="265"/>
      <c r="W29" s="264"/>
      <c r="X29" s="265"/>
    </row>
    <row r="30" spans="1:24" ht="15" x14ac:dyDescent="0.25">
      <c r="A30" s="247"/>
      <c r="B30" s="249" t="s">
        <v>198</v>
      </c>
      <c r="C30" s="264">
        <v>0</v>
      </c>
      <c r="D30" s="265">
        <v>0</v>
      </c>
      <c r="E30" s="264">
        <v>0</v>
      </c>
      <c r="F30" s="265">
        <v>0</v>
      </c>
      <c r="G30" s="264">
        <v>99</v>
      </c>
      <c r="H30" s="265">
        <v>0</v>
      </c>
      <c r="I30" s="264">
        <v>0</v>
      </c>
      <c r="J30" s="265">
        <v>0</v>
      </c>
      <c r="K30" s="264">
        <v>0</v>
      </c>
      <c r="L30" s="265">
        <v>0</v>
      </c>
      <c r="M30" s="264">
        <v>0</v>
      </c>
      <c r="N30" s="265">
        <v>0</v>
      </c>
      <c r="O30" s="264">
        <v>0</v>
      </c>
      <c r="P30" s="265">
        <v>0</v>
      </c>
      <c r="Q30" s="264">
        <v>0</v>
      </c>
      <c r="R30" s="265">
        <v>0</v>
      </c>
      <c r="S30" s="264">
        <v>0</v>
      </c>
      <c r="T30" s="265">
        <v>0</v>
      </c>
      <c r="U30" s="264">
        <v>0</v>
      </c>
      <c r="V30" s="265">
        <v>0</v>
      </c>
      <c r="W30" s="264">
        <v>0</v>
      </c>
      <c r="X30" s="265">
        <v>99</v>
      </c>
    </row>
    <row r="31" spans="1:24" ht="15" x14ac:dyDescent="0.25">
      <c r="A31" s="247"/>
      <c r="B31" s="249" t="s">
        <v>199</v>
      </c>
      <c r="C31" s="264">
        <v>0</v>
      </c>
      <c r="D31" s="265">
        <v>0</v>
      </c>
      <c r="E31" s="264">
        <v>0</v>
      </c>
      <c r="F31" s="265">
        <v>0</v>
      </c>
      <c r="G31" s="264">
        <v>106</v>
      </c>
      <c r="H31" s="265">
        <v>0</v>
      </c>
      <c r="I31" s="264">
        <v>0</v>
      </c>
      <c r="J31" s="265">
        <v>0</v>
      </c>
      <c r="K31" s="264">
        <v>0</v>
      </c>
      <c r="L31" s="265">
        <v>0</v>
      </c>
      <c r="M31" s="264">
        <v>0</v>
      </c>
      <c r="N31" s="265">
        <v>0</v>
      </c>
      <c r="O31" s="264">
        <v>0</v>
      </c>
      <c r="P31" s="265">
        <v>0</v>
      </c>
      <c r="Q31" s="264">
        <v>0</v>
      </c>
      <c r="R31" s="265">
        <v>0</v>
      </c>
      <c r="S31" s="264">
        <v>0</v>
      </c>
      <c r="T31" s="265">
        <v>0</v>
      </c>
      <c r="U31" s="264">
        <v>0</v>
      </c>
      <c r="V31" s="265">
        <v>0</v>
      </c>
      <c r="W31" s="264">
        <v>0</v>
      </c>
      <c r="X31" s="265">
        <v>106</v>
      </c>
    </row>
    <row r="32" spans="1:24" ht="15" x14ac:dyDescent="0.25">
      <c r="A32" s="247"/>
      <c r="B32" s="249" t="s">
        <v>200</v>
      </c>
      <c r="C32" s="264">
        <v>0</v>
      </c>
      <c r="D32" s="265">
        <v>156</v>
      </c>
      <c r="E32" s="264">
        <v>0</v>
      </c>
      <c r="F32" s="265">
        <v>0</v>
      </c>
      <c r="G32" s="264">
        <v>0</v>
      </c>
      <c r="H32" s="265">
        <v>0</v>
      </c>
      <c r="I32" s="264">
        <v>0</v>
      </c>
      <c r="J32" s="265">
        <v>0</v>
      </c>
      <c r="K32" s="264">
        <v>0</v>
      </c>
      <c r="L32" s="265">
        <v>0</v>
      </c>
      <c r="M32" s="264">
        <v>0</v>
      </c>
      <c r="N32" s="265">
        <v>0</v>
      </c>
      <c r="O32" s="264">
        <v>0</v>
      </c>
      <c r="P32" s="265">
        <v>0</v>
      </c>
      <c r="Q32" s="264">
        <v>0</v>
      </c>
      <c r="R32" s="265">
        <v>0</v>
      </c>
      <c r="S32" s="264">
        <v>0</v>
      </c>
      <c r="T32" s="265">
        <v>0</v>
      </c>
      <c r="U32" s="264">
        <v>0</v>
      </c>
      <c r="V32" s="265">
        <v>0</v>
      </c>
      <c r="W32" s="264">
        <v>0</v>
      </c>
      <c r="X32" s="265">
        <v>156</v>
      </c>
    </row>
    <row r="33" spans="1:24" ht="15.75" thickBot="1" x14ac:dyDescent="0.3">
      <c r="A33" s="247"/>
      <c r="B33" s="249" t="s">
        <v>201</v>
      </c>
      <c r="C33" s="264">
        <v>0</v>
      </c>
      <c r="D33" s="265">
        <v>201</v>
      </c>
      <c r="E33" s="264">
        <v>0</v>
      </c>
      <c r="F33" s="265">
        <v>0</v>
      </c>
      <c r="G33" s="264">
        <v>0</v>
      </c>
      <c r="H33" s="265">
        <v>0</v>
      </c>
      <c r="I33" s="264">
        <v>0</v>
      </c>
      <c r="J33" s="265">
        <v>0</v>
      </c>
      <c r="K33" s="264">
        <v>0</v>
      </c>
      <c r="L33" s="265">
        <v>0</v>
      </c>
      <c r="M33" s="264">
        <v>0</v>
      </c>
      <c r="N33" s="265">
        <v>0</v>
      </c>
      <c r="O33" s="264">
        <v>0</v>
      </c>
      <c r="P33" s="265">
        <v>0</v>
      </c>
      <c r="Q33" s="264">
        <v>0</v>
      </c>
      <c r="R33" s="265">
        <v>0</v>
      </c>
      <c r="S33" s="264">
        <v>0</v>
      </c>
      <c r="T33" s="265">
        <v>0</v>
      </c>
      <c r="U33" s="264">
        <v>0</v>
      </c>
      <c r="V33" s="265">
        <v>0</v>
      </c>
      <c r="W33" s="264">
        <v>0</v>
      </c>
      <c r="X33" s="265">
        <v>201</v>
      </c>
    </row>
    <row r="34" spans="1:24" ht="15" thickBot="1" x14ac:dyDescent="0.25">
      <c r="A34" s="247"/>
      <c r="B34" s="250" t="s">
        <v>140</v>
      </c>
      <c r="C34" s="266">
        <v>0</v>
      </c>
      <c r="D34" s="266">
        <v>357</v>
      </c>
      <c r="E34" s="266">
        <v>0</v>
      </c>
      <c r="F34" s="266">
        <v>0</v>
      </c>
      <c r="G34" s="266">
        <v>205</v>
      </c>
      <c r="H34" s="266">
        <v>0</v>
      </c>
      <c r="I34" s="266">
        <v>0</v>
      </c>
      <c r="J34" s="266">
        <v>0</v>
      </c>
      <c r="K34" s="266">
        <v>0</v>
      </c>
      <c r="L34" s="266">
        <v>0</v>
      </c>
      <c r="M34" s="266">
        <v>0</v>
      </c>
      <c r="N34" s="266">
        <v>0</v>
      </c>
      <c r="O34" s="266">
        <v>0</v>
      </c>
      <c r="P34" s="266">
        <v>0</v>
      </c>
      <c r="Q34" s="266">
        <v>0</v>
      </c>
      <c r="R34" s="266">
        <v>0</v>
      </c>
      <c r="S34" s="266">
        <v>0</v>
      </c>
      <c r="T34" s="266">
        <v>0</v>
      </c>
      <c r="U34" s="266">
        <v>0</v>
      </c>
      <c r="V34" s="266">
        <v>0</v>
      </c>
      <c r="W34" s="266">
        <v>0</v>
      </c>
      <c r="X34" s="266">
        <v>562</v>
      </c>
    </row>
    <row r="35" spans="1:24" ht="15" thickBot="1" x14ac:dyDescent="0.25">
      <c r="A35" s="247"/>
      <c r="B35" s="251" t="s">
        <v>121</v>
      </c>
      <c r="C35" s="267">
        <v>0</v>
      </c>
      <c r="D35" s="268">
        <v>-82.325599699999998</v>
      </c>
      <c r="E35" s="267">
        <v>0</v>
      </c>
      <c r="F35" s="268">
        <v>-253.01199980000001</v>
      </c>
      <c r="G35" s="267">
        <v>-122.90299960000004</v>
      </c>
      <c r="H35" s="268">
        <v>-173.99999979999996</v>
      </c>
      <c r="I35" s="267">
        <v>0</v>
      </c>
      <c r="J35" s="268">
        <v>0</v>
      </c>
      <c r="K35" s="267">
        <v>0</v>
      </c>
      <c r="L35" s="268">
        <v>0</v>
      </c>
      <c r="M35" s="267">
        <v>0</v>
      </c>
      <c r="N35" s="268">
        <v>0</v>
      </c>
      <c r="O35" s="267">
        <v>0</v>
      </c>
      <c r="P35" s="268">
        <v>0</v>
      </c>
      <c r="Q35" s="267">
        <v>0</v>
      </c>
      <c r="R35" s="268">
        <v>0</v>
      </c>
      <c r="S35" s="267">
        <v>0</v>
      </c>
      <c r="T35" s="268">
        <v>0</v>
      </c>
      <c r="U35" s="267">
        <v>0</v>
      </c>
      <c r="V35" s="268">
        <v>0</v>
      </c>
      <c r="W35" s="267">
        <v>0</v>
      </c>
      <c r="X35" s="283">
        <v>-632.24059889999967</v>
      </c>
    </row>
    <row r="36" spans="1:24" ht="15" thickTop="1" x14ac:dyDescent="0.2">
      <c r="A36" s="247"/>
      <c r="B36" s="252" t="s">
        <v>162</v>
      </c>
      <c r="C36" s="262"/>
      <c r="D36" s="263"/>
      <c r="E36" s="262"/>
      <c r="F36" s="263"/>
      <c r="G36" s="262"/>
      <c r="H36" s="263"/>
      <c r="I36" s="262"/>
      <c r="J36" s="263"/>
      <c r="K36" s="262"/>
      <c r="L36" s="263"/>
      <c r="M36" s="262"/>
      <c r="N36" s="263"/>
      <c r="O36" s="262"/>
      <c r="P36" s="263"/>
      <c r="Q36" s="262"/>
      <c r="R36" s="263"/>
      <c r="S36" s="262"/>
      <c r="T36" s="263"/>
      <c r="U36" s="262"/>
      <c r="V36" s="263"/>
      <c r="W36" s="262"/>
      <c r="X36" s="263"/>
    </row>
    <row r="37" spans="1:24" ht="15" x14ac:dyDescent="0.25">
      <c r="A37" s="247"/>
      <c r="B37" s="248" t="s">
        <v>171</v>
      </c>
      <c r="C37" s="264"/>
      <c r="D37" s="265"/>
      <c r="E37" s="264"/>
      <c r="F37" s="265"/>
      <c r="G37" s="264"/>
      <c r="H37" s="265"/>
      <c r="I37" s="264"/>
      <c r="J37" s="265"/>
      <c r="K37" s="264"/>
      <c r="L37" s="265"/>
      <c r="M37" s="264"/>
      <c r="N37" s="265"/>
      <c r="O37" s="264"/>
      <c r="P37" s="265"/>
      <c r="Q37" s="264"/>
      <c r="R37" s="265"/>
      <c r="S37" s="264"/>
      <c r="T37" s="265"/>
      <c r="U37" s="264"/>
      <c r="V37" s="265"/>
      <c r="W37" s="264"/>
      <c r="X37" s="265"/>
    </row>
    <row r="38" spans="1:24" ht="15" x14ac:dyDescent="0.25">
      <c r="A38" s="247"/>
      <c r="B38" s="249" t="s">
        <v>202</v>
      </c>
      <c r="C38" s="264">
        <v>0</v>
      </c>
      <c r="D38" s="265">
        <v>0</v>
      </c>
      <c r="E38" s="264">
        <v>0</v>
      </c>
      <c r="F38" s="265">
        <v>0</v>
      </c>
      <c r="G38" s="264">
        <v>0</v>
      </c>
      <c r="H38" s="265">
        <v>0</v>
      </c>
      <c r="I38" s="264">
        <v>0</v>
      </c>
      <c r="J38" s="265">
        <v>0</v>
      </c>
      <c r="K38" s="264">
        <v>0</v>
      </c>
      <c r="L38" s="265">
        <v>-0.99999990000000005</v>
      </c>
      <c r="M38" s="264">
        <v>0</v>
      </c>
      <c r="N38" s="265">
        <v>0</v>
      </c>
      <c r="O38" s="264">
        <v>0</v>
      </c>
      <c r="P38" s="265">
        <v>0</v>
      </c>
      <c r="Q38" s="264">
        <v>0</v>
      </c>
      <c r="R38" s="265">
        <v>0</v>
      </c>
      <c r="S38" s="264">
        <v>0</v>
      </c>
      <c r="T38" s="265">
        <v>0</v>
      </c>
      <c r="U38" s="264">
        <v>0</v>
      </c>
      <c r="V38" s="265">
        <v>0</v>
      </c>
      <c r="W38" s="264">
        <v>0</v>
      </c>
      <c r="X38" s="265">
        <v>-0.99999990000000005</v>
      </c>
    </row>
    <row r="39" spans="1:24" ht="15.75" thickBot="1" x14ac:dyDescent="0.3">
      <c r="A39" s="247"/>
      <c r="B39" s="249" t="s">
        <v>172</v>
      </c>
      <c r="C39" s="264">
        <v>0</v>
      </c>
      <c r="D39" s="265">
        <v>0</v>
      </c>
      <c r="E39" s="264">
        <v>0</v>
      </c>
      <c r="F39" s="265">
        <v>0</v>
      </c>
      <c r="G39" s="264">
        <v>0</v>
      </c>
      <c r="H39" s="265">
        <v>0</v>
      </c>
      <c r="I39" s="264">
        <v>0</v>
      </c>
      <c r="J39" s="265">
        <v>0</v>
      </c>
      <c r="K39" s="264">
        <v>0</v>
      </c>
      <c r="L39" s="265">
        <v>0</v>
      </c>
      <c r="M39" s="264">
        <v>0</v>
      </c>
      <c r="N39" s="265">
        <v>0</v>
      </c>
      <c r="O39" s="264">
        <v>0</v>
      </c>
      <c r="P39" s="265">
        <v>-31.699999800000001</v>
      </c>
      <c r="Q39" s="264">
        <v>0</v>
      </c>
      <c r="R39" s="265">
        <v>0</v>
      </c>
      <c r="S39" s="264">
        <v>0</v>
      </c>
      <c r="T39" s="265">
        <v>0</v>
      </c>
      <c r="U39" s="264">
        <v>0</v>
      </c>
      <c r="V39" s="265">
        <v>0</v>
      </c>
      <c r="W39" s="264">
        <v>0</v>
      </c>
      <c r="X39" s="265">
        <v>-31.699999800000001</v>
      </c>
    </row>
    <row r="40" spans="1:24" ht="15" thickBot="1" x14ac:dyDescent="0.25">
      <c r="A40" s="247"/>
      <c r="B40" s="250" t="s">
        <v>173</v>
      </c>
      <c r="C40" s="266">
        <v>0</v>
      </c>
      <c r="D40" s="266">
        <v>0</v>
      </c>
      <c r="E40" s="266">
        <v>0</v>
      </c>
      <c r="F40" s="266">
        <v>0</v>
      </c>
      <c r="G40" s="266">
        <v>0</v>
      </c>
      <c r="H40" s="266">
        <v>0</v>
      </c>
      <c r="I40" s="266">
        <v>0</v>
      </c>
      <c r="J40" s="266">
        <v>0</v>
      </c>
      <c r="K40" s="266">
        <v>0</v>
      </c>
      <c r="L40" s="266">
        <v>-0.99999990000000005</v>
      </c>
      <c r="M40" s="266">
        <v>0</v>
      </c>
      <c r="N40" s="266">
        <v>0</v>
      </c>
      <c r="O40" s="266">
        <v>0</v>
      </c>
      <c r="P40" s="266">
        <v>-31.699999800000001</v>
      </c>
      <c r="Q40" s="266">
        <v>0</v>
      </c>
      <c r="R40" s="266">
        <v>0</v>
      </c>
      <c r="S40" s="266">
        <v>0</v>
      </c>
      <c r="T40" s="266">
        <v>0</v>
      </c>
      <c r="U40" s="266">
        <v>0</v>
      </c>
      <c r="V40" s="266">
        <v>0</v>
      </c>
      <c r="W40" s="266">
        <v>0</v>
      </c>
      <c r="X40" s="266">
        <v>-32.699999699999999</v>
      </c>
    </row>
    <row r="41" spans="1:24" ht="15" x14ac:dyDescent="0.25">
      <c r="A41" s="247"/>
      <c r="B41" s="248" t="s">
        <v>163</v>
      </c>
      <c r="C41" s="264"/>
      <c r="D41" s="265"/>
      <c r="E41" s="264"/>
      <c r="F41" s="265"/>
      <c r="G41" s="264"/>
      <c r="H41" s="265"/>
      <c r="I41" s="264"/>
      <c r="J41" s="265"/>
      <c r="K41" s="264"/>
      <c r="L41" s="265"/>
      <c r="M41" s="264"/>
      <c r="N41" s="265"/>
      <c r="O41" s="264"/>
      <c r="P41" s="265"/>
      <c r="Q41" s="264"/>
      <c r="R41" s="265"/>
      <c r="S41" s="264"/>
      <c r="T41" s="265"/>
      <c r="U41" s="264"/>
      <c r="V41" s="265"/>
      <c r="W41" s="264"/>
      <c r="X41" s="265"/>
    </row>
    <row r="42" spans="1:24" ht="15.75" thickBot="1" x14ac:dyDescent="0.3">
      <c r="A42" s="247"/>
      <c r="B42" s="249" t="s">
        <v>203</v>
      </c>
      <c r="C42" s="264">
        <v>0</v>
      </c>
      <c r="D42" s="265">
        <v>0</v>
      </c>
      <c r="E42" s="264">
        <v>0</v>
      </c>
      <c r="F42" s="265">
        <v>0</v>
      </c>
      <c r="G42" s="264">
        <v>0</v>
      </c>
      <c r="H42" s="265">
        <v>0</v>
      </c>
      <c r="I42" s="264">
        <v>0</v>
      </c>
      <c r="J42" s="265">
        <v>0</v>
      </c>
      <c r="K42" s="264">
        <v>0</v>
      </c>
      <c r="L42" s="265">
        <v>0</v>
      </c>
      <c r="M42" s="264">
        <v>0</v>
      </c>
      <c r="N42" s="265">
        <v>0</v>
      </c>
      <c r="O42" s="264">
        <v>0</v>
      </c>
      <c r="P42" s="265">
        <v>0</v>
      </c>
      <c r="Q42" s="264">
        <v>0</v>
      </c>
      <c r="R42" s="265">
        <v>0</v>
      </c>
      <c r="S42" s="264">
        <v>0</v>
      </c>
      <c r="T42" s="265">
        <v>0</v>
      </c>
      <c r="U42" s="264">
        <v>0</v>
      </c>
      <c r="V42" s="265">
        <v>0</v>
      </c>
      <c r="W42" s="264">
        <v>-19.999999899999999</v>
      </c>
      <c r="X42" s="265">
        <v>-19.999999899999999</v>
      </c>
    </row>
    <row r="43" spans="1:24" ht="15" thickBot="1" x14ac:dyDescent="0.25">
      <c r="A43" s="247"/>
      <c r="B43" s="250" t="s">
        <v>164</v>
      </c>
      <c r="C43" s="266">
        <v>0</v>
      </c>
      <c r="D43" s="266">
        <v>0</v>
      </c>
      <c r="E43" s="266">
        <v>0</v>
      </c>
      <c r="F43" s="266">
        <v>0</v>
      </c>
      <c r="G43" s="266">
        <v>0</v>
      </c>
      <c r="H43" s="266">
        <v>0</v>
      </c>
      <c r="I43" s="266">
        <v>0</v>
      </c>
      <c r="J43" s="266">
        <v>0</v>
      </c>
      <c r="K43" s="266">
        <v>0</v>
      </c>
      <c r="L43" s="266">
        <v>0</v>
      </c>
      <c r="M43" s="266">
        <v>0</v>
      </c>
      <c r="N43" s="266">
        <v>0</v>
      </c>
      <c r="O43" s="266">
        <v>0</v>
      </c>
      <c r="P43" s="266">
        <v>0</v>
      </c>
      <c r="Q43" s="266">
        <v>0</v>
      </c>
      <c r="R43" s="266">
        <v>0</v>
      </c>
      <c r="S43" s="266">
        <v>0</v>
      </c>
      <c r="T43" s="266">
        <v>0</v>
      </c>
      <c r="U43" s="266">
        <v>0</v>
      </c>
      <c r="V43" s="266">
        <v>0</v>
      </c>
      <c r="W43" s="266">
        <v>-19.999999899999999</v>
      </c>
      <c r="X43" s="266">
        <v>-19.999999899999999</v>
      </c>
    </row>
    <row r="44" spans="1:24" ht="15" x14ac:dyDescent="0.25">
      <c r="A44" s="247"/>
      <c r="B44" s="248" t="s">
        <v>165</v>
      </c>
      <c r="C44" s="264"/>
      <c r="D44" s="265"/>
      <c r="E44" s="264"/>
      <c r="F44" s="265"/>
      <c r="G44" s="264"/>
      <c r="H44" s="265"/>
      <c r="I44" s="264"/>
      <c r="J44" s="265"/>
      <c r="K44" s="264"/>
      <c r="L44" s="265"/>
      <c r="M44" s="264"/>
      <c r="N44" s="265"/>
      <c r="O44" s="264"/>
      <c r="P44" s="265"/>
      <c r="Q44" s="264"/>
      <c r="R44" s="265"/>
      <c r="S44" s="264"/>
      <c r="T44" s="265"/>
      <c r="U44" s="264"/>
      <c r="V44" s="265"/>
      <c r="W44" s="264"/>
      <c r="X44" s="265"/>
    </row>
    <row r="45" spans="1:24" ht="15" x14ac:dyDescent="0.25">
      <c r="A45" s="247"/>
      <c r="B45" s="249" t="s">
        <v>204</v>
      </c>
      <c r="C45" s="264">
        <v>0</v>
      </c>
      <c r="D45" s="265">
        <v>0</v>
      </c>
      <c r="E45" s="264">
        <v>0</v>
      </c>
      <c r="F45" s="265">
        <v>0</v>
      </c>
      <c r="G45" s="264">
        <v>0</v>
      </c>
      <c r="H45" s="265">
        <v>0</v>
      </c>
      <c r="I45" s="264">
        <v>0</v>
      </c>
      <c r="J45" s="265">
        <v>0</v>
      </c>
      <c r="K45" s="264">
        <v>0</v>
      </c>
      <c r="L45" s="265">
        <v>0</v>
      </c>
      <c r="M45" s="264">
        <v>0</v>
      </c>
      <c r="N45" s="265">
        <v>0</v>
      </c>
      <c r="O45" s="264">
        <v>-19.999999899999999</v>
      </c>
      <c r="P45" s="265">
        <v>0</v>
      </c>
      <c r="Q45" s="264">
        <v>0</v>
      </c>
      <c r="R45" s="265">
        <v>0</v>
      </c>
      <c r="S45" s="264">
        <v>0</v>
      </c>
      <c r="T45" s="265">
        <v>0</v>
      </c>
      <c r="U45" s="264">
        <v>0</v>
      </c>
      <c r="V45" s="265">
        <v>-10.239999900000001</v>
      </c>
      <c r="W45" s="264">
        <v>0</v>
      </c>
      <c r="X45" s="265">
        <v>-30.2399998</v>
      </c>
    </row>
    <row r="46" spans="1:24" ht="15.75" thickBot="1" x14ac:dyDescent="0.3">
      <c r="A46" s="247"/>
      <c r="B46" s="249" t="s">
        <v>205</v>
      </c>
      <c r="C46" s="264">
        <v>0</v>
      </c>
      <c r="D46" s="265">
        <v>0</v>
      </c>
      <c r="E46" s="264">
        <v>0</v>
      </c>
      <c r="F46" s="265">
        <v>0</v>
      </c>
      <c r="G46" s="264">
        <v>0</v>
      </c>
      <c r="H46" s="265">
        <v>0</v>
      </c>
      <c r="I46" s="264">
        <v>0</v>
      </c>
      <c r="J46" s="265">
        <v>0</v>
      </c>
      <c r="K46" s="264">
        <v>0</v>
      </c>
      <c r="L46" s="265">
        <v>0</v>
      </c>
      <c r="M46" s="264">
        <v>0</v>
      </c>
      <c r="N46" s="265">
        <v>0</v>
      </c>
      <c r="O46" s="264">
        <v>-79.999999900000006</v>
      </c>
      <c r="P46" s="265">
        <v>0</v>
      </c>
      <c r="Q46" s="264">
        <v>0</v>
      </c>
      <c r="R46" s="265">
        <v>0</v>
      </c>
      <c r="S46" s="264">
        <v>0</v>
      </c>
      <c r="T46" s="265">
        <v>0</v>
      </c>
      <c r="U46" s="264">
        <v>0</v>
      </c>
      <c r="V46" s="265">
        <v>-219.99999970000002</v>
      </c>
      <c r="W46" s="264">
        <v>0</v>
      </c>
      <c r="X46" s="265">
        <v>-299.99999960000002</v>
      </c>
    </row>
    <row r="47" spans="1:24" ht="15" thickBot="1" x14ac:dyDescent="0.25">
      <c r="A47" s="247"/>
      <c r="B47" s="250" t="s">
        <v>166</v>
      </c>
      <c r="C47" s="266">
        <v>0</v>
      </c>
      <c r="D47" s="266">
        <v>0</v>
      </c>
      <c r="E47" s="266">
        <v>0</v>
      </c>
      <c r="F47" s="266">
        <v>0</v>
      </c>
      <c r="G47" s="266">
        <v>0</v>
      </c>
      <c r="H47" s="266">
        <v>0</v>
      </c>
      <c r="I47" s="266">
        <v>0</v>
      </c>
      <c r="J47" s="266">
        <v>0</v>
      </c>
      <c r="K47" s="266">
        <v>0</v>
      </c>
      <c r="L47" s="266">
        <v>0</v>
      </c>
      <c r="M47" s="266">
        <v>0</v>
      </c>
      <c r="N47" s="266">
        <v>0</v>
      </c>
      <c r="O47" s="266">
        <v>-99.999999800000012</v>
      </c>
      <c r="P47" s="266">
        <v>0</v>
      </c>
      <c r="Q47" s="266">
        <v>0</v>
      </c>
      <c r="R47" s="266">
        <v>0</v>
      </c>
      <c r="S47" s="266">
        <v>0</v>
      </c>
      <c r="T47" s="266">
        <v>0</v>
      </c>
      <c r="U47" s="266">
        <v>0</v>
      </c>
      <c r="V47" s="266">
        <v>-230.23999960000003</v>
      </c>
      <c r="W47" s="266">
        <v>0</v>
      </c>
      <c r="X47" s="266">
        <v>-330.23999940000004</v>
      </c>
    </row>
    <row r="48" spans="1:24" ht="15" x14ac:dyDescent="0.25">
      <c r="A48" s="247"/>
      <c r="B48" s="248" t="s">
        <v>169</v>
      </c>
      <c r="C48" s="264"/>
      <c r="D48" s="265"/>
      <c r="E48" s="264"/>
      <c r="F48" s="265"/>
      <c r="G48" s="264"/>
      <c r="H48" s="265"/>
      <c r="I48" s="264"/>
      <c r="J48" s="265"/>
      <c r="K48" s="264"/>
      <c r="L48" s="265"/>
      <c r="M48" s="264"/>
      <c r="N48" s="265"/>
      <c r="O48" s="264"/>
      <c r="P48" s="265"/>
      <c r="Q48" s="264"/>
      <c r="R48" s="265"/>
      <c r="S48" s="264"/>
      <c r="T48" s="265"/>
      <c r="U48" s="264"/>
      <c r="V48" s="265"/>
      <c r="W48" s="264"/>
      <c r="X48" s="265"/>
    </row>
    <row r="49" spans="1:24" ht="15" x14ac:dyDescent="0.25">
      <c r="A49" s="247"/>
      <c r="B49" s="249" t="s">
        <v>175</v>
      </c>
      <c r="C49" s="264">
        <v>0</v>
      </c>
      <c r="D49" s="265">
        <v>-64.499999900000006</v>
      </c>
      <c r="E49" s="264">
        <v>0</v>
      </c>
      <c r="F49" s="265">
        <v>0</v>
      </c>
      <c r="G49" s="264">
        <v>0</v>
      </c>
      <c r="H49" s="265">
        <v>0</v>
      </c>
      <c r="I49" s="264">
        <v>0</v>
      </c>
      <c r="J49" s="265">
        <v>0</v>
      </c>
      <c r="K49" s="264">
        <v>0</v>
      </c>
      <c r="L49" s="265">
        <v>0</v>
      </c>
      <c r="M49" s="264">
        <v>0</v>
      </c>
      <c r="N49" s="265">
        <v>0</v>
      </c>
      <c r="O49" s="264">
        <v>0</v>
      </c>
      <c r="P49" s="265">
        <v>0</v>
      </c>
      <c r="Q49" s="264">
        <v>0</v>
      </c>
      <c r="R49" s="265">
        <v>0</v>
      </c>
      <c r="S49" s="264">
        <v>0</v>
      </c>
      <c r="T49" s="265">
        <v>0</v>
      </c>
      <c r="U49" s="264">
        <v>0</v>
      </c>
      <c r="V49" s="265">
        <v>0</v>
      </c>
      <c r="W49" s="264">
        <v>0</v>
      </c>
      <c r="X49" s="265">
        <v>-64.499999900000006</v>
      </c>
    </row>
    <row r="50" spans="1:24" ht="15.75" thickBot="1" x14ac:dyDescent="0.3">
      <c r="A50" s="247"/>
      <c r="B50" s="249" t="s">
        <v>176</v>
      </c>
      <c r="C50" s="264">
        <v>0</v>
      </c>
      <c r="D50" s="265">
        <v>0</v>
      </c>
      <c r="E50" s="264">
        <v>0</v>
      </c>
      <c r="F50" s="265">
        <v>0</v>
      </c>
      <c r="G50" s="264">
        <v>0</v>
      </c>
      <c r="H50" s="265">
        <v>-98.999999900000006</v>
      </c>
      <c r="I50" s="264">
        <v>-200.19999989999999</v>
      </c>
      <c r="J50" s="265">
        <v>0</v>
      </c>
      <c r="K50" s="264">
        <v>0</v>
      </c>
      <c r="L50" s="265">
        <v>0</v>
      </c>
      <c r="M50" s="264">
        <v>0</v>
      </c>
      <c r="N50" s="265">
        <v>0</v>
      </c>
      <c r="O50" s="264">
        <v>0</v>
      </c>
      <c r="P50" s="265">
        <v>0</v>
      </c>
      <c r="Q50" s="264">
        <v>0</v>
      </c>
      <c r="R50" s="265">
        <v>0</v>
      </c>
      <c r="S50" s="264">
        <v>-332.6999998</v>
      </c>
      <c r="T50" s="265">
        <v>0</v>
      </c>
      <c r="U50" s="264">
        <v>0</v>
      </c>
      <c r="V50" s="265">
        <v>0</v>
      </c>
      <c r="W50" s="264">
        <v>0</v>
      </c>
      <c r="X50" s="265">
        <v>-631.8999996</v>
      </c>
    </row>
    <row r="51" spans="1:24" ht="15" thickBot="1" x14ac:dyDescent="0.25">
      <c r="A51" s="247"/>
      <c r="B51" s="250" t="s">
        <v>170</v>
      </c>
      <c r="C51" s="266">
        <v>0</v>
      </c>
      <c r="D51" s="266">
        <v>-64.499999900000006</v>
      </c>
      <c r="E51" s="266">
        <v>0</v>
      </c>
      <c r="F51" s="266">
        <v>0</v>
      </c>
      <c r="G51" s="266">
        <v>0</v>
      </c>
      <c r="H51" s="266">
        <v>-98.999999900000006</v>
      </c>
      <c r="I51" s="266">
        <v>-200.19999989999999</v>
      </c>
      <c r="J51" s="266">
        <v>0</v>
      </c>
      <c r="K51" s="266">
        <v>0</v>
      </c>
      <c r="L51" s="266">
        <v>0</v>
      </c>
      <c r="M51" s="266">
        <v>0</v>
      </c>
      <c r="N51" s="266">
        <v>0</v>
      </c>
      <c r="O51" s="266">
        <v>0</v>
      </c>
      <c r="P51" s="266">
        <v>0</v>
      </c>
      <c r="Q51" s="266">
        <v>0</v>
      </c>
      <c r="R51" s="266">
        <v>0</v>
      </c>
      <c r="S51" s="266">
        <v>-332.6999998</v>
      </c>
      <c r="T51" s="266">
        <v>0</v>
      </c>
      <c r="U51" s="266">
        <v>0</v>
      </c>
      <c r="V51" s="266">
        <v>0</v>
      </c>
      <c r="W51" s="266">
        <v>0</v>
      </c>
      <c r="X51" s="266">
        <v>-696.39999950000004</v>
      </c>
    </row>
    <row r="52" spans="1:24" ht="15" thickBot="1" x14ac:dyDescent="0.25">
      <c r="A52" s="247"/>
      <c r="B52" s="251" t="s">
        <v>174</v>
      </c>
      <c r="C52" s="267">
        <v>0</v>
      </c>
      <c r="D52" s="268">
        <v>-64.499999900000006</v>
      </c>
      <c r="E52" s="267">
        <v>0</v>
      </c>
      <c r="F52" s="268">
        <v>0</v>
      </c>
      <c r="G52" s="267">
        <v>0</v>
      </c>
      <c r="H52" s="268">
        <v>-98.999999900000006</v>
      </c>
      <c r="I52" s="267">
        <v>-200.19999989999999</v>
      </c>
      <c r="J52" s="268">
        <v>0</v>
      </c>
      <c r="K52" s="267">
        <v>0</v>
      </c>
      <c r="L52" s="268">
        <v>-0.99999990000000005</v>
      </c>
      <c r="M52" s="267">
        <v>0</v>
      </c>
      <c r="N52" s="268">
        <v>0</v>
      </c>
      <c r="O52" s="267">
        <v>-99.999999800000012</v>
      </c>
      <c r="P52" s="268">
        <v>-31.699999800000001</v>
      </c>
      <c r="Q52" s="267">
        <v>0</v>
      </c>
      <c r="R52" s="268">
        <v>0</v>
      </c>
      <c r="S52" s="267">
        <v>-332.6999998</v>
      </c>
      <c r="T52" s="268">
        <v>0</v>
      </c>
      <c r="U52" s="267">
        <v>0</v>
      </c>
      <c r="V52" s="268">
        <v>-230.23999960000003</v>
      </c>
      <c r="W52" s="267">
        <v>-19.999999899999999</v>
      </c>
      <c r="X52" s="283">
        <v>-1079.3399985000001</v>
      </c>
    </row>
    <row r="53" spans="1:24" ht="15" thickTop="1" x14ac:dyDescent="0.2">
      <c r="A53" s="247"/>
      <c r="B53" s="252" t="s">
        <v>32</v>
      </c>
      <c r="C53" s="262"/>
      <c r="D53" s="263"/>
      <c r="E53" s="262"/>
      <c r="F53" s="263"/>
      <c r="G53" s="262"/>
      <c r="H53" s="263"/>
      <c r="I53" s="262"/>
      <c r="J53" s="263"/>
      <c r="K53" s="262"/>
      <c r="L53" s="263"/>
      <c r="M53" s="262"/>
      <c r="N53" s="263"/>
      <c r="O53" s="262"/>
      <c r="P53" s="263"/>
      <c r="Q53" s="262"/>
      <c r="R53" s="263"/>
      <c r="S53" s="262"/>
      <c r="T53" s="263"/>
      <c r="U53" s="262"/>
      <c r="V53" s="263"/>
      <c r="W53" s="262"/>
      <c r="X53" s="263"/>
    </row>
    <row r="54" spans="1:24" ht="15" x14ac:dyDescent="0.25">
      <c r="A54" s="247"/>
      <c r="B54" s="248" t="s">
        <v>134</v>
      </c>
      <c r="C54" s="264"/>
      <c r="D54" s="265"/>
      <c r="E54" s="264"/>
      <c r="F54" s="265"/>
      <c r="G54" s="264"/>
      <c r="H54" s="265"/>
      <c r="I54" s="264"/>
      <c r="J54" s="265"/>
      <c r="K54" s="264"/>
      <c r="L54" s="265"/>
      <c r="M54" s="264"/>
      <c r="N54" s="265"/>
      <c r="O54" s="264"/>
      <c r="P54" s="265"/>
      <c r="Q54" s="264"/>
      <c r="R54" s="265"/>
      <c r="S54" s="264"/>
      <c r="T54" s="265"/>
      <c r="U54" s="264"/>
      <c r="V54" s="265"/>
      <c r="W54" s="264"/>
      <c r="X54" s="265"/>
    </row>
    <row r="55" spans="1:24" ht="15" x14ac:dyDescent="0.25">
      <c r="A55" s="247"/>
      <c r="B55" s="249" t="s">
        <v>104</v>
      </c>
      <c r="C55" s="264">
        <v>4.1816003300000002</v>
      </c>
      <c r="D55" s="265">
        <v>5.8209084100000004</v>
      </c>
      <c r="E55" s="264">
        <v>5.65569597</v>
      </c>
      <c r="F55" s="265">
        <v>5.8764294799999996</v>
      </c>
      <c r="G55" s="264">
        <v>6.1982403500000007</v>
      </c>
      <c r="H55" s="265">
        <v>6.4161943199999998</v>
      </c>
      <c r="I55" s="264">
        <v>7.5018631000000005</v>
      </c>
      <c r="J55" s="265">
        <v>7.51273898</v>
      </c>
      <c r="K55" s="264">
        <v>6.9585498499999998</v>
      </c>
      <c r="L55" s="265">
        <v>6.6061336399999995</v>
      </c>
      <c r="M55" s="264">
        <v>6.3169253299999992</v>
      </c>
      <c r="N55" s="265">
        <v>5.9266924200000002</v>
      </c>
      <c r="O55" s="264">
        <v>5.848234849999999</v>
      </c>
      <c r="P55" s="265">
        <v>5.2058833000000009</v>
      </c>
      <c r="Q55" s="264">
        <v>4.898953510000001</v>
      </c>
      <c r="R55" s="265">
        <v>4.1602433700000008</v>
      </c>
      <c r="S55" s="264">
        <v>3.9099992800000001</v>
      </c>
      <c r="T55" s="265">
        <v>4.1109465300000005</v>
      </c>
      <c r="U55" s="264">
        <v>3.9768302199999996</v>
      </c>
      <c r="V55" s="265">
        <v>3.9610173499999997</v>
      </c>
      <c r="W55" s="264">
        <v>2.4191684799999997</v>
      </c>
      <c r="X55" s="265">
        <v>113.46324906999999</v>
      </c>
    </row>
    <row r="56" spans="1:24" ht="15" x14ac:dyDescent="0.25">
      <c r="A56" s="247"/>
      <c r="B56" s="249" t="s">
        <v>105</v>
      </c>
      <c r="C56" s="264">
        <v>41.765746530000001</v>
      </c>
      <c r="D56" s="265">
        <v>45.752758709999995</v>
      </c>
      <c r="E56" s="264">
        <v>116.30810049</v>
      </c>
      <c r="F56" s="265">
        <v>138.08945414999999</v>
      </c>
      <c r="G56" s="264">
        <v>142.89236522000002</v>
      </c>
      <c r="H56" s="265">
        <v>152.38475306000001</v>
      </c>
      <c r="I56" s="264">
        <v>194.37418136999997</v>
      </c>
      <c r="J56" s="265">
        <v>182.03308203</v>
      </c>
      <c r="K56" s="264">
        <v>163.33233983</v>
      </c>
      <c r="L56" s="265">
        <v>142.81769016000001</v>
      </c>
      <c r="M56" s="264">
        <v>128.98334727</v>
      </c>
      <c r="N56" s="265">
        <v>134.64826681000002</v>
      </c>
      <c r="O56" s="264">
        <v>125.65179951</v>
      </c>
      <c r="P56" s="265">
        <v>113.28756482</v>
      </c>
      <c r="Q56" s="264">
        <v>104.78486682</v>
      </c>
      <c r="R56" s="265">
        <v>92.981460829999989</v>
      </c>
      <c r="S56" s="264">
        <v>87.324228910000002</v>
      </c>
      <c r="T56" s="265">
        <v>106.57216052</v>
      </c>
      <c r="U56" s="264">
        <v>91.576632299999986</v>
      </c>
      <c r="V56" s="265">
        <v>88.29263014</v>
      </c>
      <c r="W56" s="264">
        <v>73.653662260000004</v>
      </c>
      <c r="X56" s="265">
        <v>2467.5070917399999</v>
      </c>
    </row>
    <row r="57" spans="1:24" ht="15.75" thickBot="1" x14ac:dyDescent="0.3">
      <c r="A57" s="247"/>
      <c r="B57" s="249" t="s">
        <v>106</v>
      </c>
      <c r="C57" s="264">
        <v>5.6513784300000003</v>
      </c>
      <c r="D57" s="265">
        <v>5.78225912</v>
      </c>
      <c r="E57" s="264">
        <v>19.74344279</v>
      </c>
      <c r="F57" s="265">
        <v>19.10296533</v>
      </c>
      <c r="G57" s="264">
        <v>18.943844210000002</v>
      </c>
      <c r="H57" s="265">
        <v>19.702863660000002</v>
      </c>
      <c r="I57" s="264">
        <v>26.94974392</v>
      </c>
      <c r="J57" s="265">
        <v>25.59309335</v>
      </c>
      <c r="K57" s="264">
        <v>23.540900690000001</v>
      </c>
      <c r="L57" s="265">
        <v>21.291594029999999</v>
      </c>
      <c r="M57" s="264">
        <v>18.975325059999999</v>
      </c>
      <c r="N57" s="265">
        <v>16.62135687</v>
      </c>
      <c r="O57" s="264">
        <v>15.950507609999999</v>
      </c>
      <c r="P57" s="265">
        <v>13.67804376</v>
      </c>
      <c r="Q57" s="264">
        <v>12.302811220000001</v>
      </c>
      <c r="R57" s="265">
        <v>10.79473059</v>
      </c>
      <c r="S57" s="264">
        <v>9.8978950000000001</v>
      </c>
      <c r="T57" s="265">
        <v>11.51122593</v>
      </c>
      <c r="U57" s="264">
        <v>10.647103289999999</v>
      </c>
      <c r="V57" s="265">
        <v>9.5147864700000007</v>
      </c>
      <c r="W57" s="264">
        <v>7.398494330000001</v>
      </c>
      <c r="X57" s="265">
        <v>323.59436565999999</v>
      </c>
    </row>
    <row r="58" spans="1:24" ht="15" thickBot="1" x14ac:dyDescent="0.25">
      <c r="A58" s="247"/>
      <c r="B58" s="250" t="s">
        <v>135</v>
      </c>
      <c r="C58" s="266">
        <v>51.598725290000004</v>
      </c>
      <c r="D58" s="266">
        <v>57.355926239999995</v>
      </c>
      <c r="E58" s="266">
        <v>141.70723924999999</v>
      </c>
      <c r="F58" s="266">
        <v>163.06884896</v>
      </c>
      <c r="G58" s="266">
        <v>168.03444978000002</v>
      </c>
      <c r="H58" s="266">
        <v>178.50381103999999</v>
      </c>
      <c r="I58" s="266">
        <v>228.82578838999999</v>
      </c>
      <c r="J58" s="266">
        <v>215.13891436</v>
      </c>
      <c r="K58" s="266">
        <v>193.83179036999999</v>
      </c>
      <c r="L58" s="266">
        <v>170.71541783000001</v>
      </c>
      <c r="M58" s="266">
        <v>154.27559765999999</v>
      </c>
      <c r="N58" s="266">
        <v>157.19631610000002</v>
      </c>
      <c r="O58" s="266">
        <v>147.45054196999999</v>
      </c>
      <c r="P58" s="266">
        <v>132.17149187999999</v>
      </c>
      <c r="Q58" s="266">
        <v>121.98663155</v>
      </c>
      <c r="R58" s="266">
        <v>107.93643478999999</v>
      </c>
      <c r="S58" s="266">
        <v>101.13212319</v>
      </c>
      <c r="T58" s="266">
        <v>122.19433298</v>
      </c>
      <c r="U58" s="266">
        <v>106.20056580999999</v>
      </c>
      <c r="V58" s="266">
        <v>101.76843396000001</v>
      </c>
      <c r="W58" s="266">
        <v>83.471325070000006</v>
      </c>
      <c r="X58" s="266">
        <v>2904.5647064699997</v>
      </c>
    </row>
    <row r="59" spans="1:24" ht="15" x14ac:dyDescent="0.25">
      <c r="A59" s="247"/>
      <c r="B59" s="248" t="s">
        <v>126</v>
      </c>
      <c r="C59" s="264"/>
      <c r="D59" s="265"/>
      <c r="E59" s="264"/>
      <c r="F59" s="265"/>
      <c r="G59" s="264"/>
      <c r="H59" s="265"/>
      <c r="I59" s="264"/>
      <c r="J59" s="265"/>
      <c r="K59" s="264"/>
      <c r="L59" s="265"/>
      <c r="M59" s="264"/>
      <c r="N59" s="265"/>
      <c r="O59" s="264"/>
      <c r="P59" s="265"/>
      <c r="Q59" s="264"/>
      <c r="R59" s="265"/>
      <c r="S59" s="264"/>
      <c r="T59" s="265"/>
      <c r="U59" s="264"/>
      <c r="V59" s="265"/>
      <c r="W59" s="264"/>
      <c r="X59" s="265"/>
    </row>
    <row r="60" spans="1:24" ht="15" x14ac:dyDescent="0.25">
      <c r="A60" s="247"/>
      <c r="B60" s="249" t="s">
        <v>127</v>
      </c>
      <c r="C60" s="264">
        <v>0</v>
      </c>
      <c r="D60" s="265">
        <v>0.11391699999999999</v>
      </c>
      <c r="E60" s="264">
        <v>0</v>
      </c>
      <c r="F60" s="265">
        <v>12.677201630000001</v>
      </c>
      <c r="G60" s="264">
        <v>1.2257855200000001</v>
      </c>
      <c r="H60" s="265">
        <v>0.71297151999999997</v>
      </c>
      <c r="I60" s="264">
        <v>0</v>
      </c>
      <c r="J60" s="265">
        <v>0.64938558000000002</v>
      </c>
      <c r="K60" s="264">
        <v>0</v>
      </c>
      <c r="L60" s="265">
        <v>10.64262237</v>
      </c>
      <c r="M60" s="264">
        <v>4.45635972</v>
      </c>
      <c r="N60" s="265">
        <v>2.370044E-2</v>
      </c>
      <c r="O60" s="264">
        <v>0.20053855000000001</v>
      </c>
      <c r="P60" s="265">
        <v>0.34519757000000001</v>
      </c>
      <c r="Q60" s="264">
        <v>24.845643629999998</v>
      </c>
      <c r="R60" s="265">
        <v>0.34583750999999996</v>
      </c>
      <c r="S60" s="264">
        <v>0.27773400999999998</v>
      </c>
      <c r="T60" s="265">
        <v>5.5671936399999993</v>
      </c>
      <c r="U60" s="264">
        <v>0.57266465</v>
      </c>
      <c r="V60" s="265">
        <v>0.81925148999999986</v>
      </c>
      <c r="W60" s="264">
        <v>12.099199430000002</v>
      </c>
      <c r="X60" s="265">
        <v>75.575204260000007</v>
      </c>
    </row>
    <row r="61" spans="1:24" ht="15" x14ac:dyDescent="0.25">
      <c r="A61" s="247"/>
      <c r="B61" s="249" t="s">
        <v>128</v>
      </c>
      <c r="C61" s="264">
        <v>2</v>
      </c>
      <c r="D61" s="265">
        <v>0.14080099999999998</v>
      </c>
      <c r="E61" s="264">
        <v>0</v>
      </c>
      <c r="F61" s="265">
        <v>54.563066890000002</v>
      </c>
      <c r="G61" s="264">
        <v>16.116689649999998</v>
      </c>
      <c r="H61" s="265">
        <v>15.751213140000001</v>
      </c>
      <c r="I61" s="264">
        <v>0</v>
      </c>
      <c r="J61" s="265">
        <v>28.92035688</v>
      </c>
      <c r="K61" s="264">
        <v>0</v>
      </c>
      <c r="L61" s="265">
        <v>30.08341355</v>
      </c>
      <c r="M61" s="264">
        <v>13.89841139</v>
      </c>
      <c r="N61" s="265">
        <v>12.03457862</v>
      </c>
      <c r="O61" s="264">
        <v>12.251224579999999</v>
      </c>
      <c r="P61" s="265">
        <v>12.892976520000001</v>
      </c>
      <c r="Q61" s="264">
        <v>13.34645673</v>
      </c>
      <c r="R61" s="265">
        <v>17.189860929999998</v>
      </c>
      <c r="S61" s="264">
        <v>14.961645860000001</v>
      </c>
      <c r="T61" s="265">
        <v>15.3911069</v>
      </c>
      <c r="U61" s="264">
        <v>67.336908870000002</v>
      </c>
      <c r="V61" s="265">
        <v>20.24328409</v>
      </c>
      <c r="W61" s="264">
        <v>122.94464379</v>
      </c>
      <c r="X61" s="265">
        <v>470.06663938999998</v>
      </c>
    </row>
    <row r="62" spans="1:24" ht="15" x14ac:dyDescent="0.25">
      <c r="A62" s="247"/>
      <c r="B62" s="249" t="s">
        <v>129</v>
      </c>
      <c r="C62" s="264">
        <v>12</v>
      </c>
      <c r="D62" s="265">
        <v>8.1237000000000004E-2</v>
      </c>
      <c r="E62" s="264">
        <v>0</v>
      </c>
      <c r="F62" s="265">
        <v>26.278633420000002</v>
      </c>
      <c r="G62" s="264">
        <v>7.3385737400000002</v>
      </c>
      <c r="H62" s="265">
        <v>3.4140334799999996</v>
      </c>
      <c r="I62" s="264">
        <v>0</v>
      </c>
      <c r="J62" s="265">
        <v>0.10887340000000001</v>
      </c>
      <c r="K62" s="264">
        <v>0</v>
      </c>
      <c r="L62" s="265">
        <v>0.11917084</v>
      </c>
      <c r="M62" s="264">
        <v>4.3052071700000001</v>
      </c>
      <c r="N62" s="265">
        <v>7.1667569999999986E-2</v>
      </c>
      <c r="O62" s="264">
        <v>8.9044959999999992E-2</v>
      </c>
      <c r="P62" s="265">
        <v>8.5012939999999995E-2</v>
      </c>
      <c r="Q62" s="264">
        <v>9.3637620000000005E-2</v>
      </c>
      <c r="R62" s="265">
        <v>0.33904495999999995</v>
      </c>
      <c r="S62" s="264">
        <v>9.121303E-2</v>
      </c>
      <c r="T62" s="265">
        <v>4.8248131899999995</v>
      </c>
      <c r="U62" s="264">
        <v>0.2105303</v>
      </c>
      <c r="V62" s="265">
        <v>0.55059701999999999</v>
      </c>
      <c r="W62" s="264">
        <v>0.19858982999999999</v>
      </c>
      <c r="X62" s="265">
        <v>60.199880470000018</v>
      </c>
    </row>
    <row r="63" spans="1:24" ht="15" x14ac:dyDescent="0.25">
      <c r="A63" s="247"/>
      <c r="B63" s="249" t="s">
        <v>130</v>
      </c>
      <c r="C63" s="264">
        <v>0</v>
      </c>
      <c r="D63" s="265">
        <v>8.3252000000000007E-2</v>
      </c>
      <c r="E63" s="264">
        <v>0</v>
      </c>
      <c r="F63" s="265">
        <v>0</v>
      </c>
      <c r="G63" s="264">
        <v>0</v>
      </c>
      <c r="H63" s="265">
        <v>0</v>
      </c>
      <c r="I63" s="264">
        <v>0</v>
      </c>
      <c r="J63" s="265">
        <v>0</v>
      </c>
      <c r="K63" s="264">
        <v>0</v>
      </c>
      <c r="L63" s="265">
        <v>0</v>
      </c>
      <c r="M63" s="264">
        <v>0</v>
      </c>
      <c r="N63" s="265">
        <v>0</v>
      </c>
      <c r="O63" s="264">
        <v>0</v>
      </c>
      <c r="P63" s="265">
        <v>0</v>
      </c>
      <c r="Q63" s="264">
        <v>0</v>
      </c>
      <c r="R63" s="265">
        <v>0</v>
      </c>
      <c r="S63" s="264">
        <v>0</v>
      </c>
      <c r="T63" s="265">
        <v>0</v>
      </c>
      <c r="U63" s="264">
        <v>0</v>
      </c>
      <c r="V63" s="265">
        <v>0</v>
      </c>
      <c r="W63" s="264">
        <v>0</v>
      </c>
      <c r="X63" s="265">
        <v>8.3252000000000007E-2</v>
      </c>
    </row>
    <row r="64" spans="1:24" ht="15" x14ac:dyDescent="0.25">
      <c r="A64" s="247"/>
      <c r="B64" s="249" t="s">
        <v>131</v>
      </c>
      <c r="C64" s="264">
        <v>0</v>
      </c>
      <c r="D64" s="265">
        <v>0.11162999999999999</v>
      </c>
      <c r="E64" s="264">
        <v>0</v>
      </c>
      <c r="F64" s="265">
        <v>0</v>
      </c>
      <c r="G64" s="264">
        <v>0</v>
      </c>
      <c r="H64" s="265">
        <v>0</v>
      </c>
      <c r="I64" s="264">
        <v>0</v>
      </c>
      <c r="J64" s="265">
        <v>0</v>
      </c>
      <c r="K64" s="264">
        <v>0</v>
      </c>
      <c r="L64" s="265">
        <v>0</v>
      </c>
      <c r="M64" s="264">
        <v>0</v>
      </c>
      <c r="N64" s="265">
        <v>0</v>
      </c>
      <c r="O64" s="264">
        <v>0</v>
      </c>
      <c r="P64" s="265">
        <v>0</v>
      </c>
      <c r="Q64" s="264">
        <v>0</v>
      </c>
      <c r="R64" s="265">
        <v>0</v>
      </c>
      <c r="S64" s="264">
        <v>0</v>
      </c>
      <c r="T64" s="265">
        <v>0</v>
      </c>
      <c r="U64" s="264">
        <v>0</v>
      </c>
      <c r="V64" s="265">
        <v>0</v>
      </c>
      <c r="W64" s="264">
        <v>0</v>
      </c>
      <c r="X64" s="265">
        <v>0.11162999999999999</v>
      </c>
    </row>
    <row r="65" spans="1:24" ht="15.75" thickBot="1" x14ac:dyDescent="0.3">
      <c r="A65" s="247"/>
      <c r="B65" s="249" t="s">
        <v>132</v>
      </c>
      <c r="C65" s="264">
        <v>0</v>
      </c>
      <c r="D65" s="265">
        <v>9.3411999999999995E-2</v>
      </c>
      <c r="E65" s="264">
        <v>0</v>
      </c>
      <c r="F65" s="265">
        <v>1.0764435800000001</v>
      </c>
      <c r="G65" s="264">
        <v>0.57765586999999996</v>
      </c>
      <c r="H65" s="265">
        <v>0.53552531000000003</v>
      </c>
      <c r="I65" s="264">
        <v>0</v>
      </c>
      <c r="J65" s="265">
        <v>0.91027807999999999</v>
      </c>
      <c r="K65" s="264">
        <v>0</v>
      </c>
      <c r="L65" s="265">
        <v>0.58863701999999996</v>
      </c>
      <c r="M65" s="264">
        <v>0.15036168999999999</v>
      </c>
      <c r="N65" s="265">
        <v>1.504956E-2</v>
      </c>
      <c r="O65" s="264">
        <v>2.4369999999999999E-3</v>
      </c>
      <c r="P65" s="265">
        <v>0</v>
      </c>
      <c r="Q65" s="264">
        <v>0</v>
      </c>
      <c r="R65" s="265">
        <v>0</v>
      </c>
      <c r="S65" s="264">
        <v>0</v>
      </c>
      <c r="T65" s="265">
        <v>0</v>
      </c>
      <c r="U65" s="264">
        <v>0</v>
      </c>
      <c r="V65" s="265">
        <v>0</v>
      </c>
      <c r="W65" s="264">
        <v>0</v>
      </c>
      <c r="X65" s="265">
        <v>3.9498001100000004</v>
      </c>
    </row>
    <row r="66" spans="1:24" ht="15" thickBot="1" x14ac:dyDescent="0.25">
      <c r="A66" s="247"/>
      <c r="B66" s="250" t="s">
        <v>133</v>
      </c>
      <c r="C66" s="266">
        <v>14</v>
      </c>
      <c r="D66" s="266">
        <v>0.62424900000000005</v>
      </c>
      <c r="E66" s="266">
        <v>0</v>
      </c>
      <c r="F66" s="266">
        <v>94.595345520000009</v>
      </c>
      <c r="G66" s="266">
        <v>25.258704779999999</v>
      </c>
      <c r="H66" s="266">
        <v>20.413743450000002</v>
      </c>
      <c r="I66" s="266">
        <v>0</v>
      </c>
      <c r="J66" s="266">
        <v>30.588893940000002</v>
      </c>
      <c r="K66" s="266">
        <v>0</v>
      </c>
      <c r="L66" s="266">
        <v>41.433843780000004</v>
      </c>
      <c r="M66" s="266">
        <v>22.810339970000001</v>
      </c>
      <c r="N66" s="266">
        <v>12.144996190000001</v>
      </c>
      <c r="O66" s="266">
        <v>12.543245089999999</v>
      </c>
      <c r="P66" s="266">
        <v>13.323187030000001</v>
      </c>
      <c r="Q66" s="266">
        <v>38.28573798</v>
      </c>
      <c r="R66" s="266">
        <v>17.874743399999996</v>
      </c>
      <c r="S66" s="266">
        <v>15.330592900000001</v>
      </c>
      <c r="T66" s="266">
        <v>25.78311373</v>
      </c>
      <c r="U66" s="266">
        <v>68.120103819999997</v>
      </c>
      <c r="V66" s="266">
        <v>21.6131326</v>
      </c>
      <c r="W66" s="266">
        <v>135.24243305000002</v>
      </c>
      <c r="X66" s="266">
        <v>609.98640622999994</v>
      </c>
    </row>
    <row r="67" spans="1:24" ht="15" x14ac:dyDescent="0.25">
      <c r="A67" s="247"/>
      <c r="B67" s="248" t="s">
        <v>178</v>
      </c>
      <c r="C67" s="264"/>
      <c r="D67" s="265"/>
      <c r="E67" s="264"/>
      <c r="F67" s="265"/>
      <c r="G67" s="264"/>
      <c r="H67" s="265"/>
      <c r="I67" s="264"/>
      <c r="J67" s="265"/>
      <c r="K67" s="264"/>
      <c r="L67" s="265"/>
      <c r="M67" s="264"/>
      <c r="N67" s="265"/>
      <c r="O67" s="264"/>
      <c r="P67" s="265"/>
      <c r="Q67" s="264"/>
      <c r="R67" s="265"/>
      <c r="S67" s="264"/>
      <c r="T67" s="265"/>
      <c r="U67" s="264"/>
      <c r="V67" s="265"/>
      <c r="W67" s="264"/>
      <c r="X67" s="265"/>
    </row>
    <row r="68" spans="1:24" ht="15.75" thickBot="1" x14ac:dyDescent="0.3">
      <c r="A68" s="247"/>
      <c r="B68" s="249" t="s">
        <v>206</v>
      </c>
      <c r="C68" s="264">
        <v>0</v>
      </c>
      <c r="D68" s="265">
        <v>0</v>
      </c>
      <c r="E68" s="264">
        <v>0</v>
      </c>
      <c r="F68" s="265">
        <v>0</v>
      </c>
      <c r="G68" s="264">
        <v>0</v>
      </c>
      <c r="H68" s="265">
        <v>0</v>
      </c>
      <c r="I68" s="264">
        <v>0</v>
      </c>
      <c r="J68" s="265">
        <v>0</v>
      </c>
      <c r="K68" s="264">
        <v>0</v>
      </c>
      <c r="L68" s="265">
        <v>0</v>
      </c>
      <c r="M68" s="264">
        <v>0</v>
      </c>
      <c r="N68" s="265">
        <v>1554.8</v>
      </c>
      <c r="O68" s="264">
        <v>0</v>
      </c>
      <c r="P68" s="265">
        <v>0</v>
      </c>
      <c r="Q68" s="264">
        <v>0</v>
      </c>
      <c r="R68" s="265">
        <v>0</v>
      </c>
      <c r="S68" s="264">
        <v>0</v>
      </c>
      <c r="T68" s="265">
        <v>0</v>
      </c>
      <c r="U68" s="264">
        <v>0</v>
      </c>
      <c r="V68" s="265">
        <v>0</v>
      </c>
      <c r="W68" s="264">
        <v>0</v>
      </c>
      <c r="X68" s="265">
        <v>1554.8</v>
      </c>
    </row>
    <row r="69" spans="1:24" ht="15" thickBot="1" x14ac:dyDescent="0.25">
      <c r="A69" s="247"/>
      <c r="B69" s="250" t="s">
        <v>179</v>
      </c>
      <c r="C69" s="266">
        <v>0</v>
      </c>
      <c r="D69" s="266">
        <v>0</v>
      </c>
      <c r="E69" s="266">
        <v>0</v>
      </c>
      <c r="F69" s="266">
        <v>0</v>
      </c>
      <c r="G69" s="266">
        <v>0</v>
      </c>
      <c r="H69" s="266">
        <v>0</v>
      </c>
      <c r="I69" s="266">
        <v>0</v>
      </c>
      <c r="J69" s="266">
        <v>0</v>
      </c>
      <c r="K69" s="266">
        <v>0</v>
      </c>
      <c r="L69" s="266">
        <v>0</v>
      </c>
      <c r="M69" s="266">
        <v>0</v>
      </c>
      <c r="N69" s="266">
        <v>1554.8</v>
      </c>
      <c r="O69" s="266">
        <v>0</v>
      </c>
      <c r="P69" s="266">
        <v>0</v>
      </c>
      <c r="Q69" s="266">
        <v>0</v>
      </c>
      <c r="R69" s="266">
        <v>0</v>
      </c>
      <c r="S69" s="266">
        <v>0</v>
      </c>
      <c r="T69" s="266">
        <v>0</v>
      </c>
      <c r="U69" s="266">
        <v>0</v>
      </c>
      <c r="V69" s="266">
        <v>0</v>
      </c>
      <c r="W69" s="266">
        <v>0</v>
      </c>
      <c r="X69" s="266">
        <v>1554.8</v>
      </c>
    </row>
    <row r="70" spans="1:24" ht="15" x14ac:dyDescent="0.25">
      <c r="A70" s="247"/>
      <c r="B70" s="248" t="s">
        <v>122</v>
      </c>
      <c r="C70" s="264"/>
      <c r="D70" s="265"/>
      <c r="E70" s="264"/>
      <c r="F70" s="265"/>
      <c r="G70" s="264"/>
      <c r="H70" s="265"/>
      <c r="I70" s="264"/>
      <c r="J70" s="265"/>
      <c r="K70" s="264"/>
      <c r="L70" s="265"/>
      <c r="M70" s="264"/>
      <c r="N70" s="265"/>
      <c r="O70" s="264"/>
      <c r="P70" s="265"/>
      <c r="Q70" s="264"/>
      <c r="R70" s="265"/>
      <c r="S70" s="264"/>
      <c r="T70" s="265"/>
      <c r="U70" s="264"/>
      <c r="V70" s="265"/>
      <c r="W70" s="264"/>
      <c r="X70" s="265"/>
    </row>
    <row r="71" spans="1:24" ht="15.75" thickBot="1" x14ac:dyDescent="0.3">
      <c r="A71" s="247"/>
      <c r="B71" s="249" t="s">
        <v>207</v>
      </c>
      <c r="C71" s="264">
        <v>0</v>
      </c>
      <c r="D71" s="265">
        <v>0</v>
      </c>
      <c r="E71" s="264">
        <v>0</v>
      </c>
      <c r="F71" s="265">
        <v>0</v>
      </c>
      <c r="G71" s="264">
        <v>0</v>
      </c>
      <c r="H71" s="265">
        <v>500</v>
      </c>
      <c r="I71" s="264">
        <v>0</v>
      </c>
      <c r="J71" s="265">
        <v>0</v>
      </c>
      <c r="K71" s="264">
        <v>0</v>
      </c>
      <c r="L71" s="265">
        <v>0</v>
      </c>
      <c r="M71" s="264">
        <v>0</v>
      </c>
      <c r="N71" s="265">
        <v>0</v>
      </c>
      <c r="O71" s="264">
        <v>0</v>
      </c>
      <c r="P71" s="265">
        <v>0</v>
      </c>
      <c r="Q71" s="264">
        <v>0</v>
      </c>
      <c r="R71" s="265">
        <v>1.0000002248489182E-7</v>
      </c>
      <c r="S71" s="264">
        <v>0</v>
      </c>
      <c r="T71" s="265">
        <v>0</v>
      </c>
      <c r="U71" s="264">
        <v>0</v>
      </c>
      <c r="V71" s="265">
        <v>0</v>
      </c>
      <c r="W71" s="264">
        <v>0</v>
      </c>
      <c r="X71" s="265">
        <v>500.00000010000002</v>
      </c>
    </row>
    <row r="72" spans="1:24" ht="15" thickBot="1" x14ac:dyDescent="0.25">
      <c r="A72" s="247"/>
      <c r="B72" s="250" t="s">
        <v>123</v>
      </c>
      <c r="C72" s="266">
        <v>0</v>
      </c>
      <c r="D72" s="266">
        <v>0</v>
      </c>
      <c r="E72" s="266">
        <v>0</v>
      </c>
      <c r="F72" s="266">
        <v>0</v>
      </c>
      <c r="G72" s="266">
        <v>0</v>
      </c>
      <c r="H72" s="266">
        <v>500</v>
      </c>
      <c r="I72" s="266">
        <v>0</v>
      </c>
      <c r="J72" s="266">
        <v>0</v>
      </c>
      <c r="K72" s="266">
        <v>0</v>
      </c>
      <c r="L72" s="266">
        <v>0</v>
      </c>
      <c r="M72" s="266">
        <v>0</v>
      </c>
      <c r="N72" s="266">
        <v>0</v>
      </c>
      <c r="O72" s="266">
        <v>0</v>
      </c>
      <c r="P72" s="266">
        <v>0</v>
      </c>
      <c r="Q72" s="266">
        <v>0</v>
      </c>
      <c r="R72" s="266">
        <v>1.0000002248489182E-7</v>
      </c>
      <c r="S72" s="266">
        <v>0</v>
      </c>
      <c r="T72" s="266">
        <v>0</v>
      </c>
      <c r="U72" s="266">
        <v>0</v>
      </c>
      <c r="V72" s="266">
        <v>0</v>
      </c>
      <c r="W72" s="266">
        <v>0</v>
      </c>
      <c r="X72" s="266">
        <v>500.00000010000002</v>
      </c>
    </row>
    <row r="73" spans="1:24" ht="15" x14ac:dyDescent="0.25">
      <c r="A73" s="247"/>
      <c r="B73" s="248" t="s">
        <v>124</v>
      </c>
      <c r="C73" s="264"/>
      <c r="D73" s="265"/>
      <c r="E73" s="264"/>
      <c r="F73" s="265"/>
      <c r="G73" s="264"/>
      <c r="H73" s="265"/>
      <c r="I73" s="264"/>
      <c r="J73" s="265"/>
      <c r="K73" s="264"/>
      <c r="L73" s="265"/>
      <c r="M73" s="264"/>
      <c r="N73" s="265"/>
      <c r="O73" s="264"/>
      <c r="P73" s="265"/>
      <c r="Q73" s="264"/>
      <c r="R73" s="265"/>
      <c r="S73" s="264"/>
      <c r="T73" s="265"/>
      <c r="U73" s="264"/>
      <c r="V73" s="265"/>
      <c r="W73" s="264"/>
      <c r="X73" s="265"/>
    </row>
    <row r="74" spans="1:24" ht="15" x14ac:dyDescent="0.25">
      <c r="A74" s="247"/>
      <c r="B74" s="249" t="s">
        <v>208</v>
      </c>
      <c r="C74" s="264">
        <v>0</v>
      </c>
      <c r="D74" s="265">
        <v>0</v>
      </c>
      <c r="E74" s="264">
        <v>0</v>
      </c>
      <c r="F74" s="265">
        <v>0</v>
      </c>
      <c r="G74" s="264">
        <v>0</v>
      </c>
      <c r="H74" s="265">
        <v>0</v>
      </c>
      <c r="I74" s="264">
        <v>0</v>
      </c>
      <c r="J74" s="265">
        <v>0</v>
      </c>
      <c r="K74" s="264">
        <v>0</v>
      </c>
      <c r="L74" s="265">
        <v>0</v>
      </c>
      <c r="M74" s="264">
        <v>0</v>
      </c>
      <c r="N74" s="286">
        <v>8.5217805999999996</v>
      </c>
      <c r="O74" s="264">
        <v>0</v>
      </c>
      <c r="P74" s="265">
        <v>0</v>
      </c>
      <c r="Q74" s="264">
        <v>0</v>
      </c>
      <c r="R74" s="265">
        <v>0</v>
      </c>
      <c r="S74" s="264">
        <v>0</v>
      </c>
      <c r="T74" s="265">
        <v>0</v>
      </c>
      <c r="U74" s="264">
        <v>0</v>
      </c>
      <c r="V74" s="265">
        <v>0</v>
      </c>
      <c r="W74" s="264">
        <v>0</v>
      </c>
      <c r="X74" s="265">
        <v>8.5217805999999996</v>
      </c>
    </row>
    <row r="75" spans="1:24" ht="15" x14ac:dyDescent="0.25">
      <c r="A75" s="247"/>
      <c r="B75" s="249" t="s">
        <v>209</v>
      </c>
      <c r="C75" s="264">
        <v>0</v>
      </c>
      <c r="D75" s="265">
        <v>0</v>
      </c>
      <c r="E75" s="264">
        <v>0</v>
      </c>
      <c r="F75" s="285">
        <v>486.08755480000002</v>
      </c>
      <c r="G75" s="286">
        <v>210.59213080000001</v>
      </c>
      <c r="H75" s="265">
        <v>0</v>
      </c>
      <c r="I75" s="264">
        <v>0</v>
      </c>
      <c r="J75" s="265">
        <v>0</v>
      </c>
      <c r="K75" s="264">
        <v>0</v>
      </c>
      <c r="L75" s="265">
        <v>0</v>
      </c>
      <c r="M75" s="264">
        <v>0</v>
      </c>
      <c r="N75" s="286">
        <v>328.12031439999998</v>
      </c>
      <c r="O75" s="264">
        <v>0</v>
      </c>
      <c r="P75" s="265">
        <v>9.0000003183376975E-7</v>
      </c>
      <c r="Q75" s="264">
        <v>9.0000000341206032E-7</v>
      </c>
      <c r="R75" s="265">
        <v>0</v>
      </c>
      <c r="S75" s="264">
        <v>0</v>
      </c>
      <c r="T75" s="265">
        <v>0</v>
      </c>
      <c r="U75" s="264">
        <v>0</v>
      </c>
      <c r="V75" s="265">
        <v>0</v>
      </c>
      <c r="W75" s="264">
        <v>0</v>
      </c>
      <c r="X75" s="265">
        <v>1024.8000018000002</v>
      </c>
    </row>
    <row r="76" spans="1:24" ht="15.75" thickBot="1" x14ac:dyDescent="0.3">
      <c r="A76" s="247"/>
      <c r="B76" s="249" t="s">
        <v>210</v>
      </c>
      <c r="C76" s="264">
        <v>0</v>
      </c>
      <c r="D76" s="265">
        <v>0</v>
      </c>
      <c r="E76" s="264">
        <v>0</v>
      </c>
      <c r="F76" s="265">
        <v>0</v>
      </c>
      <c r="G76" s="264">
        <v>0</v>
      </c>
      <c r="H76" s="265">
        <v>0</v>
      </c>
      <c r="I76" s="264">
        <v>0</v>
      </c>
      <c r="J76" s="265">
        <v>0.2281764</v>
      </c>
      <c r="K76" s="264">
        <v>0</v>
      </c>
      <c r="L76" s="265">
        <v>0</v>
      </c>
      <c r="M76" s="264">
        <v>3.0686868</v>
      </c>
      <c r="N76" s="286">
        <v>1989.9</v>
      </c>
      <c r="O76" s="264">
        <v>0</v>
      </c>
      <c r="P76" s="265">
        <v>0</v>
      </c>
      <c r="Q76" s="264">
        <v>0</v>
      </c>
      <c r="R76" s="265">
        <v>0</v>
      </c>
      <c r="S76" s="264">
        <v>0</v>
      </c>
      <c r="T76" s="265">
        <v>5.0000000001437783E-7</v>
      </c>
      <c r="U76" s="264">
        <v>0</v>
      </c>
      <c r="V76" s="265">
        <v>0</v>
      </c>
      <c r="W76" s="264">
        <v>8.9999999985934664E-7</v>
      </c>
      <c r="X76" s="265">
        <v>1993.1968646</v>
      </c>
    </row>
    <row r="77" spans="1:24" ht="15" thickBot="1" x14ac:dyDescent="0.25">
      <c r="A77" s="247"/>
      <c r="B77" s="250" t="s">
        <v>125</v>
      </c>
      <c r="C77" s="266">
        <v>0</v>
      </c>
      <c r="D77" s="266">
        <v>0</v>
      </c>
      <c r="E77" s="266">
        <v>0</v>
      </c>
      <c r="F77" s="266">
        <v>486.08755480000002</v>
      </c>
      <c r="G77" s="266">
        <v>210.59213080000001</v>
      </c>
      <c r="H77" s="266">
        <v>0</v>
      </c>
      <c r="I77" s="266">
        <v>0</v>
      </c>
      <c r="J77" s="266">
        <v>0.2281764</v>
      </c>
      <c r="K77" s="266">
        <v>0</v>
      </c>
      <c r="L77" s="266">
        <v>0</v>
      </c>
      <c r="M77" s="266">
        <v>3.0686868</v>
      </c>
      <c r="N77" s="266">
        <v>2326.5420950000002</v>
      </c>
      <c r="O77" s="266">
        <v>0</v>
      </c>
      <c r="P77" s="266">
        <v>9.0000003183376975E-7</v>
      </c>
      <c r="Q77" s="266">
        <v>9.0000000341206032E-7</v>
      </c>
      <c r="R77" s="266">
        <v>0</v>
      </c>
      <c r="S77" s="266">
        <v>0</v>
      </c>
      <c r="T77" s="266">
        <v>5.0000000001437783E-7</v>
      </c>
      <c r="U77" s="266">
        <v>0</v>
      </c>
      <c r="V77" s="266">
        <v>0</v>
      </c>
      <c r="W77" s="266">
        <v>8.9999999985934664E-7</v>
      </c>
      <c r="X77" s="266">
        <v>3026.5186470000003</v>
      </c>
    </row>
    <row r="78" spans="1:24" ht="15" x14ac:dyDescent="0.25">
      <c r="A78" s="247"/>
      <c r="B78" s="248" t="s">
        <v>180</v>
      </c>
      <c r="C78" s="264"/>
      <c r="D78" s="265"/>
      <c r="E78" s="264"/>
      <c r="F78" s="265"/>
      <c r="G78" s="264"/>
      <c r="H78" s="265"/>
      <c r="I78" s="264"/>
      <c r="J78" s="265"/>
      <c r="K78" s="264"/>
      <c r="L78" s="265"/>
      <c r="M78" s="264"/>
      <c r="N78" s="265"/>
      <c r="O78" s="264"/>
      <c r="P78" s="265"/>
      <c r="Q78" s="264"/>
      <c r="R78" s="265"/>
      <c r="S78" s="264"/>
      <c r="T78" s="265"/>
      <c r="U78" s="264"/>
      <c r="V78" s="265"/>
      <c r="W78" s="264"/>
      <c r="X78" s="265"/>
    </row>
    <row r="79" spans="1:24" ht="15" x14ac:dyDescent="0.25">
      <c r="A79" s="247"/>
      <c r="B79" s="249" t="s">
        <v>211</v>
      </c>
      <c r="C79" s="264">
        <v>0</v>
      </c>
      <c r="D79" s="265">
        <v>0</v>
      </c>
      <c r="E79" s="264">
        <v>0</v>
      </c>
      <c r="F79" s="265">
        <v>0.80058339999999995</v>
      </c>
      <c r="G79" s="264">
        <v>0</v>
      </c>
      <c r="H79" s="265">
        <v>0</v>
      </c>
      <c r="I79" s="264">
        <v>0</v>
      </c>
      <c r="J79" s="265">
        <v>0</v>
      </c>
      <c r="K79" s="264">
        <v>0</v>
      </c>
      <c r="L79" s="265">
        <v>0</v>
      </c>
      <c r="M79" s="264">
        <v>0</v>
      </c>
      <c r="N79" s="265">
        <v>0</v>
      </c>
      <c r="O79" s="264">
        <v>0</v>
      </c>
      <c r="P79" s="265">
        <v>0</v>
      </c>
      <c r="Q79" s="264">
        <v>0</v>
      </c>
      <c r="R79" s="265">
        <v>0</v>
      </c>
      <c r="S79" s="264">
        <v>0</v>
      </c>
      <c r="T79" s="265">
        <v>0</v>
      </c>
      <c r="U79" s="264">
        <v>0</v>
      </c>
      <c r="V79" s="265">
        <v>0</v>
      </c>
      <c r="W79" s="264">
        <v>0</v>
      </c>
      <c r="X79" s="265">
        <v>0.80058339999999995</v>
      </c>
    </row>
    <row r="80" spans="1:24" ht="15.75" thickBot="1" x14ac:dyDescent="0.3">
      <c r="A80" s="247"/>
      <c r="B80" s="249" t="s">
        <v>202</v>
      </c>
      <c r="C80" s="264">
        <v>0</v>
      </c>
      <c r="D80" s="271">
        <v>520</v>
      </c>
      <c r="E80" s="264">
        <v>153.88421059999999</v>
      </c>
      <c r="F80" s="265">
        <v>0</v>
      </c>
      <c r="G80" s="264">
        <v>0</v>
      </c>
      <c r="H80" s="265">
        <v>0</v>
      </c>
      <c r="I80" s="264">
        <v>0</v>
      </c>
      <c r="J80" s="265">
        <v>0</v>
      </c>
      <c r="K80" s="264">
        <v>0</v>
      </c>
      <c r="L80" s="265">
        <v>0</v>
      </c>
      <c r="M80" s="264">
        <v>0</v>
      </c>
      <c r="N80" s="265">
        <v>0</v>
      </c>
      <c r="O80" s="264">
        <v>0</v>
      </c>
      <c r="P80" s="265">
        <v>0</v>
      </c>
      <c r="Q80" s="264">
        <v>0</v>
      </c>
      <c r="R80" s="265">
        <v>0</v>
      </c>
      <c r="S80" s="264">
        <v>0</v>
      </c>
      <c r="T80" s="265">
        <v>0</v>
      </c>
      <c r="U80" s="264">
        <v>0</v>
      </c>
      <c r="V80" s="265">
        <v>0</v>
      </c>
      <c r="W80" s="264">
        <v>0</v>
      </c>
      <c r="X80" s="265">
        <v>673.88421059999996</v>
      </c>
    </row>
    <row r="81" spans="1:24" ht="15" thickBot="1" x14ac:dyDescent="0.25">
      <c r="A81" s="247"/>
      <c r="B81" s="250" t="s">
        <v>181</v>
      </c>
      <c r="C81" s="266">
        <v>0</v>
      </c>
      <c r="D81" s="266">
        <v>520</v>
      </c>
      <c r="E81" s="266">
        <v>153.88421059999999</v>
      </c>
      <c r="F81" s="266">
        <v>0.80058339999999995</v>
      </c>
      <c r="G81" s="266">
        <v>0</v>
      </c>
      <c r="H81" s="266">
        <v>0</v>
      </c>
      <c r="I81" s="266">
        <v>0</v>
      </c>
      <c r="J81" s="266">
        <v>0</v>
      </c>
      <c r="K81" s="266">
        <v>0</v>
      </c>
      <c r="L81" s="266">
        <v>0</v>
      </c>
      <c r="M81" s="266">
        <v>0</v>
      </c>
      <c r="N81" s="266">
        <v>0</v>
      </c>
      <c r="O81" s="266">
        <v>0</v>
      </c>
      <c r="P81" s="266">
        <v>0</v>
      </c>
      <c r="Q81" s="266">
        <v>0</v>
      </c>
      <c r="R81" s="266">
        <v>0</v>
      </c>
      <c r="S81" s="266">
        <v>0</v>
      </c>
      <c r="T81" s="266">
        <v>0</v>
      </c>
      <c r="U81" s="266">
        <v>0</v>
      </c>
      <c r="V81" s="266">
        <v>0</v>
      </c>
      <c r="W81" s="266">
        <v>0</v>
      </c>
      <c r="X81" s="266">
        <v>674.68479400000001</v>
      </c>
    </row>
    <row r="82" spans="1:24" ht="15" x14ac:dyDescent="0.25">
      <c r="A82" s="247"/>
      <c r="B82" s="248" t="s">
        <v>212</v>
      </c>
      <c r="C82" s="264"/>
      <c r="D82" s="265"/>
      <c r="E82" s="264"/>
      <c r="F82" s="265"/>
      <c r="G82" s="264"/>
      <c r="H82" s="265"/>
      <c r="I82" s="264"/>
      <c r="J82" s="265"/>
      <c r="K82" s="264"/>
      <c r="L82" s="265"/>
      <c r="M82" s="264"/>
      <c r="N82" s="265"/>
      <c r="O82" s="264"/>
      <c r="P82" s="265"/>
      <c r="Q82" s="264"/>
      <c r="R82" s="265"/>
      <c r="S82" s="264"/>
      <c r="T82" s="265"/>
      <c r="U82" s="264"/>
      <c r="V82" s="265"/>
      <c r="W82" s="264"/>
      <c r="X82" s="265"/>
    </row>
    <row r="83" spans="1:24" ht="15" x14ac:dyDescent="0.25">
      <c r="A83" s="247"/>
      <c r="B83" s="249" t="s">
        <v>213</v>
      </c>
      <c r="C83" s="264">
        <v>0</v>
      </c>
      <c r="D83" s="265">
        <v>0</v>
      </c>
      <c r="E83" s="264">
        <v>1.3000026</v>
      </c>
      <c r="F83" s="265">
        <v>25.783235399999999</v>
      </c>
      <c r="G83" s="264">
        <v>62.093224399999997</v>
      </c>
      <c r="H83" s="265">
        <v>0</v>
      </c>
      <c r="I83" s="264">
        <v>0</v>
      </c>
      <c r="J83" s="265">
        <v>0</v>
      </c>
      <c r="K83" s="264">
        <v>0</v>
      </c>
      <c r="L83" s="265">
        <v>0</v>
      </c>
      <c r="M83" s="264">
        <v>0</v>
      </c>
      <c r="N83" s="265">
        <v>0</v>
      </c>
      <c r="O83" s="264">
        <v>0</v>
      </c>
      <c r="P83" s="265">
        <v>0</v>
      </c>
      <c r="Q83" s="264">
        <v>0</v>
      </c>
      <c r="R83" s="265">
        <v>0</v>
      </c>
      <c r="S83" s="264">
        <v>0</v>
      </c>
      <c r="T83" s="265">
        <v>0</v>
      </c>
      <c r="U83" s="264">
        <v>0</v>
      </c>
      <c r="V83" s="265">
        <v>0</v>
      </c>
      <c r="W83" s="264">
        <v>0</v>
      </c>
      <c r="X83" s="265">
        <v>89.176462399999991</v>
      </c>
    </row>
    <row r="84" spans="1:24" ht="15.75" thickBot="1" x14ac:dyDescent="0.3">
      <c r="A84" s="247"/>
      <c r="B84" s="249" t="s">
        <v>214</v>
      </c>
      <c r="C84" s="264">
        <v>0</v>
      </c>
      <c r="D84" s="265">
        <v>0</v>
      </c>
      <c r="E84" s="264">
        <v>0</v>
      </c>
      <c r="F84" s="265">
        <v>0</v>
      </c>
      <c r="G84" s="264">
        <v>0</v>
      </c>
      <c r="H84" s="265">
        <v>654.97093559999996</v>
      </c>
      <c r="I84" s="264">
        <v>165.9799246</v>
      </c>
      <c r="J84" s="265">
        <v>22.2348888</v>
      </c>
      <c r="K84" s="264">
        <v>92.940979200000001</v>
      </c>
      <c r="L84" s="265">
        <v>88.157734599999998</v>
      </c>
      <c r="M84" s="264">
        <v>66.874301599999995</v>
      </c>
      <c r="N84" s="265">
        <v>0</v>
      </c>
      <c r="O84" s="264">
        <v>0</v>
      </c>
      <c r="P84" s="265">
        <v>326.37999639999998</v>
      </c>
      <c r="Q84" s="264">
        <v>466.00492000000003</v>
      </c>
      <c r="R84" s="265">
        <v>311.7911484</v>
      </c>
      <c r="S84" s="264">
        <v>324.52510239999998</v>
      </c>
      <c r="T84" s="265">
        <v>0</v>
      </c>
      <c r="U84" s="264">
        <v>264.14415880000001</v>
      </c>
      <c r="V84" s="265">
        <v>331.7192862</v>
      </c>
      <c r="W84" s="264">
        <v>79.643557200000004</v>
      </c>
      <c r="X84" s="265">
        <v>3195.3669338</v>
      </c>
    </row>
    <row r="85" spans="1:24" ht="15" thickBot="1" x14ac:dyDescent="0.25">
      <c r="A85" s="247"/>
      <c r="B85" s="250" t="s">
        <v>215</v>
      </c>
      <c r="C85" s="266">
        <v>0</v>
      </c>
      <c r="D85" s="266">
        <v>0</v>
      </c>
      <c r="E85" s="266">
        <v>1.3000026</v>
      </c>
      <c r="F85" s="266">
        <v>25.783235399999999</v>
      </c>
      <c r="G85" s="266">
        <v>62.093224399999997</v>
      </c>
      <c r="H85" s="266">
        <v>654.97093559999996</v>
      </c>
      <c r="I85" s="266">
        <v>165.9799246</v>
      </c>
      <c r="J85" s="266">
        <v>22.2348888</v>
      </c>
      <c r="K85" s="266">
        <v>92.940979200000001</v>
      </c>
      <c r="L85" s="266">
        <v>88.157734599999998</v>
      </c>
      <c r="M85" s="266">
        <v>66.874301599999995</v>
      </c>
      <c r="N85" s="266">
        <v>0</v>
      </c>
      <c r="O85" s="266">
        <v>0</v>
      </c>
      <c r="P85" s="266">
        <v>326.37999639999998</v>
      </c>
      <c r="Q85" s="266">
        <v>466.00492000000003</v>
      </c>
      <c r="R85" s="266">
        <v>311.7911484</v>
      </c>
      <c r="S85" s="266">
        <v>324.52510239999998</v>
      </c>
      <c r="T85" s="266">
        <v>0</v>
      </c>
      <c r="U85" s="266">
        <v>264.14415880000001</v>
      </c>
      <c r="V85" s="266">
        <v>331.7192862</v>
      </c>
      <c r="W85" s="266">
        <v>79.643557200000004</v>
      </c>
      <c r="X85" s="266">
        <v>3284.5433961999997</v>
      </c>
    </row>
    <row r="86" spans="1:24" ht="15" x14ac:dyDescent="0.25">
      <c r="A86" s="247"/>
      <c r="B86" s="248" t="s">
        <v>216</v>
      </c>
      <c r="C86" s="264"/>
      <c r="D86" s="265"/>
      <c r="E86" s="264"/>
      <c r="F86" s="265"/>
      <c r="G86" s="264"/>
      <c r="H86" s="265"/>
      <c r="I86" s="264"/>
      <c r="J86" s="265"/>
      <c r="K86" s="264"/>
      <c r="L86" s="265"/>
      <c r="M86" s="264"/>
      <c r="N86" s="265"/>
      <c r="O86" s="264"/>
      <c r="P86" s="265"/>
      <c r="Q86" s="264"/>
      <c r="R86" s="265"/>
      <c r="S86" s="264"/>
      <c r="T86" s="265"/>
      <c r="U86" s="264"/>
      <c r="V86" s="265"/>
      <c r="W86" s="264"/>
      <c r="X86" s="265"/>
    </row>
    <row r="87" spans="1:24" ht="15" x14ac:dyDescent="0.25">
      <c r="A87" s="247"/>
      <c r="B87" s="249" t="s">
        <v>217</v>
      </c>
      <c r="C87" s="264">
        <v>0</v>
      </c>
      <c r="D87" s="265">
        <v>0</v>
      </c>
      <c r="E87" s="264">
        <v>0</v>
      </c>
      <c r="F87" s="265">
        <v>0</v>
      </c>
      <c r="G87" s="264">
        <v>0</v>
      </c>
      <c r="H87" s="265">
        <v>0</v>
      </c>
      <c r="I87" s="264">
        <v>0</v>
      </c>
      <c r="J87" s="265">
        <v>0</v>
      </c>
      <c r="K87" s="264">
        <v>0.47086146000000001</v>
      </c>
      <c r="L87" s="265">
        <v>0</v>
      </c>
      <c r="M87" s="264">
        <v>0</v>
      </c>
      <c r="N87" s="265">
        <v>246.15144660000001</v>
      </c>
      <c r="O87" s="264">
        <v>4.3131906600000001</v>
      </c>
      <c r="P87" s="265">
        <v>36.6708043</v>
      </c>
      <c r="Q87" s="264">
        <v>9.0301168599999997</v>
      </c>
      <c r="R87" s="265">
        <v>0</v>
      </c>
      <c r="S87" s="264">
        <v>0</v>
      </c>
      <c r="T87" s="272">
        <v>236.38172539999999</v>
      </c>
      <c r="U87" s="272">
        <v>802.17809736000004</v>
      </c>
      <c r="V87" s="265">
        <v>0</v>
      </c>
      <c r="W87" s="264">
        <v>0</v>
      </c>
      <c r="X87" s="265">
        <v>1335.19624264</v>
      </c>
    </row>
    <row r="88" spans="1:24" ht="15.75" thickBot="1" x14ac:dyDescent="0.3">
      <c r="A88" s="247"/>
      <c r="B88" s="249" t="s">
        <v>177</v>
      </c>
      <c r="C88" s="264">
        <v>0</v>
      </c>
      <c r="D88" s="265">
        <v>0</v>
      </c>
      <c r="E88" s="264">
        <v>0</v>
      </c>
      <c r="F88" s="265">
        <v>0</v>
      </c>
      <c r="G88" s="264">
        <v>379.85317959999998</v>
      </c>
      <c r="H88" s="265">
        <v>505.49729719999999</v>
      </c>
      <c r="I88" s="264">
        <v>4.3814599599999999</v>
      </c>
      <c r="J88" s="265">
        <v>85.371481119999999</v>
      </c>
      <c r="K88" s="264">
        <v>0</v>
      </c>
      <c r="L88" s="265">
        <v>0</v>
      </c>
      <c r="M88" s="264">
        <v>0</v>
      </c>
      <c r="N88" s="265">
        <v>0</v>
      </c>
      <c r="O88" s="264">
        <v>0</v>
      </c>
      <c r="P88" s="265">
        <v>0</v>
      </c>
      <c r="Q88" s="264">
        <v>9.9999965641472954E-8</v>
      </c>
      <c r="R88" s="265">
        <v>9.9999965641472954E-8</v>
      </c>
      <c r="S88" s="264">
        <v>6.0000000523530161E-8</v>
      </c>
      <c r="T88" s="265">
        <v>2.000000165480742E-8</v>
      </c>
      <c r="U88" s="264">
        <v>0</v>
      </c>
      <c r="V88" s="265">
        <v>0</v>
      </c>
      <c r="W88" s="264">
        <v>0</v>
      </c>
      <c r="X88" s="265">
        <v>975.10341816000005</v>
      </c>
    </row>
    <row r="89" spans="1:24" ht="15" thickBot="1" x14ac:dyDescent="0.25">
      <c r="A89" s="247"/>
      <c r="B89" s="250" t="s">
        <v>218</v>
      </c>
      <c r="C89" s="266">
        <v>0</v>
      </c>
      <c r="D89" s="266">
        <v>0</v>
      </c>
      <c r="E89" s="266">
        <v>0</v>
      </c>
      <c r="F89" s="266">
        <v>0</v>
      </c>
      <c r="G89" s="266">
        <v>379.85317959999998</v>
      </c>
      <c r="H89" s="266">
        <v>505.49729719999999</v>
      </c>
      <c r="I89" s="266">
        <v>4.3814599599999999</v>
      </c>
      <c r="J89" s="266">
        <v>85.371481119999999</v>
      </c>
      <c r="K89" s="266">
        <v>0.47086146000000001</v>
      </c>
      <c r="L89" s="266">
        <v>0</v>
      </c>
      <c r="M89" s="266">
        <v>0</v>
      </c>
      <c r="N89" s="266">
        <v>246.15144660000001</v>
      </c>
      <c r="O89" s="266">
        <v>4.3131906600000001</v>
      </c>
      <c r="P89" s="266">
        <v>36.6708043</v>
      </c>
      <c r="Q89" s="266">
        <v>9.0301169599999653</v>
      </c>
      <c r="R89" s="266">
        <v>9.9999965641472954E-8</v>
      </c>
      <c r="S89" s="266">
        <v>6.0000000523530161E-8</v>
      </c>
      <c r="T89" s="266">
        <v>236.38172542000001</v>
      </c>
      <c r="U89" s="266">
        <v>802.17809736000004</v>
      </c>
      <c r="V89" s="266">
        <v>0</v>
      </c>
      <c r="W89" s="266">
        <v>0</v>
      </c>
      <c r="X89" s="266">
        <v>2310.2996608000003</v>
      </c>
    </row>
    <row r="90" spans="1:24" ht="15" thickBot="1" x14ac:dyDescent="0.25">
      <c r="A90" s="281"/>
      <c r="B90" s="251" t="s">
        <v>136</v>
      </c>
      <c r="C90" s="267">
        <v>65.598725290000004</v>
      </c>
      <c r="D90" s="268">
        <v>577.98017523999999</v>
      </c>
      <c r="E90" s="267">
        <v>296.89145245000003</v>
      </c>
      <c r="F90" s="268">
        <v>770.33556808000003</v>
      </c>
      <c r="G90" s="267">
        <v>845.83168935999993</v>
      </c>
      <c r="H90" s="268">
        <v>1859.3857872899998</v>
      </c>
      <c r="I90" s="267">
        <v>399.18717294999993</v>
      </c>
      <c r="J90" s="268">
        <v>353.56235462000001</v>
      </c>
      <c r="K90" s="267">
        <v>287.24363102999996</v>
      </c>
      <c r="L90" s="268">
        <v>300.30699620999997</v>
      </c>
      <c r="M90" s="267">
        <v>247.02892602999998</v>
      </c>
      <c r="N90" s="268">
        <v>4296.83485389</v>
      </c>
      <c r="O90" s="267">
        <v>164.30697771999996</v>
      </c>
      <c r="P90" s="268">
        <v>508.54548051</v>
      </c>
      <c r="Q90" s="267">
        <v>635.30740738999998</v>
      </c>
      <c r="R90" s="268">
        <v>437.60232678999995</v>
      </c>
      <c r="S90" s="267">
        <v>440.98781854999999</v>
      </c>
      <c r="T90" s="268">
        <v>384.35917262999999</v>
      </c>
      <c r="U90" s="267">
        <v>1240.6429257899999</v>
      </c>
      <c r="V90" s="268">
        <v>455.10085276000001</v>
      </c>
      <c r="W90" s="267">
        <v>298.35731622000003</v>
      </c>
      <c r="X90" s="283">
        <v>14865.397610800001</v>
      </c>
    </row>
    <row r="91" spans="1:24" ht="15" thickTop="1" x14ac:dyDescent="0.2">
      <c r="A91" s="282" t="s">
        <v>33</v>
      </c>
      <c r="B91" s="256"/>
      <c r="C91" s="260"/>
      <c r="D91" s="261"/>
      <c r="E91" s="260"/>
      <c r="F91" s="261"/>
      <c r="G91" s="260"/>
      <c r="H91" s="261"/>
      <c r="I91" s="260"/>
      <c r="J91" s="261"/>
      <c r="K91" s="260"/>
      <c r="L91" s="261"/>
      <c r="M91" s="260"/>
      <c r="N91" s="261"/>
      <c r="O91" s="260"/>
      <c r="P91" s="261"/>
      <c r="Q91" s="260"/>
      <c r="R91" s="261"/>
      <c r="S91" s="260"/>
      <c r="T91" s="261"/>
      <c r="U91" s="260"/>
      <c r="V91" s="261"/>
      <c r="W91" s="260"/>
      <c r="X91" s="261"/>
    </row>
    <row r="92" spans="1:24" ht="14.25" x14ac:dyDescent="0.2">
      <c r="A92" s="282"/>
      <c r="B92" s="252" t="s">
        <v>118</v>
      </c>
      <c r="C92" s="262"/>
      <c r="D92" s="263"/>
      <c r="E92" s="262"/>
      <c r="F92" s="263"/>
      <c r="G92" s="262"/>
      <c r="H92" s="263"/>
      <c r="I92" s="262"/>
      <c r="J92" s="263"/>
      <c r="K92" s="262"/>
      <c r="L92" s="263"/>
      <c r="M92" s="262"/>
      <c r="N92" s="263"/>
      <c r="O92" s="262"/>
      <c r="P92" s="263"/>
      <c r="Q92" s="262"/>
      <c r="R92" s="263"/>
      <c r="S92" s="262"/>
      <c r="T92" s="263"/>
      <c r="U92" s="262"/>
      <c r="V92" s="263"/>
      <c r="W92" s="262"/>
      <c r="X92" s="263"/>
    </row>
    <row r="93" spans="1:24" ht="15" x14ac:dyDescent="0.25">
      <c r="A93" s="282"/>
      <c r="B93" s="248" t="s">
        <v>160</v>
      </c>
      <c r="C93" s="264"/>
      <c r="D93" s="265"/>
      <c r="E93" s="264"/>
      <c r="F93" s="265"/>
      <c r="G93" s="264"/>
      <c r="H93" s="265"/>
      <c r="I93" s="264"/>
      <c r="J93" s="265"/>
      <c r="K93" s="264"/>
      <c r="L93" s="265"/>
      <c r="M93" s="264"/>
      <c r="N93" s="265"/>
      <c r="O93" s="264"/>
      <c r="P93" s="265"/>
      <c r="Q93" s="264"/>
      <c r="R93" s="265"/>
      <c r="S93" s="264"/>
      <c r="T93" s="265"/>
      <c r="U93" s="264"/>
      <c r="V93" s="265"/>
      <c r="W93" s="264"/>
      <c r="X93" s="265"/>
    </row>
    <row r="94" spans="1:24" ht="15" x14ac:dyDescent="0.25">
      <c r="A94" s="282"/>
      <c r="B94" s="249" t="s">
        <v>137</v>
      </c>
      <c r="C94" s="264">
        <v>0</v>
      </c>
      <c r="D94" s="265">
        <v>-73.999999900000006</v>
      </c>
      <c r="E94" s="264">
        <v>0</v>
      </c>
      <c r="F94" s="265">
        <v>0</v>
      </c>
      <c r="G94" s="264">
        <v>0</v>
      </c>
      <c r="H94" s="265">
        <v>0</v>
      </c>
      <c r="I94" s="264">
        <v>0</v>
      </c>
      <c r="J94" s="265">
        <v>0</v>
      </c>
      <c r="K94" s="264">
        <v>0</v>
      </c>
      <c r="L94" s="265">
        <v>0</v>
      </c>
      <c r="M94" s="264">
        <v>0</v>
      </c>
      <c r="N94" s="265">
        <v>0</v>
      </c>
      <c r="O94" s="264">
        <v>0</v>
      </c>
      <c r="P94" s="265">
        <v>0</v>
      </c>
      <c r="Q94" s="264">
        <v>0</v>
      </c>
      <c r="R94" s="265">
        <v>0</v>
      </c>
      <c r="S94" s="264">
        <v>0</v>
      </c>
      <c r="T94" s="265">
        <v>0</v>
      </c>
      <c r="U94" s="264">
        <v>0</v>
      </c>
      <c r="V94" s="265">
        <v>0</v>
      </c>
      <c r="W94" s="264">
        <v>0</v>
      </c>
      <c r="X94" s="265">
        <v>-73.999999900000006</v>
      </c>
    </row>
    <row r="95" spans="1:24" ht="15.75" thickBot="1" x14ac:dyDescent="0.3">
      <c r="A95" s="282"/>
      <c r="B95" s="249" t="s">
        <v>138</v>
      </c>
      <c r="C95" s="264">
        <v>0</v>
      </c>
      <c r="D95" s="265">
        <v>74</v>
      </c>
      <c r="E95" s="264">
        <v>0</v>
      </c>
      <c r="F95" s="265">
        <v>0</v>
      </c>
      <c r="G95" s="264">
        <v>0</v>
      </c>
      <c r="H95" s="265">
        <v>-147.99999990000001</v>
      </c>
      <c r="I95" s="264">
        <v>0</v>
      </c>
      <c r="J95" s="265">
        <v>0</v>
      </c>
      <c r="K95" s="264">
        <v>0</v>
      </c>
      <c r="L95" s="265">
        <v>0</v>
      </c>
      <c r="M95" s="264">
        <v>0</v>
      </c>
      <c r="N95" s="265">
        <v>0</v>
      </c>
      <c r="O95" s="264">
        <v>0</v>
      </c>
      <c r="P95" s="265">
        <v>0</v>
      </c>
      <c r="Q95" s="264">
        <v>0</v>
      </c>
      <c r="R95" s="265">
        <v>0</v>
      </c>
      <c r="S95" s="264">
        <v>0</v>
      </c>
      <c r="T95" s="265">
        <v>0</v>
      </c>
      <c r="U95" s="264">
        <v>0</v>
      </c>
      <c r="V95" s="265">
        <v>0</v>
      </c>
      <c r="W95" s="264">
        <v>0</v>
      </c>
      <c r="X95" s="265">
        <v>-73.999999900000006</v>
      </c>
    </row>
    <row r="96" spans="1:24" ht="15" thickBot="1" x14ac:dyDescent="0.25">
      <c r="A96" s="282"/>
      <c r="B96" s="250" t="s">
        <v>161</v>
      </c>
      <c r="C96" s="266">
        <v>0</v>
      </c>
      <c r="D96" s="266">
        <v>9.9999994063182385E-8</v>
      </c>
      <c r="E96" s="266">
        <v>0</v>
      </c>
      <c r="F96" s="266">
        <v>0</v>
      </c>
      <c r="G96" s="266">
        <v>0</v>
      </c>
      <c r="H96" s="266">
        <v>-147.99999990000001</v>
      </c>
      <c r="I96" s="266">
        <v>0</v>
      </c>
      <c r="J96" s="266">
        <v>0</v>
      </c>
      <c r="K96" s="266">
        <v>0</v>
      </c>
      <c r="L96" s="266">
        <v>0</v>
      </c>
      <c r="M96" s="266">
        <v>0</v>
      </c>
      <c r="N96" s="266">
        <v>0</v>
      </c>
      <c r="O96" s="266">
        <v>0</v>
      </c>
      <c r="P96" s="266">
        <v>0</v>
      </c>
      <c r="Q96" s="266">
        <v>0</v>
      </c>
      <c r="R96" s="266">
        <v>0</v>
      </c>
      <c r="S96" s="266">
        <v>0</v>
      </c>
      <c r="T96" s="266">
        <v>0</v>
      </c>
      <c r="U96" s="266">
        <v>0</v>
      </c>
      <c r="V96" s="266">
        <v>0</v>
      </c>
      <c r="W96" s="266">
        <v>0</v>
      </c>
      <c r="X96" s="266">
        <v>-147.99999980000001</v>
      </c>
    </row>
    <row r="97" spans="1:24" ht="15" thickBot="1" x14ac:dyDescent="0.25">
      <c r="A97" s="282"/>
      <c r="B97" s="251" t="s">
        <v>121</v>
      </c>
      <c r="C97" s="267">
        <v>0</v>
      </c>
      <c r="D97" s="268">
        <v>9.9999994063182385E-8</v>
      </c>
      <c r="E97" s="267">
        <v>0</v>
      </c>
      <c r="F97" s="268">
        <v>0</v>
      </c>
      <c r="G97" s="267">
        <v>0</v>
      </c>
      <c r="H97" s="268">
        <v>-147.99999990000001</v>
      </c>
      <c r="I97" s="267">
        <v>0</v>
      </c>
      <c r="J97" s="268">
        <v>0</v>
      </c>
      <c r="K97" s="267">
        <v>0</v>
      </c>
      <c r="L97" s="268">
        <v>0</v>
      </c>
      <c r="M97" s="267">
        <v>0</v>
      </c>
      <c r="N97" s="268">
        <v>0</v>
      </c>
      <c r="O97" s="267">
        <v>0</v>
      </c>
      <c r="P97" s="268">
        <v>0</v>
      </c>
      <c r="Q97" s="267">
        <v>0</v>
      </c>
      <c r="R97" s="268">
        <v>0</v>
      </c>
      <c r="S97" s="267">
        <v>0</v>
      </c>
      <c r="T97" s="268">
        <v>0</v>
      </c>
      <c r="U97" s="267">
        <v>0</v>
      </c>
      <c r="V97" s="268">
        <v>0</v>
      </c>
      <c r="W97" s="267">
        <v>0</v>
      </c>
      <c r="X97" s="283">
        <v>-147.99999980000001</v>
      </c>
    </row>
    <row r="98" spans="1:24" ht="15" thickTop="1" x14ac:dyDescent="0.2">
      <c r="A98" s="282"/>
      <c r="B98" s="252" t="s">
        <v>162</v>
      </c>
      <c r="C98" s="262"/>
      <c r="D98" s="263"/>
      <c r="E98" s="262"/>
      <c r="F98" s="263"/>
      <c r="G98" s="262"/>
      <c r="H98" s="263"/>
      <c r="I98" s="262"/>
      <c r="J98" s="263"/>
      <c r="K98" s="262"/>
      <c r="L98" s="263"/>
      <c r="M98" s="262"/>
      <c r="N98" s="263"/>
      <c r="O98" s="262"/>
      <c r="P98" s="263"/>
      <c r="Q98" s="262"/>
      <c r="R98" s="263"/>
      <c r="S98" s="262"/>
      <c r="T98" s="263"/>
      <c r="U98" s="262"/>
      <c r="V98" s="263"/>
      <c r="W98" s="262"/>
      <c r="X98" s="263"/>
    </row>
    <row r="99" spans="1:24" ht="15" x14ac:dyDescent="0.25">
      <c r="A99" s="282"/>
      <c r="B99" s="248" t="s">
        <v>171</v>
      </c>
      <c r="C99" s="264"/>
      <c r="D99" s="265"/>
      <c r="E99" s="264"/>
      <c r="F99" s="265"/>
      <c r="G99" s="264"/>
      <c r="H99" s="265"/>
      <c r="I99" s="264"/>
      <c r="J99" s="265"/>
      <c r="K99" s="264"/>
      <c r="L99" s="265"/>
      <c r="M99" s="264"/>
      <c r="N99" s="265"/>
      <c r="O99" s="264"/>
      <c r="P99" s="265"/>
      <c r="Q99" s="264"/>
      <c r="R99" s="265"/>
      <c r="S99" s="264"/>
      <c r="T99" s="265"/>
      <c r="U99" s="264"/>
      <c r="V99" s="265"/>
      <c r="W99" s="264"/>
      <c r="X99" s="265"/>
    </row>
    <row r="100" spans="1:24" ht="15.75" thickBot="1" x14ac:dyDescent="0.3">
      <c r="A100" s="282"/>
      <c r="B100" s="249" t="s">
        <v>219</v>
      </c>
      <c r="C100" s="264">
        <v>0</v>
      </c>
      <c r="D100" s="265">
        <v>0</v>
      </c>
      <c r="E100" s="264">
        <v>0</v>
      </c>
      <c r="F100" s="265">
        <v>0</v>
      </c>
      <c r="G100" s="264">
        <v>0</v>
      </c>
      <c r="H100" s="265">
        <v>0</v>
      </c>
      <c r="I100" s="264">
        <v>0</v>
      </c>
      <c r="J100" s="265">
        <v>0</v>
      </c>
      <c r="K100" s="264">
        <v>0</v>
      </c>
      <c r="L100" s="265">
        <v>-1.9999998999999999</v>
      </c>
      <c r="M100" s="264">
        <v>0</v>
      </c>
      <c r="N100" s="265">
        <v>0</v>
      </c>
      <c r="O100" s="264">
        <v>0</v>
      </c>
      <c r="P100" s="265">
        <v>0</v>
      </c>
      <c r="Q100" s="264">
        <v>0</v>
      </c>
      <c r="R100" s="265">
        <v>0</v>
      </c>
      <c r="S100" s="264">
        <v>0</v>
      </c>
      <c r="T100" s="265">
        <v>0</v>
      </c>
      <c r="U100" s="264">
        <v>0</v>
      </c>
      <c r="V100" s="265">
        <v>0</v>
      </c>
      <c r="W100" s="264">
        <v>0</v>
      </c>
      <c r="X100" s="265">
        <v>-1.9999998999999999</v>
      </c>
    </row>
    <row r="101" spans="1:24" ht="15" thickBot="1" x14ac:dyDescent="0.25">
      <c r="A101" s="282"/>
      <c r="B101" s="250" t="s">
        <v>173</v>
      </c>
      <c r="C101" s="266">
        <v>0</v>
      </c>
      <c r="D101" s="266">
        <v>0</v>
      </c>
      <c r="E101" s="266">
        <v>0</v>
      </c>
      <c r="F101" s="266">
        <v>0</v>
      </c>
      <c r="G101" s="266">
        <v>0</v>
      </c>
      <c r="H101" s="266">
        <v>0</v>
      </c>
      <c r="I101" s="266">
        <v>0</v>
      </c>
      <c r="J101" s="266">
        <v>0</v>
      </c>
      <c r="K101" s="266">
        <v>0</v>
      </c>
      <c r="L101" s="266">
        <v>-1.9999998999999999</v>
      </c>
      <c r="M101" s="266">
        <v>0</v>
      </c>
      <c r="N101" s="266">
        <v>0</v>
      </c>
      <c r="O101" s="266">
        <v>0</v>
      </c>
      <c r="P101" s="266">
        <v>0</v>
      </c>
      <c r="Q101" s="266">
        <v>0</v>
      </c>
      <c r="R101" s="266">
        <v>0</v>
      </c>
      <c r="S101" s="266">
        <v>0</v>
      </c>
      <c r="T101" s="266">
        <v>0</v>
      </c>
      <c r="U101" s="266">
        <v>0</v>
      </c>
      <c r="V101" s="266">
        <v>0</v>
      </c>
      <c r="W101" s="266">
        <v>0</v>
      </c>
      <c r="X101" s="266">
        <v>-1.9999998999999999</v>
      </c>
    </row>
    <row r="102" spans="1:24" ht="15" x14ac:dyDescent="0.25">
      <c r="A102" s="282"/>
      <c r="B102" s="248" t="s">
        <v>165</v>
      </c>
      <c r="C102" s="264"/>
      <c r="D102" s="265"/>
      <c r="E102" s="264"/>
      <c r="F102" s="265"/>
      <c r="G102" s="264"/>
      <c r="H102" s="265"/>
      <c r="I102" s="264"/>
      <c r="J102" s="265"/>
      <c r="K102" s="264"/>
      <c r="L102" s="265"/>
      <c r="M102" s="264"/>
      <c r="N102" s="265"/>
      <c r="O102" s="264"/>
      <c r="P102" s="265"/>
      <c r="Q102" s="264"/>
      <c r="R102" s="265"/>
      <c r="S102" s="264"/>
      <c r="T102" s="265"/>
      <c r="U102" s="264"/>
      <c r="V102" s="265"/>
      <c r="W102" s="264"/>
      <c r="X102" s="265"/>
    </row>
    <row r="103" spans="1:24" ht="15" x14ac:dyDescent="0.25">
      <c r="A103" s="282"/>
      <c r="B103" s="249" t="s">
        <v>220</v>
      </c>
      <c r="C103" s="264">
        <v>0</v>
      </c>
      <c r="D103" s="265">
        <v>0</v>
      </c>
      <c r="E103" s="264">
        <v>0</v>
      </c>
      <c r="F103" s="265">
        <v>0</v>
      </c>
      <c r="G103" s="264">
        <v>0</v>
      </c>
      <c r="H103" s="265">
        <v>0</v>
      </c>
      <c r="I103" s="264">
        <v>0</v>
      </c>
      <c r="J103" s="265">
        <v>0</v>
      </c>
      <c r="K103" s="264">
        <v>0</v>
      </c>
      <c r="L103" s="265">
        <v>0</v>
      </c>
      <c r="M103" s="264">
        <v>0</v>
      </c>
      <c r="N103" s="265">
        <v>0</v>
      </c>
      <c r="O103" s="264">
        <v>0</v>
      </c>
      <c r="P103" s="265">
        <v>0</v>
      </c>
      <c r="Q103" s="264">
        <v>0</v>
      </c>
      <c r="R103" s="265">
        <v>0</v>
      </c>
      <c r="S103" s="264">
        <v>-59.999999899999999</v>
      </c>
      <c r="T103" s="265">
        <v>0</v>
      </c>
      <c r="U103" s="264">
        <v>0</v>
      </c>
      <c r="V103" s="265">
        <v>0</v>
      </c>
      <c r="W103" s="264">
        <v>0</v>
      </c>
      <c r="X103" s="265">
        <v>-59.999999899999999</v>
      </c>
    </row>
    <row r="104" spans="1:24" ht="15.75" thickBot="1" x14ac:dyDescent="0.3">
      <c r="A104" s="282"/>
      <c r="B104" s="249" t="s">
        <v>221</v>
      </c>
      <c r="C104" s="264">
        <v>0</v>
      </c>
      <c r="D104" s="265">
        <v>0</v>
      </c>
      <c r="E104" s="264">
        <v>0</v>
      </c>
      <c r="F104" s="265">
        <v>-1.9999998999999999</v>
      </c>
      <c r="G104" s="264">
        <v>0</v>
      </c>
      <c r="H104" s="265">
        <v>0</v>
      </c>
      <c r="I104" s="264">
        <v>-9.2999999000000013</v>
      </c>
      <c r="J104" s="265">
        <v>0</v>
      </c>
      <c r="K104" s="264">
        <v>0</v>
      </c>
      <c r="L104" s="265">
        <v>0</v>
      </c>
      <c r="M104" s="264">
        <v>0</v>
      </c>
      <c r="N104" s="265">
        <v>0</v>
      </c>
      <c r="O104" s="264">
        <v>0</v>
      </c>
      <c r="P104" s="265">
        <v>0</v>
      </c>
      <c r="Q104" s="264">
        <v>0</v>
      </c>
      <c r="R104" s="265">
        <v>0</v>
      </c>
      <c r="S104" s="264">
        <v>-4.9999998999999997</v>
      </c>
      <c r="T104" s="265">
        <v>0</v>
      </c>
      <c r="U104" s="264">
        <v>0</v>
      </c>
      <c r="V104" s="265">
        <v>0</v>
      </c>
      <c r="W104" s="264">
        <v>0</v>
      </c>
      <c r="X104" s="265">
        <v>-16.299999700000001</v>
      </c>
    </row>
    <row r="105" spans="1:24" ht="15" thickBot="1" x14ac:dyDescent="0.25">
      <c r="A105" s="282"/>
      <c r="B105" s="250" t="s">
        <v>166</v>
      </c>
      <c r="C105" s="266">
        <v>0</v>
      </c>
      <c r="D105" s="266">
        <v>0</v>
      </c>
      <c r="E105" s="266">
        <v>0</v>
      </c>
      <c r="F105" s="266">
        <v>-1.9999998999999999</v>
      </c>
      <c r="G105" s="266">
        <v>0</v>
      </c>
      <c r="H105" s="266">
        <v>0</v>
      </c>
      <c r="I105" s="266">
        <v>-9.2999999000000013</v>
      </c>
      <c r="J105" s="266">
        <v>0</v>
      </c>
      <c r="K105" s="266">
        <v>0</v>
      </c>
      <c r="L105" s="266">
        <v>0</v>
      </c>
      <c r="M105" s="266">
        <v>0</v>
      </c>
      <c r="N105" s="266">
        <v>0</v>
      </c>
      <c r="O105" s="266">
        <v>0</v>
      </c>
      <c r="P105" s="266">
        <v>0</v>
      </c>
      <c r="Q105" s="266">
        <v>0</v>
      </c>
      <c r="R105" s="266">
        <v>0</v>
      </c>
      <c r="S105" s="266">
        <v>-64.999999799999998</v>
      </c>
      <c r="T105" s="266">
        <v>0</v>
      </c>
      <c r="U105" s="266">
        <v>0</v>
      </c>
      <c r="V105" s="266">
        <v>0</v>
      </c>
      <c r="W105" s="266">
        <v>0</v>
      </c>
      <c r="X105" s="266">
        <v>-76.299999600000007</v>
      </c>
    </row>
    <row r="106" spans="1:24" ht="15" x14ac:dyDescent="0.25">
      <c r="A106" s="282"/>
      <c r="B106" s="248" t="s">
        <v>167</v>
      </c>
      <c r="C106" s="264"/>
      <c r="D106" s="265"/>
      <c r="E106" s="264"/>
      <c r="F106" s="265"/>
      <c r="G106" s="264"/>
      <c r="H106" s="265"/>
      <c r="I106" s="264"/>
      <c r="J106" s="265"/>
      <c r="K106" s="264"/>
      <c r="L106" s="265"/>
      <c r="M106" s="264"/>
      <c r="N106" s="265"/>
      <c r="O106" s="264"/>
      <c r="P106" s="265"/>
      <c r="Q106" s="264"/>
      <c r="R106" s="265"/>
      <c r="S106" s="264"/>
      <c r="T106" s="265"/>
      <c r="U106" s="264"/>
      <c r="V106" s="265"/>
      <c r="W106" s="264"/>
      <c r="X106" s="265"/>
    </row>
    <row r="107" spans="1:24" ht="15.75" thickBot="1" x14ac:dyDescent="0.3">
      <c r="A107" s="282"/>
      <c r="B107" s="249" t="s">
        <v>222</v>
      </c>
      <c r="C107" s="264">
        <v>0</v>
      </c>
      <c r="D107" s="265">
        <v>0</v>
      </c>
      <c r="E107" s="264">
        <v>0</v>
      </c>
      <c r="F107" s="265">
        <v>0</v>
      </c>
      <c r="G107" s="264">
        <v>0</v>
      </c>
      <c r="H107" s="265">
        <v>0</v>
      </c>
      <c r="I107" s="264">
        <v>0</v>
      </c>
      <c r="J107" s="265">
        <v>0</v>
      </c>
      <c r="K107" s="264">
        <v>0</v>
      </c>
      <c r="L107" s="265">
        <v>0</v>
      </c>
      <c r="M107" s="264">
        <v>0</v>
      </c>
      <c r="N107" s="265">
        <v>0</v>
      </c>
      <c r="O107" s="264">
        <v>0</v>
      </c>
      <c r="P107" s="265">
        <v>0</v>
      </c>
      <c r="Q107" s="264">
        <v>0</v>
      </c>
      <c r="R107" s="265">
        <v>0</v>
      </c>
      <c r="S107" s="264">
        <v>0</v>
      </c>
      <c r="T107" s="265">
        <v>0</v>
      </c>
      <c r="U107" s="264">
        <v>-47.119999899999996</v>
      </c>
      <c r="V107" s="265">
        <v>-2.8749999000000002</v>
      </c>
      <c r="W107" s="264">
        <v>-1.9999998000000001</v>
      </c>
      <c r="X107" s="265">
        <v>-51.994999599999993</v>
      </c>
    </row>
    <row r="108" spans="1:24" ht="15" thickBot="1" x14ac:dyDescent="0.25">
      <c r="A108" s="282"/>
      <c r="B108" s="250" t="s">
        <v>168</v>
      </c>
      <c r="C108" s="266">
        <v>0</v>
      </c>
      <c r="D108" s="266">
        <v>0</v>
      </c>
      <c r="E108" s="266">
        <v>0</v>
      </c>
      <c r="F108" s="266">
        <v>0</v>
      </c>
      <c r="G108" s="266">
        <v>0</v>
      </c>
      <c r="H108" s="266">
        <v>0</v>
      </c>
      <c r="I108" s="266">
        <v>0</v>
      </c>
      <c r="J108" s="266">
        <v>0</v>
      </c>
      <c r="K108" s="266">
        <v>0</v>
      </c>
      <c r="L108" s="266">
        <v>0</v>
      </c>
      <c r="M108" s="266">
        <v>0</v>
      </c>
      <c r="N108" s="266">
        <v>0</v>
      </c>
      <c r="O108" s="266">
        <v>0</v>
      </c>
      <c r="P108" s="266">
        <v>0</v>
      </c>
      <c r="Q108" s="266">
        <v>0</v>
      </c>
      <c r="R108" s="266">
        <v>0</v>
      </c>
      <c r="S108" s="266">
        <v>0</v>
      </c>
      <c r="T108" s="266">
        <v>0</v>
      </c>
      <c r="U108" s="266">
        <v>-47.119999899999996</v>
      </c>
      <c r="V108" s="266">
        <v>-2.8749999000000002</v>
      </c>
      <c r="W108" s="266">
        <v>-1.9999998000000001</v>
      </c>
      <c r="X108" s="266">
        <v>-51.994999599999993</v>
      </c>
    </row>
    <row r="109" spans="1:24" ht="15" thickBot="1" x14ac:dyDescent="0.25">
      <c r="A109" s="282"/>
      <c r="B109" s="251" t="s">
        <v>174</v>
      </c>
      <c r="C109" s="267">
        <v>0</v>
      </c>
      <c r="D109" s="268">
        <v>0</v>
      </c>
      <c r="E109" s="267">
        <v>0</v>
      </c>
      <c r="F109" s="268">
        <v>-1.9999998999999999</v>
      </c>
      <c r="G109" s="267">
        <v>0</v>
      </c>
      <c r="H109" s="268">
        <v>0</v>
      </c>
      <c r="I109" s="267">
        <v>-9.2999999000000013</v>
      </c>
      <c r="J109" s="268">
        <v>0</v>
      </c>
      <c r="K109" s="267">
        <v>0</v>
      </c>
      <c r="L109" s="268">
        <v>-1.9999998999999999</v>
      </c>
      <c r="M109" s="267">
        <v>0</v>
      </c>
      <c r="N109" s="268">
        <v>0</v>
      </c>
      <c r="O109" s="267">
        <v>0</v>
      </c>
      <c r="P109" s="268">
        <v>0</v>
      </c>
      <c r="Q109" s="267">
        <v>0</v>
      </c>
      <c r="R109" s="268">
        <v>0</v>
      </c>
      <c r="S109" s="267">
        <v>-64.999999799999998</v>
      </c>
      <c r="T109" s="268">
        <v>0</v>
      </c>
      <c r="U109" s="267">
        <v>-47.119999899999996</v>
      </c>
      <c r="V109" s="268">
        <v>-2.8749999000000002</v>
      </c>
      <c r="W109" s="267">
        <v>-1.9999998000000001</v>
      </c>
      <c r="X109" s="283">
        <v>-130.29499909999998</v>
      </c>
    </row>
    <row r="110" spans="1:24" ht="15" thickTop="1" x14ac:dyDescent="0.2">
      <c r="A110" s="282"/>
      <c r="B110" s="252" t="s">
        <v>32</v>
      </c>
      <c r="C110" s="262"/>
      <c r="D110" s="263"/>
      <c r="E110" s="262"/>
      <c r="F110" s="263"/>
      <c r="G110" s="262"/>
      <c r="H110" s="263"/>
      <c r="I110" s="262"/>
      <c r="J110" s="263"/>
      <c r="K110" s="262"/>
      <c r="L110" s="263"/>
      <c r="M110" s="262"/>
      <c r="N110" s="263"/>
      <c r="O110" s="262"/>
      <c r="P110" s="263"/>
      <c r="Q110" s="262"/>
      <c r="R110" s="263"/>
      <c r="S110" s="262"/>
      <c r="T110" s="263"/>
      <c r="U110" s="262"/>
      <c r="V110" s="263"/>
      <c r="W110" s="262"/>
      <c r="X110" s="263"/>
    </row>
    <row r="111" spans="1:24" ht="15" x14ac:dyDescent="0.25">
      <c r="A111" s="282"/>
      <c r="B111" s="248" t="s">
        <v>134</v>
      </c>
      <c r="C111" s="264"/>
      <c r="D111" s="265"/>
      <c r="E111" s="264"/>
      <c r="F111" s="265"/>
      <c r="G111" s="264"/>
      <c r="H111" s="265"/>
      <c r="I111" s="264"/>
      <c r="J111" s="265"/>
      <c r="K111" s="264"/>
      <c r="L111" s="265"/>
      <c r="M111" s="264"/>
      <c r="N111" s="265"/>
      <c r="O111" s="264"/>
      <c r="P111" s="265"/>
      <c r="Q111" s="264"/>
      <c r="R111" s="265"/>
      <c r="S111" s="264"/>
      <c r="T111" s="265"/>
      <c r="U111" s="264"/>
      <c r="V111" s="265"/>
      <c r="W111" s="264"/>
      <c r="X111" s="265"/>
    </row>
    <row r="112" spans="1:24" ht="15" x14ac:dyDescent="0.25">
      <c r="A112" s="282"/>
      <c r="B112" s="249" t="s">
        <v>107</v>
      </c>
      <c r="C112" s="264">
        <v>0.55145043999999999</v>
      </c>
      <c r="D112" s="265">
        <v>0.63452151000000001</v>
      </c>
      <c r="E112" s="264">
        <v>3.7238760400000004</v>
      </c>
      <c r="F112" s="265">
        <v>3.7285209099999999</v>
      </c>
      <c r="G112" s="264">
        <v>3.8813990899999999</v>
      </c>
      <c r="H112" s="265">
        <v>3.99175076</v>
      </c>
      <c r="I112" s="264">
        <v>4.0491349400000001</v>
      </c>
      <c r="J112" s="265">
        <v>3.8548031699999998</v>
      </c>
      <c r="K112" s="264">
        <v>3.5670467800000001</v>
      </c>
      <c r="L112" s="265">
        <v>3.1613903699999999</v>
      </c>
      <c r="M112" s="264">
        <v>2.724459</v>
      </c>
      <c r="N112" s="265">
        <v>2.2191888400000002</v>
      </c>
      <c r="O112" s="264">
        <v>1.8631450100000002</v>
      </c>
      <c r="P112" s="265">
        <v>1.56160564</v>
      </c>
      <c r="Q112" s="264">
        <v>1.3674697200000001</v>
      </c>
      <c r="R112" s="265">
        <v>1.1128437</v>
      </c>
      <c r="S112" s="264">
        <v>0.95164314999999999</v>
      </c>
      <c r="T112" s="265">
        <v>0.88848314000000006</v>
      </c>
      <c r="U112" s="264">
        <v>0.81815410000000011</v>
      </c>
      <c r="V112" s="265">
        <v>0.73750807000000007</v>
      </c>
      <c r="W112" s="264">
        <v>0.48448911</v>
      </c>
      <c r="X112" s="265">
        <v>45.872883490000007</v>
      </c>
    </row>
    <row r="113" spans="1:24" ht="15" x14ac:dyDescent="0.25">
      <c r="A113" s="282"/>
      <c r="B113" s="249" t="s">
        <v>108</v>
      </c>
      <c r="C113" s="264">
        <v>28.628788060000002</v>
      </c>
      <c r="D113" s="265">
        <v>24.98116207</v>
      </c>
      <c r="E113" s="264">
        <v>79.469010659999981</v>
      </c>
      <c r="F113" s="265">
        <v>81.445434280000015</v>
      </c>
      <c r="G113" s="264">
        <v>83.876219809999995</v>
      </c>
      <c r="H113" s="265">
        <v>87.218309860000005</v>
      </c>
      <c r="I113" s="264">
        <v>93.346364099999988</v>
      </c>
      <c r="J113" s="265">
        <v>93.62672434000001</v>
      </c>
      <c r="K113" s="264">
        <v>94.481229880000001</v>
      </c>
      <c r="L113" s="265">
        <v>93.383081040000008</v>
      </c>
      <c r="M113" s="264">
        <v>93.016847389999995</v>
      </c>
      <c r="N113" s="265">
        <v>82.682107090000002</v>
      </c>
      <c r="O113" s="264">
        <v>89.38411923000001</v>
      </c>
      <c r="P113" s="265">
        <v>88.68587187</v>
      </c>
      <c r="Q113" s="264">
        <v>87.14124142</v>
      </c>
      <c r="R113" s="265">
        <v>90.365948369999998</v>
      </c>
      <c r="S113" s="264">
        <v>91.225202170000017</v>
      </c>
      <c r="T113" s="265">
        <v>101.48758325</v>
      </c>
      <c r="U113" s="264">
        <v>169.31305159000004</v>
      </c>
      <c r="V113" s="265">
        <v>160.03361561999995</v>
      </c>
      <c r="W113" s="264">
        <v>150.58203212000001</v>
      </c>
      <c r="X113" s="265">
        <v>1964.3739442199999</v>
      </c>
    </row>
    <row r="114" spans="1:24" ht="15.75" thickBot="1" x14ac:dyDescent="0.3">
      <c r="A114" s="282"/>
      <c r="B114" s="249" t="s">
        <v>109</v>
      </c>
      <c r="C114" s="264">
        <v>8.1500271099999999</v>
      </c>
      <c r="D114" s="265">
        <v>5.7072642199999999</v>
      </c>
      <c r="E114" s="264">
        <v>13.042237150000002</v>
      </c>
      <c r="F114" s="265">
        <v>14.180400289999998</v>
      </c>
      <c r="G114" s="264">
        <v>14.55262662</v>
      </c>
      <c r="H114" s="265">
        <v>15.41661571</v>
      </c>
      <c r="I114" s="264">
        <v>16.046448949999998</v>
      </c>
      <c r="J114" s="265">
        <v>16.269420159999999</v>
      </c>
      <c r="K114" s="264">
        <v>15.841938990000001</v>
      </c>
      <c r="L114" s="265">
        <v>14.912953120000001</v>
      </c>
      <c r="M114" s="264">
        <v>14.51515375</v>
      </c>
      <c r="N114" s="265">
        <v>12.985392990000001</v>
      </c>
      <c r="O114" s="264">
        <v>11.534315880000001</v>
      </c>
      <c r="P114" s="265">
        <v>10.347566070000001</v>
      </c>
      <c r="Q114" s="264">
        <v>9.4484133400000001</v>
      </c>
      <c r="R114" s="265">
        <v>8.208553349999999</v>
      </c>
      <c r="S114" s="264">
        <v>7.3810556499999995</v>
      </c>
      <c r="T114" s="265">
        <v>7.1385258899999995</v>
      </c>
      <c r="U114" s="264">
        <v>6.6408295800000001</v>
      </c>
      <c r="V114" s="265">
        <v>6.0814227299999999</v>
      </c>
      <c r="W114" s="264">
        <v>4.2965998399999998</v>
      </c>
      <c r="X114" s="265">
        <v>232.69776139000004</v>
      </c>
    </row>
    <row r="115" spans="1:24" ht="15" thickBot="1" x14ac:dyDescent="0.25">
      <c r="A115" s="282"/>
      <c r="B115" s="250" t="s">
        <v>135</v>
      </c>
      <c r="C115" s="266">
        <v>37.330265609999998</v>
      </c>
      <c r="D115" s="266">
        <v>31.322947799999998</v>
      </c>
      <c r="E115" s="266">
        <v>96.235123849999979</v>
      </c>
      <c r="F115" s="266">
        <v>99.354355480000009</v>
      </c>
      <c r="G115" s="266">
        <v>102.31024552</v>
      </c>
      <c r="H115" s="266">
        <v>106.62667633000001</v>
      </c>
      <c r="I115" s="266">
        <v>113.44194798999999</v>
      </c>
      <c r="J115" s="266">
        <v>113.75094767</v>
      </c>
      <c r="K115" s="266">
        <v>113.89021565</v>
      </c>
      <c r="L115" s="266">
        <v>111.45742453000001</v>
      </c>
      <c r="M115" s="266">
        <v>110.25646013999999</v>
      </c>
      <c r="N115" s="266">
        <v>97.886688920000012</v>
      </c>
      <c r="O115" s="266">
        <v>102.78158012</v>
      </c>
      <c r="P115" s="266">
        <v>100.59504358</v>
      </c>
      <c r="Q115" s="266">
        <v>97.957124480000004</v>
      </c>
      <c r="R115" s="266">
        <v>99.68734542</v>
      </c>
      <c r="S115" s="266">
        <v>99.557900970000006</v>
      </c>
      <c r="T115" s="266">
        <v>109.51459228</v>
      </c>
      <c r="U115" s="266">
        <v>176.77203527000003</v>
      </c>
      <c r="V115" s="266">
        <v>166.85254641999995</v>
      </c>
      <c r="W115" s="266">
        <v>155.36312107000001</v>
      </c>
      <c r="X115" s="266">
        <v>2242.9445891</v>
      </c>
    </row>
    <row r="116" spans="1:24" ht="15" x14ac:dyDescent="0.25">
      <c r="A116" s="282"/>
      <c r="B116" s="248" t="s">
        <v>126</v>
      </c>
      <c r="C116" s="264"/>
      <c r="D116" s="265"/>
      <c r="E116" s="264"/>
      <c r="F116" s="265"/>
      <c r="G116" s="264"/>
      <c r="H116" s="265"/>
      <c r="I116" s="264"/>
      <c r="J116" s="265"/>
      <c r="K116" s="264"/>
      <c r="L116" s="265"/>
      <c r="M116" s="264"/>
      <c r="N116" s="265"/>
      <c r="O116" s="264"/>
      <c r="P116" s="265"/>
      <c r="Q116" s="264"/>
      <c r="R116" s="265"/>
      <c r="S116" s="264"/>
      <c r="T116" s="265"/>
      <c r="U116" s="264"/>
      <c r="V116" s="265"/>
      <c r="W116" s="264"/>
      <c r="X116" s="265"/>
    </row>
    <row r="117" spans="1:24" ht="15" x14ac:dyDescent="0.25">
      <c r="A117" s="282"/>
      <c r="B117" s="249" t="s">
        <v>141</v>
      </c>
      <c r="C117" s="264">
        <v>0</v>
      </c>
      <c r="D117" s="265">
        <v>8.5755999999999985E-2</v>
      </c>
      <c r="E117" s="264">
        <v>0</v>
      </c>
      <c r="F117" s="265">
        <v>3.3211730599999991</v>
      </c>
      <c r="G117" s="264">
        <v>0.96958072000000017</v>
      </c>
      <c r="H117" s="265">
        <v>0.51776856000000004</v>
      </c>
      <c r="I117" s="264">
        <v>0</v>
      </c>
      <c r="J117" s="265">
        <v>0.24822958000000001</v>
      </c>
      <c r="K117" s="264">
        <v>0</v>
      </c>
      <c r="L117" s="265">
        <v>0.22623788</v>
      </c>
      <c r="M117" s="264">
        <v>9.9670190000000006E-2</v>
      </c>
      <c r="N117" s="265">
        <v>4.4076210000000005E-2</v>
      </c>
      <c r="O117" s="264">
        <v>0.15763536</v>
      </c>
      <c r="P117" s="265">
        <v>4.6124939999999996E-2</v>
      </c>
      <c r="Q117" s="264">
        <v>4.6693970000000001E-2</v>
      </c>
      <c r="R117" s="265">
        <v>4.804332E-2</v>
      </c>
      <c r="S117" s="264">
        <v>0.77632157000000002</v>
      </c>
      <c r="T117" s="265">
        <v>3.7494567000000001</v>
      </c>
      <c r="U117" s="264">
        <v>8.8381440000000006E-2</v>
      </c>
      <c r="V117" s="265">
        <v>0.47353037000000003</v>
      </c>
      <c r="W117" s="264">
        <v>0.19191657999999998</v>
      </c>
      <c r="X117" s="265">
        <v>11.09059645</v>
      </c>
    </row>
    <row r="118" spans="1:24" ht="15" x14ac:dyDescent="0.25">
      <c r="A118" s="282"/>
      <c r="B118" s="249" t="s">
        <v>142</v>
      </c>
      <c r="C118" s="264">
        <v>2</v>
      </c>
      <c r="D118" s="265">
        <v>5.4459341099999996</v>
      </c>
      <c r="E118" s="264">
        <v>0</v>
      </c>
      <c r="F118" s="265">
        <v>29.059882700000003</v>
      </c>
      <c r="G118" s="264">
        <v>0.49198413000000002</v>
      </c>
      <c r="H118" s="265">
        <v>0</v>
      </c>
      <c r="I118" s="264">
        <v>0</v>
      </c>
      <c r="J118" s="265">
        <v>0</v>
      </c>
      <c r="K118" s="264">
        <v>0</v>
      </c>
      <c r="L118" s="265">
        <v>0</v>
      </c>
      <c r="M118" s="264">
        <v>0</v>
      </c>
      <c r="N118" s="265">
        <v>0</v>
      </c>
      <c r="O118" s="264">
        <v>53.379960290000007</v>
      </c>
      <c r="P118" s="265">
        <v>50.94616388</v>
      </c>
      <c r="Q118" s="264">
        <v>3.0462888600000002</v>
      </c>
      <c r="R118" s="265">
        <v>21.113377619999998</v>
      </c>
      <c r="S118" s="264">
        <v>29.516334720000003</v>
      </c>
      <c r="T118" s="265">
        <v>2.7660283099999998</v>
      </c>
      <c r="U118" s="264">
        <v>2.6704316299999999</v>
      </c>
      <c r="V118" s="265">
        <v>37.172495130000001</v>
      </c>
      <c r="W118" s="264">
        <v>7.0784800900000002</v>
      </c>
      <c r="X118" s="265">
        <v>244.68736147000001</v>
      </c>
    </row>
    <row r="119" spans="1:24" ht="15" x14ac:dyDescent="0.25">
      <c r="A119" s="282"/>
      <c r="B119" s="249" t="s">
        <v>143</v>
      </c>
      <c r="C119" s="264">
        <v>2</v>
      </c>
      <c r="D119" s="265">
        <v>4.0204099099999997</v>
      </c>
      <c r="E119" s="264">
        <v>4.0218958000000002</v>
      </c>
      <c r="F119" s="265">
        <v>7.8193813899999993</v>
      </c>
      <c r="G119" s="264">
        <v>0.92590894000000001</v>
      </c>
      <c r="H119" s="265">
        <v>0</v>
      </c>
      <c r="I119" s="264">
        <v>5.7874020899999996</v>
      </c>
      <c r="J119" s="265">
        <v>0.93580853999999991</v>
      </c>
      <c r="K119" s="264">
        <v>0</v>
      </c>
      <c r="L119" s="265">
        <v>1.1472910999999999</v>
      </c>
      <c r="M119" s="264">
        <v>0.31262171999999999</v>
      </c>
      <c r="N119" s="265">
        <v>0</v>
      </c>
      <c r="O119" s="264">
        <v>0.34422162000000001</v>
      </c>
      <c r="P119" s="265">
        <v>11.44558556</v>
      </c>
      <c r="Q119" s="264">
        <v>0.68148487000000002</v>
      </c>
      <c r="R119" s="265">
        <v>11.593911139999999</v>
      </c>
      <c r="S119" s="264">
        <v>0.62972927000000001</v>
      </c>
      <c r="T119" s="265">
        <v>0.56624501999999999</v>
      </c>
      <c r="U119" s="264">
        <v>0.59353191000000005</v>
      </c>
      <c r="V119" s="265">
        <v>3.2894513600000006</v>
      </c>
      <c r="W119" s="264">
        <v>1.2921783099999999</v>
      </c>
      <c r="X119" s="265">
        <v>57.407058549999995</v>
      </c>
    </row>
    <row r="120" spans="1:24" ht="15" x14ac:dyDescent="0.25">
      <c r="A120" s="282"/>
      <c r="B120" s="249" t="s">
        <v>144</v>
      </c>
      <c r="C120" s="264">
        <v>0</v>
      </c>
      <c r="D120" s="265">
        <v>7.5368999999999992E-2</v>
      </c>
      <c r="E120" s="264">
        <v>0</v>
      </c>
      <c r="F120" s="265">
        <v>0</v>
      </c>
      <c r="G120" s="264">
        <v>0</v>
      </c>
      <c r="H120" s="265">
        <v>0</v>
      </c>
      <c r="I120" s="264">
        <v>0</v>
      </c>
      <c r="J120" s="265">
        <v>0</v>
      </c>
      <c r="K120" s="264">
        <v>0</v>
      </c>
      <c r="L120" s="265">
        <v>0</v>
      </c>
      <c r="M120" s="264">
        <v>0</v>
      </c>
      <c r="N120" s="265">
        <v>0</v>
      </c>
      <c r="O120" s="264">
        <v>0</v>
      </c>
      <c r="P120" s="265">
        <v>0</v>
      </c>
      <c r="Q120" s="264">
        <v>0</v>
      </c>
      <c r="R120" s="265">
        <v>0</v>
      </c>
      <c r="S120" s="264">
        <v>0</v>
      </c>
      <c r="T120" s="265">
        <v>0</v>
      </c>
      <c r="U120" s="264">
        <v>0</v>
      </c>
      <c r="V120" s="265">
        <v>0</v>
      </c>
      <c r="W120" s="264">
        <v>0</v>
      </c>
      <c r="X120" s="265">
        <v>7.5368999999999992E-2</v>
      </c>
    </row>
    <row r="121" spans="1:24" ht="15" x14ac:dyDescent="0.25">
      <c r="A121" s="282"/>
      <c r="B121" s="249" t="s">
        <v>145</v>
      </c>
      <c r="C121" s="264">
        <v>0</v>
      </c>
      <c r="D121" s="265">
        <v>18.660428670000002</v>
      </c>
      <c r="E121" s="264">
        <v>7.0909698600000004</v>
      </c>
      <c r="F121" s="265">
        <v>8.9839530300000003</v>
      </c>
      <c r="G121" s="264">
        <v>5.62581606</v>
      </c>
      <c r="H121" s="265">
        <v>60.168590959999996</v>
      </c>
      <c r="I121" s="264">
        <v>6.9962462699999994</v>
      </c>
      <c r="J121" s="265">
        <v>3.9572979300000002</v>
      </c>
      <c r="K121" s="264">
        <v>2.2653134700000002</v>
      </c>
      <c r="L121" s="265">
        <v>3.1825206499999998</v>
      </c>
      <c r="M121" s="264">
        <v>1.1133308500000001</v>
      </c>
      <c r="N121" s="265">
        <v>0</v>
      </c>
      <c r="O121" s="264">
        <v>0</v>
      </c>
      <c r="P121" s="265">
        <v>0</v>
      </c>
      <c r="Q121" s="264">
        <v>0</v>
      </c>
      <c r="R121" s="265">
        <v>0</v>
      </c>
      <c r="S121" s="264">
        <v>0</v>
      </c>
      <c r="T121" s="265">
        <v>0</v>
      </c>
      <c r="U121" s="264">
        <v>0</v>
      </c>
      <c r="V121" s="265">
        <v>0</v>
      </c>
      <c r="W121" s="264">
        <v>0</v>
      </c>
      <c r="X121" s="265">
        <v>118.04446774999998</v>
      </c>
    </row>
    <row r="122" spans="1:24" ht="15.75" thickBot="1" x14ac:dyDescent="0.3">
      <c r="A122" s="282"/>
      <c r="B122" s="249" t="s">
        <v>146</v>
      </c>
      <c r="C122" s="264">
        <v>0</v>
      </c>
      <c r="D122" s="265">
        <v>11.458610179999994</v>
      </c>
      <c r="E122" s="264">
        <v>0</v>
      </c>
      <c r="F122" s="265">
        <v>0</v>
      </c>
      <c r="G122" s="264">
        <v>0</v>
      </c>
      <c r="H122" s="265">
        <v>0</v>
      </c>
      <c r="I122" s="264">
        <v>0</v>
      </c>
      <c r="J122" s="265">
        <v>0</v>
      </c>
      <c r="K122" s="264">
        <v>0</v>
      </c>
      <c r="L122" s="265">
        <v>0</v>
      </c>
      <c r="M122" s="264">
        <v>0</v>
      </c>
      <c r="N122" s="265">
        <v>0</v>
      </c>
      <c r="O122" s="264">
        <v>0</v>
      </c>
      <c r="P122" s="265">
        <v>0</v>
      </c>
      <c r="Q122" s="264">
        <v>0</v>
      </c>
      <c r="R122" s="265">
        <v>0</v>
      </c>
      <c r="S122" s="264">
        <v>0</v>
      </c>
      <c r="T122" s="265">
        <v>0</v>
      </c>
      <c r="U122" s="264">
        <v>0</v>
      </c>
      <c r="V122" s="265">
        <v>0</v>
      </c>
      <c r="W122" s="264">
        <v>0</v>
      </c>
      <c r="X122" s="265">
        <v>11.458610179999994</v>
      </c>
    </row>
    <row r="123" spans="1:24" ht="15" thickBot="1" x14ac:dyDescent="0.25">
      <c r="A123" s="282"/>
      <c r="B123" s="250" t="s">
        <v>133</v>
      </c>
      <c r="C123" s="266">
        <v>4</v>
      </c>
      <c r="D123" s="266">
        <v>39.746507869999995</v>
      </c>
      <c r="E123" s="266">
        <v>11.112865660000001</v>
      </c>
      <c r="F123" s="266">
        <v>49.184390180000001</v>
      </c>
      <c r="G123" s="266">
        <v>8.0132898499999996</v>
      </c>
      <c r="H123" s="266">
        <v>60.686359519999996</v>
      </c>
      <c r="I123" s="266">
        <v>12.783648359999999</v>
      </c>
      <c r="J123" s="266">
        <v>5.1413360499999996</v>
      </c>
      <c r="K123" s="266">
        <v>2.2653134700000002</v>
      </c>
      <c r="L123" s="266">
        <v>4.5560496299999995</v>
      </c>
      <c r="M123" s="266">
        <v>1.5256227600000001</v>
      </c>
      <c r="N123" s="266">
        <v>4.4076210000000005E-2</v>
      </c>
      <c r="O123" s="266">
        <v>53.881817270000006</v>
      </c>
      <c r="P123" s="266">
        <v>62.437874379999997</v>
      </c>
      <c r="Q123" s="266">
        <v>3.7744677000000006</v>
      </c>
      <c r="R123" s="266">
        <v>32.755332080000002</v>
      </c>
      <c r="S123" s="266">
        <v>30.922385560000002</v>
      </c>
      <c r="T123" s="266">
        <v>7.0817300300000001</v>
      </c>
      <c r="U123" s="266">
        <v>3.3523449799999998</v>
      </c>
      <c r="V123" s="266">
        <v>40.935476860000001</v>
      </c>
      <c r="W123" s="266">
        <v>8.5625749800000008</v>
      </c>
      <c r="X123" s="266">
        <v>442.76346339999998</v>
      </c>
    </row>
    <row r="124" spans="1:24" ht="15" x14ac:dyDescent="0.25">
      <c r="A124" s="282"/>
      <c r="B124" s="248" t="s">
        <v>178</v>
      </c>
      <c r="C124" s="264"/>
      <c r="D124" s="265"/>
      <c r="E124" s="264"/>
      <c r="F124" s="265"/>
      <c r="G124" s="264"/>
      <c r="H124" s="265"/>
      <c r="I124" s="264"/>
      <c r="J124" s="265"/>
      <c r="K124" s="264"/>
      <c r="L124" s="265"/>
      <c r="M124" s="264"/>
      <c r="N124" s="265"/>
      <c r="O124" s="264"/>
      <c r="P124" s="265"/>
      <c r="Q124" s="264"/>
      <c r="R124" s="265"/>
      <c r="S124" s="264"/>
      <c r="T124" s="265"/>
      <c r="U124" s="264"/>
      <c r="V124" s="265"/>
      <c r="W124" s="264"/>
      <c r="X124" s="265"/>
    </row>
    <row r="125" spans="1:24" ht="15" x14ac:dyDescent="0.25">
      <c r="A125" s="282"/>
      <c r="B125" s="249" t="s">
        <v>223</v>
      </c>
      <c r="C125" s="264">
        <v>0</v>
      </c>
      <c r="D125" s="265">
        <v>0</v>
      </c>
      <c r="E125" s="264">
        <v>136.40816359999999</v>
      </c>
      <c r="F125" s="265">
        <v>16.4918364</v>
      </c>
      <c r="G125" s="264">
        <v>0</v>
      </c>
      <c r="H125" s="265">
        <v>0</v>
      </c>
      <c r="I125" s="264">
        <v>0</v>
      </c>
      <c r="J125" s="265">
        <v>0</v>
      </c>
      <c r="K125" s="264">
        <v>2.8999997999999998</v>
      </c>
      <c r="L125" s="265">
        <v>0</v>
      </c>
      <c r="M125" s="264">
        <v>0</v>
      </c>
      <c r="N125" s="265">
        <v>0</v>
      </c>
      <c r="O125" s="264">
        <v>-3.0000001061125658E-7</v>
      </c>
      <c r="P125" s="265">
        <v>4.9999999873762135E-7</v>
      </c>
      <c r="Q125" s="264">
        <v>0</v>
      </c>
      <c r="R125" s="265">
        <v>0</v>
      </c>
      <c r="S125" s="264">
        <v>0</v>
      </c>
      <c r="T125" s="265">
        <v>0</v>
      </c>
      <c r="U125" s="264">
        <v>-1.0000000072452053E-7</v>
      </c>
      <c r="V125" s="265">
        <v>0</v>
      </c>
      <c r="W125" s="264">
        <v>0</v>
      </c>
      <c r="X125" s="265">
        <v>155.79999989999999</v>
      </c>
    </row>
    <row r="126" spans="1:24" ht="15" x14ac:dyDescent="0.25">
      <c r="A126" s="282"/>
      <c r="B126" s="249" t="s">
        <v>224</v>
      </c>
      <c r="C126" s="264">
        <v>0</v>
      </c>
      <c r="D126" s="265">
        <v>0</v>
      </c>
      <c r="E126" s="264">
        <v>0</v>
      </c>
      <c r="F126" s="265">
        <v>0</v>
      </c>
      <c r="G126" s="264">
        <v>0</v>
      </c>
      <c r="H126" s="265">
        <v>0</v>
      </c>
      <c r="I126" s="264">
        <v>0.12269919999999999</v>
      </c>
      <c r="J126" s="265">
        <v>0</v>
      </c>
      <c r="K126" s="264">
        <v>0</v>
      </c>
      <c r="L126" s="265">
        <v>0</v>
      </c>
      <c r="M126" s="264">
        <v>0</v>
      </c>
      <c r="N126" s="265">
        <v>0</v>
      </c>
      <c r="O126" s="264">
        <v>0</v>
      </c>
      <c r="P126" s="265">
        <v>0</v>
      </c>
      <c r="Q126" s="264">
        <v>0</v>
      </c>
      <c r="R126" s="265">
        <v>0</v>
      </c>
      <c r="S126" s="264">
        <v>236.55460110000001</v>
      </c>
      <c r="T126" s="265">
        <v>0</v>
      </c>
      <c r="U126" s="264">
        <v>0</v>
      </c>
      <c r="V126" s="265">
        <v>0</v>
      </c>
      <c r="W126" s="264">
        <v>0</v>
      </c>
      <c r="X126" s="265">
        <v>236.67730030000001</v>
      </c>
    </row>
    <row r="127" spans="1:24" ht="15" x14ac:dyDescent="0.25">
      <c r="A127" s="282"/>
      <c r="B127" s="249" t="s">
        <v>225</v>
      </c>
      <c r="C127" s="264">
        <v>0</v>
      </c>
      <c r="D127" s="265">
        <v>0</v>
      </c>
      <c r="E127" s="264">
        <v>0</v>
      </c>
      <c r="F127" s="265">
        <v>0.9</v>
      </c>
      <c r="G127" s="264">
        <v>0</v>
      </c>
      <c r="H127" s="265">
        <v>0</v>
      </c>
      <c r="I127" s="264">
        <v>0</v>
      </c>
      <c r="J127" s="265">
        <v>353.03210760000002</v>
      </c>
      <c r="K127" s="264">
        <v>45.454038599999997</v>
      </c>
      <c r="L127" s="265">
        <v>4.4138532000000001</v>
      </c>
      <c r="M127" s="264">
        <v>0</v>
      </c>
      <c r="N127" s="265">
        <v>0</v>
      </c>
      <c r="O127" s="264">
        <v>0</v>
      </c>
      <c r="P127" s="265">
        <v>1.0000000005838672E-7</v>
      </c>
      <c r="Q127" s="264">
        <v>0</v>
      </c>
      <c r="R127" s="265">
        <v>0</v>
      </c>
      <c r="S127" s="264">
        <v>0</v>
      </c>
      <c r="T127" s="265">
        <v>-2.9999995376783772E-7</v>
      </c>
      <c r="U127" s="264">
        <v>6.9999999396941348E-7</v>
      </c>
      <c r="V127" s="265">
        <v>-6.99999999298484E-7</v>
      </c>
      <c r="W127" s="264">
        <v>0</v>
      </c>
      <c r="X127" s="265">
        <v>403.79999920000006</v>
      </c>
    </row>
    <row r="128" spans="1:24" ht="15" x14ac:dyDescent="0.25">
      <c r="A128" s="282"/>
      <c r="B128" s="249" t="s">
        <v>226</v>
      </c>
      <c r="C128" s="264">
        <v>0</v>
      </c>
      <c r="D128" s="265">
        <v>0</v>
      </c>
      <c r="E128" s="264">
        <v>0</v>
      </c>
      <c r="F128" s="265">
        <v>0.89999980000000002</v>
      </c>
      <c r="G128" s="264">
        <v>0</v>
      </c>
      <c r="H128" s="265">
        <v>0</v>
      </c>
      <c r="I128" s="264">
        <v>794</v>
      </c>
      <c r="J128" s="265">
        <v>0</v>
      </c>
      <c r="K128" s="264">
        <v>1</v>
      </c>
      <c r="L128" s="272">
        <v>0.89999980000000002</v>
      </c>
      <c r="M128" s="264">
        <v>0</v>
      </c>
      <c r="N128" s="265">
        <v>0</v>
      </c>
      <c r="O128" s="264">
        <v>0</v>
      </c>
      <c r="P128" s="265">
        <v>-9.9999999947364415E-8</v>
      </c>
      <c r="Q128" s="264">
        <v>0</v>
      </c>
      <c r="R128" s="265">
        <v>0</v>
      </c>
      <c r="S128" s="264">
        <v>9.9999965641472954E-8</v>
      </c>
      <c r="T128" s="265">
        <v>0</v>
      </c>
      <c r="U128" s="264">
        <v>9.9999999947364415E-8</v>
      </c>
      <c r="V128" s="265">
        <v>-9.9999999947364415E-8</v>
      </c>
      <c r="W128" s="264">
        <v>0</v>
      </c>
      <c r="X128" s="265">
        <v>796.79999960000009</v>
      </c>
    </row>
    <row r="129" spans="1:24" ht="15" x14ac:dyDescent="0.25">
      <c r="A129" s="282"/>
      <c r="B129" s="249" t="s">
        <v>227</v>
      </c>
      <c r="C129" s="264">
        <v>0</v>
      </c>
      <c r="D129" s="265">
        <v>0</v>
      </c>
      <c r="E129" s="264">
        <v>109.0126908</v>
      </c>
      <c r="F129" s="265">
        <v>163.86872339999999</v>
      </c>
      <c r="G129" s="264">
        <v>0</v>
      </c>
      <c r="H129" s="265">
        <v>287.18211380000002</v>
      </c>
      <c r="I129" s="264">
        <v>33.836472000000001</v>
      </c>
      <c r="J129" s="285">
        <v>451</v>
      </c>
      <c r="K129" s="264">
        <v>0</v>
      </c>
      <c r="L129" s="265">
        <v>0</v>
      </c>
      <c r="M129" s="264">
        <v>0</v>
      </c>
      <c r="N129" s="286">
        <v>665.99999979999996</v>
      </c>
      <c r="O129" s="264">
        <v>1.9000008999999949</v>
      </c>
      <c r="P129" s="265">
        <v>-5.0000002715933078E-7</v>
      </c>
      <c r="Q129" s="264">
        <v>0</v>
      </c>
      <c r="R129" s="265">
        <v>-9.9999965641472954E-8</v>
      </c>
      <c r="S129" s="264">
        <v>1.0000000116860974E-7</v>
      </c>
      <c r="T129" s="265">
        <v>1.0000002248489182E-7</v>
      </c>
      <c r="U129" s="264">
        <v>0</v>
      </c>
      <c r="V129" s="265">
        <v>0</v>
      </c>
      <c r="W129" s="264">
        <v>0</v>
      </c>
      <c r="X129" s="265">
        <v>1712.8000003000002</v>
      </c>
    </row>
    <row r="130" spans="1:24" ht="15.75" thickBot="1" x14ac:dyDescent="0.3">
      <c r="A130" s="282"/>
      <c r="B130" s="249" t="s">
        <v>228</v>
      </c>
      <c r="C130" s="264">
        <v>0</v>
      </c>
      <c r="D130" s="265">
        <v>0</v>
      </c>
      <c r="E130" s="264">
        <v>2.3007199999999998E-2</v>
      </c>
      <c r="F130" s="265">
        <v>0</v>
      </c>
      <c r="G130" s="264">
        <v>0</v>
      </c>
      <c r="H130" s="265">
        <v>560.93626440000003</v>
      </c>
      <c r="I130" s="264">
        <v>67.9407286</v>
      </c>
      <c r="J130" s="272">
        <v>0.99999979999999999</v>
      </c>
      <c r="K130" s="264">
        <v>0</v>
      </c>
      <c r="L130" s="265">
        <v>0</v>
      </c>
      <c r="M130" s="264">
        <v>0</v>
      </c>
      <c r="N130" s="265">
        <v>0</v>
      </c>
      <c r="O130" s="264">
        <v>1.8999988999999997</v>
      </c>
      <c r="P130" s="265">
        <v>0</v>
      </c>
      <c r="Q130" s="264">
        <v>0</v>
      </c>
      <c r="R130" s="265">
        <v>5.0000005558104021E-7</v>
      </c>
      <c r="S130" s="264">
        <v>7.0000000107484084E-7</v>
      </c>
      <c r="T130" s="265">
        <v>-1.0000000005838672E-7</v>
      </c>
      <c r="U130" s="264">
        <v>0</v>
      </c>
      <c r="V130" s="265">
        <v>0</v>
      </c>
      <c r="W130" s="264">
        <v>0</v>
      </c>
      <c r="X130" s="265">
        <v>631.80000000000007</v>
      </c>
    </row>
    <row r="131" spans="1:24" ht="15" thickBot="1" x14ac:dyDescent="0.25">
      <c r="A131" s="282"/>
      <c r="B131" s="250" t="s">
        <v>179</v>
      </c>
      <c r="C131" s="266">
        <v>0</v>
      </c>
      <c r="D131" s="266">
        <v>0</v>
      </c>
      <c r="E131" s="266">
        <v>245.44386159999999</v>
      </c>
      <c r="F131" s="266">
        <v>182.1605596</v>
      </c>
      <c r="G131" s="266">
        <v>0</v>
      </c>
      <c r="H131" s="266">
        <v>848.11837820000005</v>
      </c>
      <c r="I131" s="266">
        <v>895.89989979999996</v>
      </c>
      <c r="J131" s="266">
        <v>805.03210739999997</v>
      </c>
      <c r="K131" s="266">
        <v>49.354038399999993</v>
      </c>
      <c r="L131" s="266">
        <v>5.3138529999999999</v>
      </c>
      <c r="M131" s="266">
        <v>0</v>
      </c>
      <c r="N131" s="266">
        <v>665.99999979999996</v>
      </c>
      <c r="O131" s="266">
        <v>3.7999994999999842</v>
      </c>
      <c r="P131" s="266">
        <v>-2.8310687127941492E-14</v>
      </c>
      <c r="Q131" s="266">
        <v>0</v>
      </c>
      <c r="R131" s="266">
        <v>4.0000008993956726E-7</v>
      </c>
      <c r="S131" s="266">
        <v>236.55460199999999</v>
      </c>
      <c r="T131" s="266">
        <v>-2.9999993134133263E-7</v>
      </c>
      <c r="U131" s="266">
        <v>6.9999999319225736E-7</v>
      </c>
      <c r="V131" s="266">
        <v>-7.9999999924584841E-7</v>
      </c>
      <c r="W131" s="266">
        <v>0</v>
      </c>
      <c r="X131" s="266">
        <v>3937.6772993000004</v>
      </c>
    </row>
    <row r="132" spans="1:24" ht="15" x14ac:dyDescent="0.25">
      <c r="A132" s="282"/>
      <c r="B132" s="248" t="s">
        <v>124</v>
      </c>
      <c r="C132" s="264"/>
      <c r="D132" s="265"/>
      <c r="E132" s="264"/>
      <c r="F132" s="265"/>
      <c r="G132" s="264"/>
      <c r="H132" s="265"/>
      <c r="I132" s="264"/>
      <c r="J132" s="265"/>
      <c r="K132" s="264"/>
      <c r="L132" s="265"/>
      <c r="M132" s="264"/>
      <c r="N132" s="265"/>
      <c r="O132" s="264"/>
      <c r="P132" s="265"/>
      <c r="Q132" s="264"/>
      <c r="R132" s="265"/>
      <c r="S132" s="264"/>
      <c r="T132" s="265"/>
      <c r="U132" s="264"/>
      <c r="V132" s="265"/>
      <c r="W132" s="264"/>
      <c r="X132" s="265"/>
    </row>
    <row r="133" spans="1:24" ht="15.75" thickBot="1" x14ac:dyDescent="0.3">
      <c r="A133" s="282"/>
      <c r="B133" s="249" t="s">
        <v>229</v>
      </c>
      <c r="C133" s="264">
        <v>0</v>
      </c>
      <c r="D133" s="265">
        <v>0</v>
      </c>
      <c r="E133" s="264">
        <v>0</v>
      </c>
      <c r="F133" s="265">
        <v>0</v>
      </c>
      <c r="G133" s="264">
        <v>593.9</v>
      </c>
      <c r="H133" s="265">
        <v>0</v>
      </c>
      <c r="I133" s="264">
        <v>0</v>
      </c>
      <c r="J133" s="272">
        <v>451</v>
      </c>
      <c r="K133" s="264">
        <v>0</v>
      </c>
      <c r="L133" s="265">
        <v>0</v>
      </c>
      <c r="M133" s="264">
        <v>0</v>
      </c>
      <c r="N133" s="265">
        <v>0</v>
      </c>
      <c r="O133" s="264">
        <v>0</v>
      </c>
      <c r="P133" s="265">
        <v>0</v>
      </c>
      <c r="Q133" s="264">
        <v>9.9999965641472954E-8</v>
      </c>
      <c r="R133" s="265">
        <v>0</v>
      </c>
      <c r="S133" s="264">
        <v>0</v>
      </c>
      <c r="T133" s="265">
        <v>1.0000002248489182E-7</v>
      </c>
      <c r="U133" s="264">
        <v>0</v>
      </c>
      <c r="V133" s="265">
        <v>0</v>
      </c>
      <c r="W133" s="264">
        <v>0</v>
      </c>
      <c r="X133" s="265">
        <v>1044.9000002</v>
      </c>
    </row>
    <row r="134" spans="1:24" ht="15" thickBot="1" x14ac:dyDescent="0.25">
      <c r="A134" s="282"/>
      <c r="B134" s="250" t="s">
        <v>125</v>
      </c>
      <c r="C134" s="266">
        <v>0</v>
      </c>
      <c r="D134" s="266">
        <v>0</v>
      </c>
      <c r="E134" s="266">
        <v>0</v>
      </c>
      <c r="F134" s="266">
        <v>0</v>
      </c>
      <c r="G134" s="266">
        <v>593.9</v>
      </c>
      <c r="H134" s="266">
        <v>0</v>
      </c>
      <c r="I134" s="266">
        <v>0</v>
      </c>
      <c r="J134" s="266">
        <v>451</v>
      </c>
      <c r="K134" s="266">
        <v>0</v>
      </c>
      <c r="L134" s="266">
        <v>0</v>
      </c>
      <c r="M134" s="266">
        <v>0</v>
      </c>
      <c r="N134" s="266">
        <v>0</v>
      </c>
      <c r="O134" s="266">
        <v>0</v>
      </c>
      <c r="P134" s="266">
        <v>0</v>
      </c>
      <c r="Q134" s="266">
        <v>9.9999965641472954E-8</v>
      </c>
      <c r="R134" s="266">
        <v>0</v>
      </c>
      <c r="S134" s="266">
        <v>0</v>
      </c>
      <c r="T134" s="266">
        <v>1.0000002248489182E-7</v>
      </c>
      <c r="U134" s="266">
        <v>0</v>
      </c>
      <c r="V134" s="266">
        <v>0</v>
      </c>
      <c r="W134" s="266">
        <v>0</v>
      </c>
      <c r="X134" s="266">
        <v>1044.9000002</v>
      </c>
    </row>
    <row r="135" spans="1:24" ht="15" x14ac:dyDescent="0.25">
      <c r="A135" s="282"/>
      <c r="B135" s="248" t="s">
        <v>180</v>
      </c>
      <c r="C135" s="264"/>
      <c r="D135" s="265"/>
      <c r="E135" s="264"/>
      <c r="F135" s="265"/>
      <c r="G135" s="264"/>
      <c r="H135" s="265"/>
      <c r="I135" s="264"/>
      <c r="J135" s="265"/>
      <c r="K135" s="264"/>
      <c r="L135" s="265"/>
      <c r="M135" s="264"/>
      <c r="N135" s="265"/>
      <c r="O135" s="264"/>
      <c r="P135" s="265"/>
      <c r="Q135" s="264"/>
      <c r="R135" s="265"/>
      <c r="S135" s="264"/>
      <c r="T135" s="265"/>
      <c r="U135" s="264"/>
      <c r="V135" s="265"/>
      <c r="W135" s="264"/>
      <c r="X135" s="265"/>
    </row>
    <row r="136" spans="1:24" ht="15" x14ac:dyDescent="0.25">
      <c r="A136" s="282"/>
      <c r="B136" s="249" t="s">
        <v>230</v>
      </c>
      <c r="C136" s="264">
        <v>0</v>
      </c>
      <c r="D136" s="265">
        <v>0</v>
      </c>
      <c r="E136" s="264">
        <v>700.72093999999993</v>
      </c>
      <c r="F136" s="265">
        <v>5.39</v>
      </c>
      <c r="G136" s="264">
        <v>0</v>
      </c>
      <c r="H136" s="265">
        <v>39.091044599999996</v>
      </c>
      <c r="I136" s="264">
        <v>0</v>
      </c>
      <c r="J136" s="265">
        <v>9.2753119999999996</v>
      </c>
      <c r="K136" s="264">
        <v>2.8999994</v>
      </c>
      <c r="L136" s="265">
        <v>0</v>
      </c>
      <c r="M136" s="264">
        <v>0</v>
      </c>
      <c r="N136" s="265">
        <v>0</v>
      </c>
      <c r="O136" s="264">
        <v>0</v>
      </c>
      <c r="P136" s="265">
        <v>0</v>
      </c>
      <c r="Q136" s="264">
        <v>0</v>
      </c>
      <c r="R136" s="265">
        <v>0</v>
      </c>
      <c r="S136" s="264">
        <v>0</v>
      </c>
      <c r="T136" s="265">
        <v>0</v>
      </c>
      <c r="U136" s="264">
        <v>192.15955719999999</v>
      </c>
      <c r="V136" s="265">
        <v>27.053146399999999</v>
      </c>
      <c r="W136" s="264">
        <v>0</v>
      </c>
      <c r="X136" s="265">
        <v>976.58999959999983</v>
      </c>
    </row>
    <row r="137" spans="1:24" ht="15" x14ac:dyDescent="0.25">
      <c r="A137" s="282"/>
      <c r="B137" s="249" t="s">
        <v>231</v>
      </c>
      <c r="C137" s="264">
        <v>0</v>
      </c>
      <c r="D137" s="265">
        <v>0</v>
      </c>
      <c r="E137" s="264">
        <v>0</v>
      </c>
      <c r="F137" s="265">
        <v>99.9</v>
      </c>
      <c r="G137" s="264">
        <v>0</v>
      </c>
      <c r="H137" s="265">
        <v>0</v>
      </c>
      <c r="I137" s="264">
        <v>0</v>
      </c>
      <c r="J137" s="265">
        <v>0</v>
      </c>
      <c r="K137" s="264">
        <v>0</v>
      </c>
      <c r="L137" s="265">
        <v>0</v>
      </c>
      <c r="M137" s="264">
        <v>0</v>
      </c>
      <c r="N137" s="265">
        <v>0</v>
      </c>
      <c r="O137" s="264">
        <v>0</v>
      </c>
      <c r="P137" s="265">
        <v>0</v>
      </c>
      <c r="Q137" s="264">
        <v>0</v>
      </c>
      <c r="R137" s="265">
        <v>0</v>
      </c>
      <c r="S137" s="264">
        <v>0</v>
      </c>
      <c r="T137" s="265">
        <v>0</v>
      </c>
      <c r="U137" s="264">
        <v>0</v>
      </c>
      <c r="V137" s="265">
        <v>0</v>
      </c>
      <c r="W137" s="264">
        <v>0</v>
      </c>
      <c r="X137" s="265">
        <v>99.9</v>
      </c>
    </row>
    <row r="138" spans="1:24" ht="15" x14ac:dyDescent="0.25">
      <c r="A138" s="282"/>
      <c r="B138" s="249" t="s">
        <v>232</v>
      </c>
      <c r="C138" s="264">
        <v>0</v>
      </c>
      <c r="D138" s="265">
        <v>0</v>
      </c>
      <c r="E138" s="264">
        <v>0</v>
      </c>
      <c r="F138" s="265">
        <v>0</v>
      </c>
      <c r="G138" s="264">
        <v>0</v>
      </c>
      <c r="H138" s="265">
        <v>0</v>
      </c>
      <c r="I138" s="264">
        <v>0</v>
      </c>
      <c r="J138" s="265">
        <v>0</v>
      </c>
      <c r="K138" s="264">
        <v>0</v>
      </c>
      <c r="L138" s="265">
        <v>221.75898179999999</v>
      </c>
      <c r="M138" s="264">
        <v>0</v>
      </c>
      <c r="N138" s="265">
        <v>0</v>
      </c>
      <c r="O138" s="264">
        <v>0</v>
      </c>
      <c r="P138" s="265">
        <v>0</v>
      </c>
      <c r="Q138" s="264">
        <v>0</v>
      </c>
      <c r="R138" s="265">
        <v>0</v>
      </c>
      <c r="S138" s="264">
        <v>99.373194999999996</v>
      </c>
      <c r="T138" s="265">
        <v>114.89616479999999</v>
      </c>
      <c r="U138" s="264">
        <v>0</v>
      </c>
      <c r="V138" s="265">
        <v>118.136978</v>
      </c>
      <c r="W138" s="264">
        <v>0</v>
      </c>
      <c r="X138" s="265">
        <v>554.16531959999998</v>
      </c>
    </row>
    <row r="139" spans="1:24" ht="15" x14ac:dyDescent="0.25">
      <c r="A139" s="282"/>
      <c r="B139" s="249" t="s">
        <v>233</v>
      </c>
      <c r="C139" s="264">
        <v>0</v>
      </c>
      <c r="D139" s="265">
        <v>0</v>
      </c>
      <c r="E139" s="264">
        <v>0</v>
      </c>
      <c r="F139" s="265">
        <v>0</v>
      </c>
      <c r="G139" s="264">
        <v>0</v>
      </c>
      <c r="H139" s="265">
        <v>0</v>
      </c>
      <c r="I139" s="264">
        <v>0</v>
      </c>
      <c r="J139" s="265">
        <v>0</v>
      </c>
      <c r="K139" s="264">
        <v>0</v>
      </c>
      <c r="L139" s="265">
        <v>0</v>
      </c>
      <c r="M139" s="264">
        <v>0</v>
      </c>
      <c r="N139" s="265">
        <v>0</v>
      </c>
      <c r="O139" s="264">
        <v>0</v>
      </c>
      <c r="P139" s="265">
        <v>0</v>
      </c>
      <c r="Q139" s="264">
        <v>0</v>
      </c>
      <c r="R139" s="265">
        <v>0</v>
      </c>
      <c r="S139" s="264">
        <v>0</v>
      </c>
      <c r="T139" s="265">
        <v>0</v>
      </c>
      <c r="U139" s="264">
        <v>0</v>
      </c>
      <c r="V139" s="265">
        <v>33.4394396</v>
      </c>
      <c r="W139" s="264">
        <v>0</v>
      </c>
      <c r="X139" s="265">
        <v>33.4394396</v>
      </c>
    </row>
    <row r="140" spans="1:24" ht="15" x14ac:dyDescent="0.25">
      <c r="A140" s="282"/>
      <c r="B140" s="249" t="s">
        <v>234</v>
      </c>
      <c r="C140" s="264">
        <v>0</v>
      </c>
      <c r="D140" s="265">
        <v>0</v>
      </c>
      <c r="E140" s="264">
        <v>366.29557999999997</v>
      </c>
      <c r="F140" s="265">
        <v>3.2369400000000002</v>
      </c>
      <c r="G140" s="264">
        <v>0</v>
      </c>
      <c r="H140" s="265">
        <v>0</v>
      </c>
      <c r="I140" s="264">
        <v>0</v>
      </c>
      <c r="J140" s="265">
        <v>13.302519999999999</v>
      </c>
      <c r="K140" s="264">
        <v>0</v>
      </c>
      <c r="L140" s="265">
        <v>2.7195</v>
      </c>
      <c r="M140" s="264">
        <v>3.5348600000000001</v>
      </c>
      <c r="N140" s="265">
        <v>0</v>
      </c>
      <c r="O140" s="264">
        <v>11.028919999999999</v>
      </c>
      <c r="P140" s="265">
        <v>6.0544399999999996</v>
      </c>
      <c r="Q140" s="264">
        <v>6.2661199999999999</v>
      </c>
      <c r="R140" s="265">
        <v>6.7130000000000001</v>
      </c>
      <c r="S140" s="264">
        <v>6.0270000000000001</v>
      </c>
      <c r="T140" s="265">
        <v>7.9436700000000009</v>
      </c>
      <c r="U140" s="264">
        <v>5.8525067999999996</v>
      </c>
      <c r="V140" s="265">
        <v>5.6634200000000003</v>
      </c>
      <c r="W140" s="264">
        <v>5.9544800000000002</v>
      </c>
      <c r="X140" s="265">
        <v>450.59295679999991</v>
      </c>
    </row>
    <row r="141" spans="1:24" ht="15" x14ac:dyDescent="0.25">
      <c r="A141" s="282"/>
      <c r="B141" s="249" t="s">
        <v>235</v>
      </c>
      <c r="C141" s="264">
        <v>0</v>
      </c>
      <c r="D141" s="265">
        <v>0</v>
      </c>
      <c r="E141" s="264">
        <v>0</v>
      </c>
      <c r="F141" s="265">
        <v>6.2671640000000002</v>
      </c>
      <c r="G141" s="264">
        <v>0</v>
      </c>
      <c r="H141" s="265">
        <v>0</v>
      </c>
      <c r="I141" s="264">
        <v>0</v>
      </c>
      <c r="J141" s="265">
        <v>342.51048200000002</v>
      </c>
      <c r="K141" s="264">
        <v>0</v>
      </c>
      <c r="L141" s="265">
        <v>1.8465130000000001</v>
      </c>
      <c r="M141" s="264">
        <v>172.50696099999999</v>
      </c>
      <c r="N141" s="265">
        <v>0</v>
      </c>
      <c r="O141" s="264">
        <v>0</v>
      </c>
      <c r="P141" s="265">
        <v>0</v>
      </c>
      <c r="Q141" s="264">
        <v>0</v>
      </c>
      <c r="R141" s="265">
        <v>74.668880000000001</v>
      </c>
      <c r="S141" s="264">
        <v>0</v>
      </c>
      <c r="T141" s="265">
        <v>0</v>
      </c>
      <c r="U141" s="264">
        <v>0</v>
      </c>
      <c r="V141" s="265">
        <v>0</v>
      </c>
      <c r="W141" s="264">
        <v>0</v>
      </c>
      <c r="X141" s="265">
        <v>597.79999999999995</v>
      </c>
    </row>
    <row r="142" spans="1:24" ht="15.75" thickBot="1" x14ac:dyDescent="0.3">
      <c r="A142" s="282"/>
      <c r="B142" s="249" t="s">
        <v>236</v>
      </c>
      <c r="C142" s="264">
        <v>0</v>
      </c>
      <c r="D142" s="265">
        <v>0</v>
      </c>
      <c r="E142" s="264">
        <v>75.705377200000001</v>
      </c>
      <c r="F142" s="265">
        <v>0</v>
      </c>
      <c r="G142" s="264">
        <v>0</v>
      </c>
      <c r="H142" s="265">
        <v>0</v>
      </c>
      <c r="I142" s="264">
        <v>0</v>
      </c>
      <c r="J142" s="265">
        <v>50.434733600000001</v>
      </c>
      <c r="K142" s="264">
        <v>0</v>
      </c>
      <c r="L142" s="265">
        <v>90.611410599999999</v>
      </c>
      <c r="M142" s="264">
        <v>0</v>
      </c>
      <c r="N142" s="265">
        <v>0</v>
      </c>
      <c r="O142" s="264">
        <v>0</v>
      </c>
      <c r="P142" s="265">
        <v>246.46644860000001</v>
      </c>
      <c r="Q142" s="264">
        <v>3.8928205999999999</v>
      </c>
      <c r="R142" s="265">
        <v>0</v>
      </c>
      <c r="S142" s="264">
        <v>0</v>
      </c>
      <c r="T142" s="265">
        <v>365.63948299999998</v>
      </c>
      <c r="U142" s="264">
        <v>59.2250576</v>
      </c>
      <c r="V142" s="265">
        <v>94.658529400000006</v>
      </c>
      <c r="W142" s="264">
        <v>8.8846799999999995</v>
      </c>
      <c r="X142" s="265">
        <v>995.51854060000005</v>
      </c>
    </row>
    <row r="143" spans="1:24" ht="15" thickBot="1" x14ac:dyDescent="0.25">
      <c r="A143" s="282"/>
      <c r="B143" s="250" t="s">
        <v>181</v>
      </c>
      <c r="C143" s="266">
        <v>0</v>
      </c>
      <c r="D143" s="266">
        <v>0</v>
      </c>
      <c r="E143" s="266">
        <v>1142.7218971999998</v>
      </c>
      <c r="F143" s="266">
        <v>114.794104</v>
      </c>
      <c r="G143" s="266">
        <v>0</v>
      </c>
      <c r="H143" s="266">
        <v>39.091044599999996</v>
      </c>
      <c r="I143" s="266">
        <v>0</v>
      </c>
      <c r="J143" s="266">
        <v>415.52304760000004</v>
      </c>
      <c r="K143" s="266">
        <v>2.8999994</v>
      </c>
      <c r="L143" s="266">
        <v>316.93640540000001</v>
      </c>
      <c r="M143" s="266">
        <v>176.041821</v>
      </c>
      <c r="N143" s="266">
        <v>0</v>
      </c>
      <c r="O143" s="266">
        <v>11.028919999999999</v>
      </c>
      <c r="P143" s="266">
        <v>252.52088860000001</v>
      </c>
      <c r="Q143" s="266">
        <v>10.158940599999999</v>
      </c>
      <c r="R143" s="266">
        <v>81.381879999999995</v>
      </c>
      <c r="S143" s="266">
        <v>105.400195</v>
      </c>
      <c r="T143" s="266">
        <v>488.47931779999999</v>
      </c>
      <c r="U143" s="266">
        <v>257.23712159999997</v>
      </c>
      <c r="V143" s="266">
        <v>278.95151340000001</v>
      </c>
      <c r="W143" s="266">
        <v>14.83916</v>
      </c>
      <c r="X143" s="266">
        <v>3708.0062562000003</v>
      </c>
    </row>
    <row r="144" spans="1:24" ht="15" thickBot="1" x14ac:dyDescent="0.25">
      <c r="A144" s="282"/>
      <c r="B144" s="251" t="s">
        <v>136</v>
      </c>
      <c r="C144" s="267">
        <v>41.330265609999998</v>
      </c>
      <c r="D144" s="268">
        <v>71.069455669999996</v>
      </c>
      <c r="E144" s="267">
        <v>1495.5137483099998</v>
      </c>
      <c r="F144" s="268">
        <v>445.49340926000002</v>
      </c>
      <c r="G144" s="267">
        <v>704.22353537000004</v>
      </c>
      <c r="H144" s="268">
        <v>1054.5224586500001</v>
      </c>
      <c r="I144" s="267">
        <v>1022.1254961499999</v>
      </c>
      <c r="J144" s="268">
        <v>1790.4474387200003</v>
      </c>
      <c r="K144" s="267">
        <v>168.40956692</v>
      </c>
      <c r="L144" s="268">
        <v>438.26373255999999</v>
      </c>
      <c r="M144" s="267">
        <v>287.82390389999995</v>
      </c>
      <c r="N144" s="268">
        <v>763.93076493000001</v>
      </c>
      <c r="O144" s="267">
        <v>171.49231688999998</v>
      </c>
      <c r="P144" s="268">
        <v>415.55380656</v>
      </c>
      <c r="Q144" s="267">
        <v>111.89053287999998</v>
      </c>
      <c r="R144" s="268">
        <v>213.82455790000009</v>
      </c>
      <c r="S144" s="267">
        <v>472.43508353000004</v>
      </c>
      <c r="T144" s="268">
        <v>605.07563991000006</v>
      </c>
      <c r="U144" s="267">
        <v>437.36150255000007</v>
      </c>
      <c r="V144" s="268">
        <v>486.73953587999995</v>
      </c>
      <c r="W144" s="267">
        <v>178.76485604999999</v>
      </c>
      <c r="X144" s="283">
        <v>11376.291608199999</v>
      </c>
    </row>
    <row r="145" spans="1:24" ht="15.75" thickTop="1" thickBot="1" x14ac:dyDescent="0.25">
      <c r="A145" s="257" t="s">
        <v>117</v>
      </c>
      <c r="B145" s="258"/>
      <c r="C145" s="269">
        <v>106.9289909</v>
      </c>
      <c r="D145" s="269">
        <v>502.22403140999995</v>
      </c>
      <c r="E145" s="269">
        <v>1792.4052007599998</v>
      </c>
      <c r="F145" s="269">
        <v>960.81697763999989</v>
      </c>
      <c r="G145" s="269">
        <v>1427.1522251299998</v>
      </c>
      <c r="H145" s="269">
        <v>2492.90824634</v>
      </c>
      <c r="I145" s="269">
        <v>1211.8126692999999</v>
      </c>
      <c r="J145" s="269">
        <v>2144.0097933400002</v>
      </c>
      <c r="K145" s="269">
        <v>455.65319794999999</v>
      </c>
      <c r="L145" s="269">
        <v>735.57072897</v>
      </c>
      <c r="M145" s="269">
        <v>534.85282992999987</v>
      </c>
      <c r="N145" s="269">
        <v>5060.7656188199999</v>
      </c>
      <c r="O145" s="269">
        <v>235.79929480999999</v>
      </c>
      <c r="P145" s="269">
        <v>892.39928726999995</v>
      </c>
      <c r="Q145" s="269">
        <v>747.19794027</v>
      </c>
      <c r="R145" s="269">
        <v>651.42688469000018</v>
      </c>
      <c r="S145" s="269">
        <v>515.72290248000002</v>
      </c>
      <c r="T145" s="269">
        <v>989.43481253999994</v>
      </c>
      <c r="U145" s="269">
        <v>1630.8844284399995</v>
      </c>
      <c r="V145" s="269">
        <v>708.72538913999983</v>
      </c>
      <c r="W145" s="269">
        <v>455.12217257000003</v>
      </c>
      <c r="X145" s="269">
        <v>24251.813622700007</v>
      </c>
    </row>
    <row r="148" spans="1:24" ht="14.25" x14ac:dyDescent="0.2">
      <c r="A148" s="252" t="s">
        <v>186</v>
      </c>
      <c r="B148" s="236"/>
      <c r="C148" s="263"/>
    </row>
    <row r="149" spans="1:24" x14ac:dyDescent="0.2">
      <c r="A149" t="s">
        <v>189</v>
      </c>
      <c r="B149" t="s">
        <v>185</v>
      </c>
      <c r="C149" s="270"/>
    </row>
    <row r="150" spans="1:24" x14ac:dyDescent="0.2">
      <c r="A150" t="s">
        <v>4</v>
      </c>
      <c r="B150" t="s">
        <v>183</v>
      </c>
      <c r="C150" s="270"/>
    </row>
    <row r="151" spans="1:24" x14ac:dyDescent="0.2">
      <c r="A151" t="s">
        <v>188</v>
      </c>
      <c r="B151" t="s">
        <v>184</v>
      </c>
      <c r="C151" s="270"/>
    </row>
    <row r="152" spans="1:24" x14ac:dyDescent="0.2">
      <c r="A152" s="242" t="s">
        <v>3</v>
      </c>
      <c r="B152" t="s">
        <v>182</v>
      </c>
      <c r="C152" s="270"/>
    </row>
    <row r="153" spans="1:24" x14ac:dyDescent="0.2">
      <c r="A153" t="s">
        <v>187</v>
      </c>
      <c r="B153" t="s">
        <v>242</v>
      </c>
      <c r="C153" s="270"/>
    </row>
  </sheetData>
  <mergeCells count="3">
    <mergeCell ref="B1:W1"/>
    <mergeCell ref="B2:W2"/>
    <mergeCell ref="B3:W3"/>
  </mergeCells>
  <pageMargins left="0.7" right="0.7" top="0.75" bottom="0.75" header="0.3" footer="0.3"/>
  <pageSetup scale="36" fitToHeight="2" orientation="landscape" r:id="rId1"/>
  <rowBreaks count="1" manualBreakCount="1">
    <brk id="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F59F8-9CD1-44DE-BA85-E1115C3A6882}">
  <sheetPr>
    <pageSetUpPr fitToPage="1"/>
  </sheetPr>
  <dimension ref="A1:G13"/>
  <sheetViews>
    <sheetView view="pageBreakPreview" topLeftCell="B1" zoomScale="60" zoomScaleNormal="100" workbookViewId="0">
      <selection activeCell="C28" sqref="C28"/>
    </sheetView>
  </sheetViews>
  <sheetFormatPr defaultRowHeight="12.75" x14ac:dyDescent="0.2"/>
  <cols>
    <col min="1" max="1" width="9.33203125" hidden="1" customWidth="1"/>
    <col min="3" max="3" width="81.6640625" customWidth="1"/>
    <col min="4" max="4" width="14.5" customWidth="1"/>
    <col min="5" max="5" width="13.1640625" customWidth="1"/>
    <col min="6" max="6" width="17.33203125" customWidth="1"/>
    <col min="7" max="7" width="15" customWidth="1"/>
    <col min="8" max="8" width="18.1640625" customWidth="1"/>
  </cols>
  <sheetData>
    <row r="1" spans="2:7" x14ac:dyDescent="0.2">
      <c r="C1" s="318" t="s">
        <v>270</v>
      </c>
      <c r="D1" s="318"/>
      <c r="E1" s="318"/>
      <c r="F1" s="318"/>
      <c r="G1" s="318"/>
    </row>
    <row r="2" spans="2:7" x14ac:dyDescent="0.2">
      <c r="C2" s="312"/>
      <c r="D2" s="312"/>
      <c r="E2" s="312"/>
      <c r="F2" s="312"/>
      <c r="G2" s="312"/>
    </row>
    <row r="3" spans="2:7" x14ac:dyDescent="0.2">
      <c r="B3" s="314" t="s">
        <v>110</v>
      </c>
      <c r="C3" s="315"/>
      <c r="D3" s="315"/>
      <c r="E3" s="315"/>
      <c r="F3" s="315"/>
      <c r="G3" s="315"/>
    </row>
    <row r="4" spans="2:7" ht="45.75" customHeight="1" x14ac:dyDescent="0.2">
      <c r="B4" s="221" t="s">
        <v>72</v>
      </c>
      <c r="C4" s="222" t="s">
        <v>111</v>
      </c>
      <c r="D4" s="223" t="s">
        <v>245</v>
      </c>
      <c r="E4" s="223" t="s">
        <v>246</v>
      </c>
      <c r="F4" s="224" t="s">
        <v>27</v>
      </c>
      <c r="G4" s="223" t="s">
        <v>73</v>
      </c>
    </row>
    <row r="5" spans="2:7" x14ac:dyDescent="0.2">
      <c r="B5" s="288"/>
      <c r="C5" s="289" t="s">
        <v>248</v>
      </c>
      <c r="D5" s="228">
        <v>0</v>
      </c>
      <c r="E5" s="228">
        <v>13.3</v>
      </c>
      <c r="F5" s="229">
        <f>D5/E5</f>
        <v>0</v>
      </c>
      <c r="G5" s="225">
        <v>45667</v>
      </c>
    </row>
    <row r="6" spans="2:7" x14ac:dyDescent="0.2">
      <c r="B6" s="226"/>
      <c r="C6" s="227" t="s">
        <v>249</v>
      </c>
      <c r="D6" s="228">
        <v>0</v>
      </c>
      <c r="E6" s="228">
        <v>30</v>
      </c>
      <c r="F6" s="229">
        <f t="shared" ref="F6:F10" si="0">D6/E6</f>
        <v>0</v>
      </c>
      <c r="G6" s="127">
        <v>45667</v>
      </c>
    </row>
    <row r="7" spans="2:7" x14ac:dyDescent="0.2">
      <c r="B7" s="226"/>
      <c r="C7" s="227" t="s">
        <v>250</v>
      </c>
      <c r="D7" s="228">
        <v>0</v>
      </c>
      <c r="E7" s="228">
        <v>25</v>
      </c>
      <c r="F7" s="229">
        <f t="shared" si="0"/>
        <v>0</v>
      </c>
      <c r="G7" s="127">
        <v>45667</v>
      </c>
    </row>
    <row r="8" spans="2:7" x14ac:dyDescent="0.2">
      <c r="B8" s="226"/>
      <c r="C8" s="227" t="s">
        <v>251</v>
      </c>
      <c r="D8" s="228">
        <v>0</v>
      </c>
      <c r="E8" s="228">
        <v>98</v>
      </c>
      <c r="F8" s="229">
        <f t="shared" si="0"/>
        <v>0</v>
      </c>
      <c r="G8" s="127">
        <v>45667</v>
      </c>
    </row>
    <row r="9" spans="2:7" x14ac:dyDescent="0.2">
      <c r="B9" s="226"/>
      <c r="C9" s="227" t="s">
        <v>252</v>
      </c>
      <c r="D9" s="228">
        <v>0</v>
      </c>
      <c r="E9" s="228">
        <v>31.8</v>
      </c>
      <c r="F9" s="229">
        <f t="shared" si="0"/>
        <v>0</v>
      </c>
      <c r="G9" s="127">
        <v>45667</v>
      </c>
    </row>
    <row r="10" spans="2:7" x14ac:dyDescent="0.2">
      <c r="B10" s="226"/>
      <c r="C10" s="227" t="s">
        <v>253</v>
      </c>
      <c r="D10" s="228">
        <v>0</v>
      </c>
      <c r="E10" s="228">
        <v>6.2</v>
      </c>
      <c r="F10" s="229">
        <f t="shared" si="0"/>
        <v>0</v>
      </c>
      <c r="G10" s="127">
        <v>45667</v>
      </c>
    </row>
    <row r="11" spans="2:7" ht="25.5" x14ac:dyDescent="0.2">
      <c r="B11" s="230"/>
      <c r="C11" s="290" t="s">
        <v>247</v>
      </c>
      <c r="D11" s="231">
        <v>-2.4569999999999999</v>
      </c>
      <c r="E11" s="231">
        <v>-2.4569999999999999</v>
      </c>
      <c r="F11" s="291">
        <v>1</v>
      </c>
      <c r="G11" s="128">
        <v>45667</v>
      </c>
    </row>
    <row r="12" spans="2:7" x14ac:dyDescent="0.2">
      <c r="B12" s="232"/>
      <c r="C12" s="233"/>
      <c r="D12" s="233"/>
      <c r="E12" s="233"/>
      <c r="F12" s="234"/>
      <c r="G12" s="233"/>
    </row>
    <row r="13" spans="2:7" x14ac:dyDescent="0.2">
      <c r="B13" s="316" t="s">
        <v>74</v>
      </c>
      <c r="C13" s="317"/>
      <c r="D13" s="129">
        <f>ROUND(SUM(D5:D11),2)</f>
        <v>-2.46</v>
      </c>
      <c r="E13" s="129">
        <f>ROUND(SUM(E5:E11),2)</f>
        <v>201.84</v>
      </c>
      <c r="F13" s="235"/>
      <c r="G13" s="130"/>
    </row>
  </sheetData>
  <mergeCells count="3">
    <mergeCell ref="B3:G3"/>
    <mergeCell ref="B13:C13"/>
    <mergeCell ref="C1:G1"/>
  </mergeCells>
  <conditionalFormatting sqref="B6">
    <cfRule type="expression" dxfId="5" priority="12">
      <formula>AND($E6&gt;0,$O6=1)</formula>
    </cfRule>
  </conditionalFormatting>
  <conditionalFormatting sqref="B7:B10">
    <cfRule type="expression" dxfId="4" priority="11">
      <formula>AND(#REF!&gt;0,$O7=1)</formula>
    </cfRule>
  </conditionalFormatting>
  <conditionalFormatting sqref="D5:D10">
    <cfRule type="expression" dxfId="3" priority="2">
      <formula>AND(ISLOGICAL(#REF!),#REF!=FALSE)</formula>
    </cfRule>
  </conditionalFormatting>
  <conditionalFormatting sqref="E5:E8">
    <cfRule type="expression" dxfId="2" priority="3">
      <formula>AND(ISLOGICAL(#REF!),#REF!=FALSE)</formula>
    </cfRule>
  </conditionalFormatting>
  <conditionalFormatting sqref="E10">
    <cfRule type="expression" dxfId="1" priority="1">
      <formula>AND(ISLOGICAL(#REF!),#REF!=FALSE)</formula>
    </cfRule>
  </conditionalFormatting>
  <conditionalFormatting sqref="G7:G10">
    <cfRule type="expression" dxfId="0" priority="7">
      <formula>AND(ISLOGICAL(#REF!),#REF!=FALSE)</formula>
    </cfRule>
  </conditionalFormatting>
  <pageMargins left="0.7" right="0.7" top="0.75" bottom="0.75" header="0.3" footer="0.3"/>
  <pageSetup scale="8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1">
    <pageSetUpPr fitToPage="1"/>
  </sheetPr>
  <dimension ref="B1:V60"/>
  <sheetViews>
    <sheetView showGridLines="0" view="pageBreakPreview" zoomScale="80" zoomScaleNormal="80" zoomScaleSheetLayoutView="80" workbookViewId="0">
      <selection activeCell="C28" sqref="C28"/>
    </sheetView>
  </sheetViews>
  <sheetFormatPr defaultColWidth="9.33203125" defaultRowHeight="12.75" x14ac:dyDescent="0.2"/>
  <cols>
    <col min="1" max="1" width="1.6640625" style="40" customWidth="1"/>
    <col min="2" max="2" width="22.5" style="40" customWidth="1"/>
    <col min="3" max="4" width="12.83203125" style="40" customWidth="1"/>
    <col min="5" max="5" width="12.1640625" style="40" customWidth="1"/>
    <col min="6" max="6" width="9.33203125" style="40" customWidth="1"/>
    <col min="7" max="7" width="12.83203125" style="40" customWidth="1"/>
    <col min="8" max="8" width="11.5" style="40" customWidth="1"/>
    <col min="9" max="9" width="9.33203125" style="40" customWidth="1"/>
    <col min="10" max="10" width="12.83203125" style="40" customWidth="1"/>
    <col min="11" max="11" width="12.6640625" style="40" customWidth="1"/>
    <col min="12" max="12" width="8.83203125" style="40" customWidth="1"/>
    <col min="13" max="13" width="12.83203125" style="40" customWidth="1"/>
    <col min="14" max="14" width="11.1640625" style="40" customWidth="1"/>
    <col min="15" max="15" width="4.5" style="40" customWidth="1"/>
    <col min="16" max="16384" width="9.33203125" style="40"/>
  </cols>
  <sheetData>
    <row r="1" spans="2:19" s="4" customFormat="1" ht="15.75" x14ac:dyDescent="0.25">
      <c r="B1" s="1" t="s">
        <v>271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40"/>
    </row>
    <row r="2" spans="2:19" s="6" customFormat="1" ht="15" x14ac:dyDescent="0.25">
      <c r="B2" s="3" t="s">
        <v>11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0"/>
    </row>
    <row r="3" spans="2:19" s="6" customFormat="1" ht="15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0"/>
    </row>
    <row r="4" spans="2:19" x14ac:dyDescent="0.2">
      <c r="C4" s="118" t="s">
        <v>56</v>
      </c>
      <c r="D4" s="119"/>
      <c r="E4" s="119"/>
      <c r="F4" s="118" t="s">
        <v>57</v>
      </c>
      <c r="G4" s="119"/>
      <c r="H4" s="119"/>
      <c r="I4" s="118" t="s">
        <v>58</v>
      </c>
      <c r="J4" s="119"/>
      <c r="K4" s="119"/>
      <c r="L4" s="118" t="s">
        <v>59</v>
      </c>
      <c r="M4" s="119"/>
      <c r="N4" s="119"/>
    </row>
    <row r="5" spans="2:19" x14ac:dyDescent="0.2"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</row>
    <row r="6" spans="2:19" ht="25.5" x14ac:dyDescent="0.2">
      <c r="B6" s="117"/>
      <c r="C6" s="90" t="s">
        <v>91</v>
      </c>
      <c r="D6" s="157" t="s">
        <v>9</v>
      </c>
      <c r="E6" s="156" t="s">
        <v>92</v>
      </c>
      <c r="F6" s="90" t="s">
        <v>91</v>
      </c>
      <c r="G6" s="157" t="s">
        <v>9</v>
      </c>
      <c r="H6" s="156" t="s">
        <v>92</v>
      </c>
      <c r="I6" s="90" t="s">
        <v>91</v>
      </c>
      <c r="J6" s="157" t="s">
        <v>9</v>
      </c>
      <c r="K6" s="156" t="s">
        <v>92</v>
      </c>
      <c r="L6" s="90" t="s">
        <v>91</v>
      </c>
      <c r="M6" s="157" t="s">
        <v>9</v>
      </c>
      <c r="N6" s="156" t="s">
        <v>92</v>
      </c>
    </row>
    <row r="7" spans="2:19" hidden="1" x14ac:dyDescent="0.2">
      <c r="B7" s="102"/>
      <c r="C7" s="158" t="s">
        <v>10</v>
      </c>
      <c r="D7" s="159" t="s">
        <v>10</v>
      </c>
      <c r="E7" s="157"/>
      <c r="F7" s="158" t="s">
        <v>10</v>
      </c>
      <c r="G7" s="159" t="s">
        <v>10</v>
      </c>
      <c r="H7" s="157"/>
      <c r="I7" s="158" t="s">
        <v>10</v>
      </c>
      <c r="J7" s="159" t="s">
        <v>10</v>
      </c>
      <c r="K7" s="157"/>
      <c r="L7" s="158" t="s">
        <v>10</v>
      </c>
      <c r="M7" s="159" t="s">
        <v>10</v>
      </c>
      <c r="N7" s="157"/>
    </row>
    <row r="8" spans="2:19" x14ac:dyDescent="0.2">
      <c r="B8" s="102" t="s">
        <v>0</v>
      </c>
      <c r="C8" s="90" t="s">
        <v>14</v>
      </c>
      <c r="D8" s="157" t="s">
        <v>14</v>
      </c>
      <c r="E8" s="157" t="s">
        <v>14</v>
      </c>
      <c r="F8" s="90" t="s">
        <v>14</v>
      </c>
      <c r="G8" s="157" t="s">
        <v>14</v>
      </c>
      <c r="H8" s="157" t="s">
        <v>14</v>
      </c>
      <c r="I8" s="90" t="s">
        <v>14</v>
      </c>
      <c r="J8" s="157" t="s">
        <v>14</v>
      </c>
      <c r="K8" s="157" t="s">
        <v>14</v>
      </c>
      <c r="L8" s="90" t="s">
        <v>14</v>
      </c>
      <c r="M8" s="157" t="s">
        <v>14</v>
      </c>
      <c r="N8" s="157" t="s">
        <v>14</v>
      </c>
    </row>
    <row r="9" spans="2:19" x14ac:dyDescent="0.2">
      <c r="B9" s="171"/>
      <c r="C9" s="172" t="s">
        <v>1</v>
      </c>
      <c r="D9" s="173" t="s">
        <v>2</v>
      </c>
      <c r="E9" s="173" t="s">
        <v>3</v>
      </c>
      <c r="F9" s="170" t="s">
        <v>4</v>
      </c>
      <c r="G9" s="173" t="s">
        <v>83</v>
      </c>
      <c r="H9" s="173" t="s">
        <v>84</v>
      </c>
      <c r="I9" s="170" t="s">
        <v>85</v>
      </c>
      <c r="J9" s="170" t="s">
        <v>86</v>
      </c>
      <c r="K9" s="170" t="s">
        <v>87</v>
      </c>
      <c r="L9" s="170" t="s">
        <v>88</v>
      </c>
      <c r="M9" s="170" t="s">
        <v>89</v>
      </c>
      <c r="N9" s="212" t="s">
        <v>90</v>
      </c>
    </row>
    <row r="10" spans="2:19" customFormat="1" x14ac:dyDescent="0.2">
      <c r="B10" s="163"/>
      <c r="C10" s="160"/>
      <c r="D10" s="160"/>
      <c r="E10" s="165" t="str">
        <f>C9&amp;" - "&amp;D9</f>
        <v>(a) - (b)</v>
      </c>
      <c r="F10" s="161"/>
      <c r="G10" s="160"/>
      <c r="H10" s="165" t="str">
        <f>F9&amp;" - "&amp;G9</f>
        <v>(d) - (e)</v>
      </c>
      <c r="I10" s="161"/>
      <c r="J10" s="160"/>
      <c r="K10" s="165" t="str">
        <f>I9&amp;" - "&amp;J9</f>
        <v>(g) - (h)</v>
      </c>
      <c r="L10" s="161"/>
      <c r="M10" s="160"/>
      <c r="N10" s="213" t="str">
        <f>L9&amp;" - "&amp;M9</f>
        <v>(j) - (k)</v>
      </c>
    </row>
    <row r="11" spans="2:19" x14ac:dyDescent="0.2">
      <c r="B11" s="162"/>
      <c r="C11" s="103"/>
      <c r="D11" s="103"/>
      <c r="E11" s="103"/>
      <c r="F11" s="104"/>
      <c r="G11" s="103"/>
      <c r="H11" s="103"/>
      <c r="I11" s="104"/>
      <c r="J11" s="103"/>
      <c r="K11" s="103"/>
      <c r="L11" s="104"/>
      <c r="M11" s="103"/>
      <c r="N11" s="214"/>
    </row>
    <row r="12" spans="2:19" x14ac:dyDescent="0.2">
      <c r="B12" s="164">
        <v>2025</v>
      </c>
      <c r="C12" s="105">
        <f>($D$47*INDEX('Tariff Page'!$D$9:$D$30,MATCH($B12,'Tariff Page'!$B$9:$B$30,0))+$D$48*INDEX('Tariff Page'!$C$9:$C$30,MATCH($B12,'Tariff Page'!$B$9:$B$30,0))+$D$49*INDEX('Tariff Page'!$F$9:$F$30,MATCH($B12,'Tariff Page'!$B$9:$B$30,0))+$D$50*INDEX('Tariff Page'!$E$9:$E$30,MATCH($B12,'Tariff Page'!$B$9:$B$30,0)))*10</f>
        <v>30.020804660457436</v>
      </c>
      <c r="D12" s="105">
        <f>($D$47*INDEX('[1]Tariff Page'!$D$10:$D$30,MATCH($B12,'[1]Tariff Page'!$B$10:$B$30,0))+$D$48*INDEX('[1]Tariff Page'!$C$10:$C$30,MATCH($B12,'[1]Tariff Page'!$B$10:$B$30,0))+$D$49*INDEX('[1]Tariff Page'!$F$10:$F$30,MATCH($B12,'[1]Tariff Page'!$B$10:$B$30,0))+$D$50*INDEX('[1]Tariff Page'!$E$10:$E$30,MATCH($B12,'[1]Tariff Page'!$B$10:$B$30,0)))*10</f>
        <v>47.014866339915628</v>
      </c>
      <c r="E12" s="106">
        <f t="shared" ref="E12:E29" si="0">C12-D12</f>
        <v>-16.994061679458191</v>
      </c>
      <c r="F12" s="107">
        <f>($G$47*INDEX('Tariff Page Wind'!$D$9:$D$32,MATCH($B12,'Tariff Page Wind'!$B$9:$B$32,0))+$G$48*INDEX('Tariff Page Wind'!$C$9:$C$32,MATCH($B12,'Tariff Page Wind'!$B$9:$B$32,0))+$G$49*INDEX('Tariff Page Wind'!$F$9:$F$32,MATCH($B12,'Tariff Page Wind'!$B$9:$B$32,0))+$G$50*INDEX('Tariff Page Wind'!$E$9:$E$32,MATCH($B12,'Tariff Page Wind'!$B$9:$B$32,0)))*10</f>
        <v>38.408094430463173</v>
      </c>
      <c r="G12" s="105">
        <f>($G$47*INDEX('[1]Tariff Page Wind'!$D$10:$D$30,MATCH($B12,'[1]Tariff Page Wind'!$B$10:$B$30,0))+$G$48*INDEX('[1]Tariff Page Wind'!$C$10:$C$30,MATCH($B12,'[1]Tariff Page Wind'!$B$10:$B$30,0))+$G$49*INDEX('[1]Tariff Page Wind'!$F$10:$F$30,MATCH($B12,'[1]Tariff Page Wind'!$B$10:$B$30,0))+$G$50*INDEX('[1]Tariff Page Wind'!$E$10:$E$30,MATCH($B12,'[1]Tariff Page Wind'!$B$10:$B$30,0)))*10</f>
        <v>45.851617544681737</v>
      </c>
      <c r="H12" s="106">
        <f t="shared" ref="H12:H29" si="1">F12-G12</f>
        <v>-7.4435231142185643</v>
      </c>
      <c r="I12" s="107">
        <f>($J$47*INDEX('Tariff Page Solar Fixed'!$D$9:$D$31,MATCH($B12,'Tariff Page Solar Fixed'!$B$9:$B$31,0))+$J$48*INDEX('Tariff Page Solar Fixed'!$C$9:$C$31,MATCH($B12,'Tariff Page Solar Fixed'!$B$9:$B$31,0))+$J$49*INDEX('Tariff Page Solar Fixed'!$F$9:$F$31,MATCH($B12,'Tariff Page Solar Fixed'!$B$9:$B$31,0))+$J$50*INDEX('Tariff Page Solar Fixed'!$E$9:$E$31,MATCH($B12,'Tariff Page Solar Fixed'!$B$9:$B$31,0)))*10</f>
        <v>17.234827986079853</v>
      </c>
      <c r="J12" s="105">
        <f>($J$47*INDEX('[1]Tariff Page Solar Fixed'!$D$10:$D$30,MATCH($B12,'[1]Tariff Page Solar Fixed'!$B$10:$B$30,0))+$J$48*INDEX('[1]Tariff Page Solar Fixed'!$C$10:$C$30,MATCH($B12,'[1]Tariff Page Solar Fixed'!$B$10:$B$30,0))+$J$49*INDEX('[1]Tariff Page Solar Fixed'!$F$10:$F$30,MATCH($B12,'[1]Tariff Page Solar Fixed'!$B$10:$B$30,0))+$J$50*INDEX('[1]Tariff Page Solar Fixed'!$E$10:$E$30,MATCH($B12,'[1]Tariff Page Solar Fixed'!$B$10:$B$30,0)))*10</f>
        <v>37.228125305450519</v>
      </c>
      <c r="K12" s="106">
        <f t="shared" ref="K12:K29" si="2">I12-J12</f>
        <v>-19.993297319370665</v>
      </c>
      <c r="L12" s="107">
        <f>($M$47*INDEX('Tariff Page Solar Tracking'!$D$9:$D$31,MATCH($B12,'Tariff Page Solar Tracking'!$B$9:$B$31,0))+$M$48*INDEX('Tariff Page Solar Tracking'!$C$9:$C$31,MATCH($B12,'Tariff Page Solar Tracking'!$B$9:$B$31,0))+$M$49*INDEX('Tariff Page Solar Tracking'!$F$9:$F$31,MATCH($B12,'Tariff Page Solar Tracking'!$B$9:$B$31,0))+$M$50*INDEX('Tariff Page Solar Tracking'!$E$9:$E$31,MATCH($B12,'Tariff Page Solar Tracking'!$B$9:$B$31,0)))*10</f>
        <v>22.815765646598383</v>
      </c>
      <c r="M12" s="105">
        <f>($M$47*INDEX('[1]Tariff Page Solar Tracking'!$D$10:$D$30,MATCH($B12,'[1]Tariff Page Solar Tracking'!$B$10:$B$30,0))+$M$48*INDEX('[1]Tariff Page Solar Tracking'!$C$10:$C$30,MATCH($B12,'[1]Tariff Page Solar Tracking'!$B$10:$B$30,0))+$M$49*INDEX('[1]Tariff Page Solar Tracking'!$F$10:$F$30,MATCH($B12,'[1]Tariff Page Solar Tracking'!$B$10:$B$30,0))+$M$50*INDEX('[1]Tariff Page Solar Tracking'!$E$10:$E$30,MATCH($B12,'[1]Tariff Page Solar Tracking'!$B$10:$B$30,0)))*10</f>
        <v>35.965422679269082</v>
      </c>
      <c r="N12" s="215">
        <f t="shared" ref="N12:N29" si="3">L12-M12</f>
        <v>-13.149657032670699</v>
      </c>
      <c r="Q12" s="100"/>
      <c r="R12" s="100"/>
      <c r="S12"/>
    </row>
    <row r="13" spans="2:19" x14ac:dyDescent="0.2">
      <c r="B13" s="164">
        <f>B12+1</f>
        <v>2026</v>
      </c>
      <c r="C13" s="105">
        <f>($D$47*INDEX('Tariff Page'!$D$9:$D$30,MATCH($B13,'Tariff Page'!$B$9:$B$30,0))+$D$48*INDEX('Tariff Page'!$C$9:$C$30,MATCH($B13,'Tariff Page'!$B$9:$B$30,0))+$D$49*INDEX('Tariff Page'!$F$9:$F$30,MATCH($B13,'Tariff Page'!$B$9:$B$30,0))+$D$50*INDEX('Tariff Page'!$E$9:$E$30,MATCH($B13,'Tariff Page'!$B$9:$B$30,0)))*10</f>
        <v>30.35732175010271</v>
      </c>
      <c r="D13" s="105">
        <f>($D$47*INDEX('[1]Tariff Page'!$D$10:$D$30,MATCH($B13,'[1]Tariff Page'!$B$10:$B$30,0))+$D$48*INDEX('[1]Tariff Page'!$C$10:$C$30,MATCH($B13,'[1]Tariff Page'!$B$10:$B$30,0))+$D$49*INDEX('[1]Tariff Page'!$F$10:$F$30,MATCH($B13,'[1]Tariff Page'!$B$10:$B$30,0))+$D$50*INDEX('[1]Tariff Page'!$E$10:$E$30,MATCH($B13,'[1]Tariff Page'!$B$10:$B$30,0)))*10</f>
        <v>47.648148538850279</v>
      </c>
      <c r="E13" s="106">
        <f t="shared" si="0"/>
        <v>-17.29082678874757</v>
      </c>
      <c r="F13" s="107">
        <f>($G$47*INDEX('Tariff Page Wind'!$D$9:$D$32,MATCH($B13,'Tariff Page Wind'!$B$9:$B$32,0))+$G$48*INDEX('Tariff Page Wind'!$C$9:$C$32,MATCH($B13,'Tariff Page Wind'!$B$9:$B$32,0))+$G$49*INDEX('Tariff Page Wind'!$F$9:$F$32,MATCH($B13,'Tariff Page Wind'!$B$9:$B$32,0))+$G$50*INDEX('Tariff Page Wind'!$E$9:$E$32,MATCH($B13,'Tariff Page Wind'!$B$9:$B$32,0)))*10</f>
        <v>21.052648781917263</v>
      </c>
      <c r="G13" s="105">
        <f>($G$47*INDEX('[1]Tariff Page Wind'!$D$10:$D$30,MATCH($B13,'[1]Tariff Page Wind'!$B$10:$B$30,0))+$G$48*INDEX('[1]Tariff Page Wind'!$C$10:$C$30,MATCH($B13,'[1]Tariff Page Wind'!$B$10:$B$30,0))+$G$49*INDEX('[1]Tariff Page Wind'!$F$10:$F$30,MATCH($B13,'[1]Tariff Page Wind'!$B$10:$B$30,0))+$G$50*INDEX('[1]Tariff Page Wind'!$E$10:$E$30,MATCH($B13,'[1]Tariff Page Wind'!$B$10:$B$30,0)))*10</f>
        <v>42.566709372327594</v>
      </c>
      <c r="H13" s="106">
        <f t="shared" si="1"/>
        <v>-21.514060590410331</v>
      </c>
      <c r="I13" s="107">
        <f>($J$47*INDEX('Tariff Page Solar Fixed'!$D$9:$D$31,MATCH($B13,'Tariff Page Solar Fixed'!$B$9:$B$31,0))+$J$48*INDEX('Tariff Page Solar Fixed'!$C$9:$C$31,MATCH($B13,'Tariff Page Solar Fixed'!$B$9:$B$31,0))+$J$49*INDEX('Tariff Page Solar Fixed'!$F$9:$F$31,MATCH($B13,'Tariff Page Solar Fixed'!$B$9:$B$31,0))+$J$50*INDEX('Tariff Page Solar Fixed'!$E$9:$E$31,MATCH($B13,'Tariff Page Solar Fixed'!$B$9:$B$31,0)))*10</f>
        <v>16.212901502354512</v>
      </c>
      <c r="J13" s="105">
        <f>($J$47*INDEX('[1]Tariff Page Solar Fixed'!$D$10:$D$30,MATCH($B13,'[1]Tariff Page Solar Fixed'!$B$10:$B$30,0))+$J$48*INDEX('[1]Tariff Page Solar Fixed'!$C$10:$C$30,MATCH($B13,'[1]Tariff Page Solar Fixed'!$B$10:$B$30,0))+$J$49*INDEX('[1]Tariff Page Solar Fixed'!$F$10:$F$30,MATCH($B13,'[1]Tariff Page Solar Fixed'!$B$10:$B$30,0))+$J$50*INDEX('[1]Tariff Page Solar Fixed'!$E$10:$E$30,MATCH($B13,'[1]Tariff Page Solar Fixed'!$B$10:$B$30,0)))*10</f>
        <v>33.13776361480825</v>
      </c>
      <c r="K13" s="106">
        <f t="shared" si="2"/>
        <v>-16.924862112453738</v>
      </c>
      <c r="L13" s="107">
        <f>($M$47*INDEX('Tariff Page Solar Tracking'!$D$9:$D$31,MATCH($B13,'Tariff Page Solar Tracking'!$B$9:$B$31,0))+$M$48*INDEX('Tariff Page Solar Tracking'!$C$9:$C$31,MATCH($B13,'Tariff Page Solar Tracking'!$B$9:$B$31,0))+$M$49*INDEX('Tariff Page Solar Tracking'!$F$9:$F$31,MATCH($B13,'Tariff Page Solar Tracking'!$B$9:$B$31,0))+$M$50*INDEX('Tariff Page Solar Tracking'!$E$9:$E$31,MATCH($B13,'Tariff Page Solar Tracking'!$B$9:$B$31,0)))*10</f>
        <v>19.307197423083508</v>
      </c>
      <c r="M13" s="105">
        <f>($M$47*INDEX('[1]Tariff Page Solar Tracking'!$D$10:$D$30,MATCH($B13,'[1]Tariff Page Solar Tracking'!$B$10:$B$30,0))+$M$48*INDEX('[1]Tariff Page Solar Tracking'!$C$10:$C$30,MATCH($B13,'[1]Tariff Page Solar Tracking'!$B$10:$B$30,0))+$M$49*INDEX('[1]Tariff Page Solar Tracking'!$F$10:$F$30,MATCH($B13,'[1]Tariff Page Solar Tracking'!$B$10:$B$30,0))+$M$50*INDEX('[1]Tariff Page Solar Tracking'!$E$10:$E$30,MATCH($B13,'[1]Tariff Page Solar Tracking'!$B$10:$B$30,0)))*10</f>
        <v>31.402912362267543</v>
      </c>
      <c r="N13" s="215">
        <f t="shared" si="3"/>
        <v>-12.095714939184035</v>
      </c>
      <c r="S13"/>
    </row>
    <row r="14" spans="2:19" x14ac:dyDescent="0.2">
      <c r="B14" s="164">
        <f t="shared" ref="B14:B29" si="4">B13+1</f>
        <v>2027</v>
      </c>
      <c r="C14" s="105">
        <f>($D$47*INDEX('Tariff Page'!$D$9:$D$30,MATCH($B14,'Tariff Page'!$B$9:$B$30,0))+$D$48*INDEX('Tariff Page'!$C$9:$C$30,MATCH($B14,'Tariff Page'!$B$9:$B$30,0))+$D$49*INDEX('Tariff Page'!$F$9:$F$30,MATCH($B14,'Tariff Page'!$B$9:$B$30,0))+$D$50*INDEX('Tariff Page'!$E$9:$E$30,MATCH($B14,'Tariff Page'!$B$9:$B$30,0)))*10</f>
        <v>28.207850605181353</v>
      </c>
      <c r="D14" s="105">
        <f>($D$47*INDEX('[1]Tariff Page'!$D$10:$D$30,MATCH($B14,'[1]Tariff Page'!$B$10:$B$30,0))+$D$48*INDEX('[1]Tariff Page'!$C$10:$C$30,MATCH($B14,'[1]Tariff Page'!$B$10:$B$30,0))+$D$49*INDEX('[1]Tariff Page'!$F$10:$F$30,MATCH($B14,'[1]Tariff Page'!$B$10:$B$30,0))+$D$50*INDEX('[1]Tariff Page'!$E$10:$E$30,MATCH($B14,'[1]Tariff Page'!$B$10:$B$30,0)))*10</f>
        <v>49.626115105648879</v>
      </c>
      <c r="E14" s="106">
        <f t="shared" si="0"/>
        <v>-21.418264500467526</v>
      </c>
      <c r="F14" s="107">
        <f>($G$47*INDEX('Tariff Page Wind'!$D$9:$D$32,MATCH($B14,'Tariff Page Wind'!$B$9:$B$32,0))+$G$48*INDEX('Tariff Page Wind'!$C$9:$C$32,MATCH($B14,'Tariff Page Wind'!$B$9:$B$32,0))+$G$49*INDEX('Tariff Page Wind'!$F$9:$F$32,MATCH($B14,'Tariff Page Wind'!$B$9:$B$32,0))+$G$50*INDEX('Tariff Page Wind'!$E$9:$E$32,MATCH($B14,'Tariff Page Wind'!$B$9:$B$32,0)))*10</f>
        <v>21.486523284818944</v>
      </c>
      <c r="G14" s="105">
        <f>($G$47*INDEX('[1]Tariff Page Wind'!$D$10:$D$30,MATCH($B14,'[1]Tariff Page Wind'!$B$10:$B$30,0))+$G$48*INDEX('[1]Tariff Page Wind'!$C$10:$C$30,MATCH($B14,'[1]Tariff Page Wind'!$B$10:$B$30,0))+$G$49*INDEX('[1]Tariff Page Wind'!$F$10:$F$30,MATCH($B14,'[1]Tariff Page Wind'!$B$10:$B$30,0))+$G$50*INDEX('[1]Tariff Page Wind'!$E$10:$E$30,MATCH($B14,'[1]Tariff Page Wind'!$B$10:$B$30,0)))*10</f>
        <v>14.73219092585963</v>
      </c>
      <c r="H14" s="106">
        <f t="shared" si="1"/>
        <v>6.7543323589593136</v>
      </c>
      <c r="I14" s="107">
        <f>($J$47*INDEX('Tariff Page Solar Fixed'!$D$9:$D$31,MATCH($B14,'Tariff Page Solar Fixed'!$B$9:$B$31,0))+$J$48*INDEX('Tariff Page Solar Fixed'!$C$9:$C$31,MATCH($B14,'Tariff Page Solar Fixed'!$B$9:$B$31,0))+$J$49*INDEX('Tariff Page Solar Fixed'!$F$9:$F$31,MATCH($B14,'Tariff Page Solar Fixed'!$B$9:$B$31,0))+$J$50*INDEX('Tariff Page Solar Fixed'!$E$9:$E$31,MATCH($B14,'Tariff Page Solar Fixed'!$B$9:$B$31,0)))*10</f>
        <v>18.073805470436504</v>
      </c>
      <c r="J14" s="105">
        <f>($J$47*INDEX('[1]Tariff Page Solar Fixed'!$D$10:$D$30,MATCH($B14,'[1]Tariff Page Solar Fixed'!$B$10:$B$30,0))+$J$48*INDEX('[1]Tariff Page Solar Fixed'!$C$10:$C$30,MATCH($B14,'[1]Tariff Page Solar Fixed'!$B$10:$B$30,0))+$J$49*INDEX('[1]Tariff Page Solar Fixed'!$F$10:$F$30,MATCH($B14,'[1]Tariff Page Solar Fixed'!$B$10:$B$30,0))+$J$50*INDEX('[1]Tariff Page Solar Fixed'!$E$10:$E$30,MATCH($B14,'[1]Tariff Page Solar Fixed'!$B$10:$B$30,0)))*10</f>
        <v>23.835593757309468</v>
      </c>
      <c r="K14" s="106">
        <f t="shared" si="2"/>
        <v>-5.7617882868729637</v>
      </c>
      <c r="L14" s="107">
        <f>($M$47*INDEX('Tariff Page Solar Tracking'!$D$9:$D$31,MATCH($B14,'Tariff Page Solar Tracking'!$B$9:$B$31,0))+$M$48*INDEX('Tariff Page Solar Tracking'!$C$9:$C$31,MATCH($B14,'Tariff Page Solar Tracking'!$B$9:$B$31,0))+$M$49*INDEX('Tariff Page Solar Tracking'!$F$9:$F$31,MATCH($B14,'Tariff Page Solar Tracking'!$B$9:$B$31,0))+$M$50*INDEX('Tariff Page Solar Tracking'!$E$9:$E$31,MATCH($B14,'Tariff Page Solar Tracking'!$B$9:$B$31,0)))*10</f>
        <v>19.671285407849815</v>
      </c>
      <c r="M14" s="105">
        <f>($M$47*INDEX('[1]Tariff Page Solar Tracking'!$D$10:$D$30,MATCH($B14,'[1]Tariff Page Solar Tracking'!$B$10:$B$30,0))+$M$48*INDEX('[1]Tariff Page Solar Tracking'!$C$10:$C$30,MATCH($B14,'[1]Tariff Page Solar Tracking'!$B$10:$B$30,0))+$M$49*INDEX('[1]Tariff Page Solar Tracking'!$F$10:$F$30,MATCH($B14,'[1]Tariff Page Solar Tracking'!$B$10:$B$30,0))+$M$50*INDEX('[1]Tariff Page Solar Tracking'!$E$10:$E$30,MATCH($B14,'[1]Tariff Page Solar Tracking'!$B$10:$B$30,0)))*10</f>
        <v>23.994585622111138</v>
      </c>
      <c r="N14" s="215">
        <f t="shared" si="3"/>
        <v>-4.323300214261323</v>
      </c>
      <c r="S14"/>
    </row>
    <row r="15" spans="2:19" x14ac:dyDescent="0.2">
      <c r="B15" s="164">
        <f t="shared" si="4"/>
        <v>2028</v>
      </c>
      <c r="C15" s="105">
        <f>($D$47*INDEX('Tariff Page'!$D$9:$D$30,MATCH($B15,'Tariff Page'!$B$9:$B$30,0))+$D$48*INDEX('Tariff Page'!$C$9:$C$30,MATCH($B15,'Tariff Page'!$B$9:$B$30,0))+$D$49*INDEX('Tariff Page'!$F$9:$F$30,MATCH($B15,'Tariff Page'!$B$9:$B$30,0))+$D$50*INDEX('Tariff Page'!$E$9:$E$30,MATCH($B15,'Tariff Page'!$B$9:$B$30,0)))*10</f>
        <v>33.370022103064862</v>
      </c>
      <c r="D15" s="105">
        <f>($D$47*INDEX('[1]Tariff Page'!$D$10:$D$30,MATCH($B15,'[1]Tariff Page'!$B$10:$B$30,0))+$D$48*INDEX('[1]Tariff Page'!$C$10:$C$30,MATCH($B15,'[1]Tariff Page'!$B$10:$B$30,0))+$D$49*INDEX('[1]Tariff Page'!$F$10:$F$30,MATCH($B15,'[1]Tariff Page'!$B$10:$B$30,0))+$D$50*INDEX('[1]Tariff Page'!$E$10:$E$30,MATCH($B15,'[1]Tariff Page'!$B$10:$B$30,0)))*10</f>
        <v>51.945471816513269</v>
      </c>
      <c r="E15" s="106">
        <f t="shared" si="0"/>
        <v>-18.575449713448407</v>
      </c>
      <c r="F15" s="107">
        <f>($G$47*INDEX('Tariff Page Wind'!$D$9:$D$32,MATCH($B15,'Tariff Page Wind'!$B$9:$B$32,0))+$G$48*INDEX('Tariff Page Wind'!$C$9:$C$32,MATCH($B15,'Tariff Page Wind'!$B$9:$B$32,0))+$G$49*INDEX('Tariff Page Wind'!$F$9:$F$32,MATCH($B15,'Tariff Page Wind'!$B$9:$B$32,0))+$G$50*INDEX('Tariff Page Wind'!$E$9:$E$32,MATCH($B15,'Tariff Page Wind'!$B$9:$B$32,0)))*10</f>
        <v>11.516136761907674</v>
      </c>
      <c r="G15" s="105">
        <f>($G$47*INDEX('[1]Tariff Page Wind'!$D$10:$D$30,MATCH($B15,'[1]Tariff Page Wind'!$B$10:$B$30,0))+$G$48*INDEX('[1]Tariff Page Wind'!$C$10:$C$30,MATCH($B15,'[1]Tariff Page Wind'!$B$10:$B$30,0))+$G$49*INDEX('[1]Tariff Page Wind'!$F$10:$F$30,MATCH($B15,'[1]Tariff Page Wind'!$B$10:$B$30,0))+$G$50*INDEX('[1]Tariff Page Wind'!$E$10:$E$30,MATCH($B15,'[1]Tariff Page Wind'!$B$10:$B$30,0)))*10</f>
        <v>16.973329827964253</v>
      </c>
      <c r="H15" s="106">
        <f t="shared" si="1"/>
        <v>-5.4571930660565791</v>
      </c>
      <c r="I15" s="107">
        <f>($J$47*INDEX('Tariff Page Solar Fixed'!$D$9:$D$31,MATCH($B15,'Tariff Page Solar Fixed'!$B$9:$B$31,0))+$J$48*INDEX('Tariff Page Solar Fixed'!$C$9:$C$31,MATCH($B15,'Tariff Page Solar Fixed'!$B$9:$B$31,0))+$J$49*INDEX('Tariff Page Solar Fixed'!$F$9:$F$31,MATCH($B15,'Tariff Page Solar Fixed'!$B$9:$B$31,0))+$J$50*INDEX('Tariff Page Solar Fixed'!$E$9:$E$31,MATCH($B15,'Tariff Page Solar Fixed'!$B$9:$B$31,0)))*10</f>
        <v>20.896556956035653</v>
      </c>
      <c r="J15" s="105">
        <f>($J$47*INDEX('[1]Tariff Page Solar Fixed'!$D$10:$D$30,MATCH($B15,'[1]Tariff Page Solar Fixed'!$B$10:$B$30,0))+$J$48*INDEX('[1]Tariff Page Solar Fixed'!$C$10:$C$30,MATCH($B15,'[1]Tariff Page Solar Fixed'!$B$10:$B$30,0))+$J$49*INDEX('[1]Tariff Page Solar Fixed'!$F$10:$F$30,MATCH($B15,'[1]Tariff Page Solar Fixed'!$B$10:$B$30,0))+$J$50*INDEX('[1]Tariff Page Solar Fixed'!$E$10:$E$30,MATCH($B15,'[1]Tariff Page Solar Fixed'!$B$10:$B$30,0)))*10</f>
        <v>43.009392127533417</v>
      </c>
      <c r="K15" s="106">
        <f t="shared" si="2"/>
        <v>-22.112835171497764</v>
      </c>
      <c r="L15" s="107">
        <f>($M$47*INDEX('Tariff Page Solar Tracking'!$D$9:$D$31,MATCH($B15,'Tariff Page Solar Tracking'!$B$9:$B$31,0))+$M$48*INDEX('Tariff Page Solar Tracking'!$C$9:$C$31,MATCH($B15,'Tariff Page Solar Tracking'!$B$9:$B$31,0))+$M$49*INDEX('Tariff Page Solar Tracking'!$F$9:$F$31,MATCH($B15,'Tariff Page Solar Tracking'!$B$9:$B$31,0))+$M$50*INDEX('Tariff Page Solar Tracking'!$E$9:$E$31,MATCH($B15,'Tariff Page Solar Tracking'!$B$9:$B$31,0)))*10</f>
        <v>23.970452481362408</v>
      </c>
      <c r="M15" s="105">
        <f>($M$47*INDEX('[1]Tariff Page Solar Tracking'!$D$10:$D$30,MATCH($B15,'[1]Tariff Page Solar Tracking'!$B$10:$B$30,0))+$M$48*INDEX('[1]Tariff Page Solar Tracking'!$C$10:$C$30,MATCH($B15,'[1]Tariff Page Solar Tracking'!$B$10:$B$30,0))+$M$49*INDEX('[1]Tariff Page Solar Tracking'!$F$10:$F$30,MATCH($B15,'[1]Tariff Page Solar Tracking'!$B$10:$B$30,0))+$M$50*INDEX('[1]Tariff Page Solar Tracking'!$E$10:$E$30,MATCH($B15,'[1]Tariff Page Solar Tracking'!$B$10:$B$30,0)))*10</f>
        <v>38.962836942621678</v>
      </c>
      <c r="N15" s="215">
        <f t="shared" si="3"/>
        <v>-14.99238446125927</v>
      </c>
      <c r="S15"/>
    </row>
    <row r="16" spans="2:19" x14ac:dyDescent="0.2">
      <c r="B16" s="164">
        <f t="shared" si="4"/>
        <v>2029</v>
      </c>
      <c r="C16" s="105">
        <f>($D$47*INDEX('Tariff Page'!$D$9:$D$30,MATCH($B16,'Tariff Page'!$B$9:$B$30,0))+$D$48*INDEX('Tariff Page'!$C$9:$C$30,MATCH($B16,'Tariff Page'!$B$9:$B$30,0))+$D$49*INDEX('Tariff Page'!$F$9:$F$30,MATCH($B16,'Tariff Page'!$B$9:$B$30,0))+$D$50*INDEX('Tariff Page'!$E$9:$E$30,MATCH($B16,'Tariff Page'!$B$9:$B$30,0)))*10</f>
        <v>38.636760961060155</v>
      </c>
      <c r="D16" s="105">
        <f>($D$47*INDEX('[1]Tariff Page'!$D$10:$D$30,MATCH($B16,'[1]Tariff Page'!$B$10:$B$30,0))+$D$48*INDEX('[1]Tariff Page'!$C$10:$C$30,MATCH($B16,'[1]Tariff Page'!$B$10:$B$30,0))+$D$49*INDEX('[1]Tariff Page'!$F$10:$F$30,MATCH($B16,'[1]Tariff Page'!$B$10:$B$30,0))+$D$50*INDEX('[1]Tariff Page'!$E$10:$E$30,MATCH($B16,'[1]Tariff Page'!$B$10:$B$30,0)))*10</f>
        <v>59.016801131364041</v>
      </c>
      <c r="E16" s="106">
        <f t="shared" si="0"/>
        <v>-20.380040170303886</v>
      </c>
      <c r="F16" s="107">
        <f>($G$47*INDEX('Tariff Page Wind'!$D$9:$D$32,MATCH($B16,'Tariff Page Wind'!$B$9:$B$32,0))+$G$48*INDEX('Tariff Page Wind'!$C$9:$C$32,MATCH($B16,'Tariff Page Wind'!$B$9:$B$32,0))+$G$49*INDEX('Tariff Page Wind'!$F$9:$F$32,MATCH($B16,'Tariff Page Wind'!$B$9:$B$32,0))+$G$50*INDEX('Tariff Page Wind'!$E$9:$E$32,MATCH($B16,'Tariff Page Wind'!$B$9:$B$32,0)))*10</f>
        <v>23.741886327255198</v>
      </c>
      <c r="G16" s="105">
        <f>($G$47*INDEX('[1]Tariff Page Wind'!$D$10:$D$30,MATCH($B16,'[1]Tariff Page Wind'!$B$10:$B$30,0))+$G$48*INDEX('[1]Tariff Page Wind'!$C$10:$C$30,MATCH($B16,'[1]Tariff Page Wind'!$B$10:$B$30,0))+$G$49*INDEX('[1]Tariff Page Wind'!$F$10:$F$30,MATCH($B16,'[1]Tariff Page Wind'!$B$10:$B$30,0))+$G$50*INDEX('[1]Tariff Page Wind'!$E$10:$E$30,MATCH($B16,'[1]Tariff Page Wind'!$B$10:$B$30,0)))*10</f>
        <v>14.626516548105419</v>
      </c>
      <c r="H16" s="106">
        <f t="shared" si="1"/>
        <v>9.1153697791497788</v>
      </c>
      <c r="I16" s="107">
        <f>($J$47*INDEX('Tariff Page Solar Fixed'!$D$9:$D$31,MATCH($B16,'Tariff Page Solar Fixed'!$B$9:$B$31,0))+$J$48*INDEX('Tariff Page Solar Fixed'!$C$9:$C$31,MATCH($B16,'Tariff Page Solar Fixed'!$B$9:$B$31,0))+$J$49*INDEX('Tariff Page Solar Fixed'!$F$9:$F$31,MATCH($B16,'Tariff Page Solar Fixed'!$B$9:$B$31,0))+$J$50*INDEX('Tariff Page Solar Fixed'!$E$9:$E$31,MATCH($B16,'Tariff Page Solar Fixed'!$B$9:$B$31,0)))*10</f>
        <v>27.20713494632399</v>
      </c>
      <c r="J16" s="105">
        <f>($J$47*INDEX('[1]Tariff Page Solar Fixed'!$D$10:$D$30,MATCH($B16,'[1]Tariff Page Solar Fixed'!$B$10:$B$30,0))+$J$48*INDEX('[1]Tariff Page Solar Fixed'!$C$10:$C$30,MATCH($B16,'[1]Tariff Page Solar Fixed'!$B$10:$B$30,0))+$J$49*INDEX('[1]Tariff Page Solar Fixed'!$F$10:$F$30,MATCH($B16,'[1]Tariff Page Solar Fixed'!$B$10:$B$30,0))+$J$50*INDEX('[1]Tariff Page Solar Fixed'!$E$10:$E$30,MATCH($B16,'[1]Tariff Page Solar Fixed'!$B$10:$B$30,0)))*10</f>
        <v>32.055286247435177</v>
      </c>
      <c r="K16" s="106">
        <f t="shared" si="2"/>
        <v>-4.8481513011111872</v>
      </c>
      <c r="L16" s="107">
        <f>($M$47*INDEX('Tariff Page Solar Tracking'!$D$9:$D$31,MATCH($B16,'Tariff Page Solar Tracking'!$B$9:$B$31,0))+$M$48*INDEX('Tariff Page Solar Tracking'!$C$9:$C$31,MATCH($B16,'Tariff Page Solar Tracking'!$B$9:$B$31,0))+$M$49*INDEX('Tariff Page Solar Tracking'!$F$9:$F$31,MATCH($B16,'Tariff Page Solar Tracking'!$B$9:$B$31,0))+$M$50*INDEX('Tariff Page Solar Tracking'!$E$9:$E$31,MATCH($B16,'Tariff Page Solar Tracking'!$B$9:$B$31,0)))*10</f>
        <v>30.412574351092445</v>
      </c>
      <c r="M16" s="105">
        <f>($M$47*INDEX('[1]Tariff Page Solar Tracking'!$D$10:$D$30,MATCH($B16,'[1]Tariff Page Solar Tracking'!$B$10:$B$30,0))+$M$48*INDEX('[1]Tariff Page Solar Tracking'!$C$10:$C$30,MATCH($B16,'[1]Tariff Page Solar Tracking'!$B$10:$B$30,0))+$M$49*INDEX('[1]Tariff Page Solar Tracking'!$F$10:$F$30,MATCH($B16,'[1]Tariff Page Solar Tracking'!$B$10:$B$30,0))+$M$50*INDEX('[1]Tariff Page Solar Tracking'!$E$10:$E$30,MATCH($B16,'[1]Tariff Page Solar Tracking'!$B$10:$B$30,0)))*10</f>
        <v>31.480704483849596</v>
      </c>
      <c r="N16" s="215">
        <f t="shared" si="3"/>
        <v>-1.0681301327571511</v>
      </c>
      <c r="S16"/>
    </row>
    <row r="17" spans="2:19" x14ac:dyDescent="0.2">
      <c r="B17" s="164">
        <f t="shared" si="4"/>
        <v>2030</v>
      </c>
      <c r="C17" s="105">
        <f>($D$47*INDEX('Tariff Page'!$D$9:$D$30,MATCH($B17,'Tariff Page'!$B$9:$B$30,0))+$D$48*INDEX('Tariff Page'!$C$9:$C$30,MATCH($B17,'Tariff Page'!$B$9:$B$30,0))+$D$49*INDEX('Tariff Page'!$F$9:$F$30,MATCH($B17,'Tariff Page'!$B$9:$B$30,0))+$D$50*INDEX('Tariff Page'!$E$9:$E$30,MATCH($B17,'Tariff Page'!$B$9:$B$30,0)))*10</f>
        <v>36.04151165743243</v>
      </c>
      <c r="D17" s="105">
        <f>($D$47*INDEX('[1]Tariff Page'!$D$10:$D$30,MATCH($B17,'[1]Tariff Page'!$B$10:$B$30,0))+$D$48*INDEX('[1]Tariff Page'!$C$10:$C$30,MATCH($B17,'[1]Tariff Page'!$B$10:$B$30,0))+$D$49*INDEX('[1]Tariff Page'!$F$10:$F$30,MATCH($B17,'[1]Tariff Page'!$B$10:$B$30,0))+$D$50*INDEX('[1]Tariff Page'!$E$10:$E$30,MATCH($B17,'[1]Tariff Page'!$B$10:$B$30,0)))*10</f>
        <v>58.030492405748717</v>
      </c>
      <c r="E17" s="106">
        <f t="shared" si="0"/>
        <v>-21.988980748316287</v>
      </c>
      <c r="F17" s="107">
        <f>($G$47*INDEX('Tariff Page Wind'!$D$9:$D$32,MATCH($B17,'Tariff Page Wind'!$B$9:$B$32,0))+$G$48*INDEX('Tariff Page Wind'!$C$9:$C$32,MATCH($B17,'Tariff Page Wind'!$B$9:$B$32,0))+$G$49*INDEX('Tariff Page Wind'!$F$9:$F$32,MATCH($B17,'Tariff Page Wind'!$B$9:$B$32,0))+$G$50*INDEX('Tariff Page Wind'!$E$9:$E$32,MATCH($B17,'Tariff Page Wind'!$B$9:$B$32,0)))*10</f>
        <v>24.497553364586171</v>
      </c>
      <c r="G17" s="105">
        <f>($G$47*INDEX('[1]Tariff Page Wind'!$D$10:$D$30,MATCH($B17,'[1]Tariff Page Wind'!$B$10:$B$30,0))+$G$48*INDEX('[1]Tariff Page Wind'!$C$10:$C$30,MATCH($B17,'[1]Tariff Page Wind'!$B$10:$B$30,0))+$G$49*INDEX('[1]Tariff Page Wind'!$F$10:$F$30,MATCH($B17,'[1]Tariff Page Wind'!$B$10:$B$30,0))+$G$50*INDEX('[1]Tariff Page Wind'!$E$10:$E$30,MATCH($B17,'[1]Tariff Page Wind'!$B$10:$B$30,0)))*10</f>
        <v>15.794674748674382</v>
      </c>
      <c r="H17" s="106">
        <f t="shared" si="1"/>
        <v>8.7028786159117892</v>
      </c>
      <c r="I17" s="107">
        <f>($J$47*INDEX('Tariff Page Solar Fixed'!$D$9:$D$31,MATCH($B17,'Tariff Page Solar Fixed'!$B$9:$B$31,0))+$J$48*INDEX('Tariff Page Solar Fixed'!$C$9:$C$31,MATCH($B17,'Tariff Page Solar Fixed'!$B$9:$B$31,0))+$J$49*INDEX('Tariff Page Solar Fixed'!$F$9:$F$31,MATCH($B17,'Tariff Page Solar Fixed'!$B$9:$B$31,0))+$J$50*INDEX('Tariff Page Solar Fixed'!$E$9:$E$31,MATCH($B17,'Tariff Page Solar Fixed'!$B$9:$B$31,0)))*10</f>
        <v>23.374307512147581</v>
      </c>
      <c r="J17" s="105">
        <f>($J$47*INDEX('[1]Tariff Page Solar Fixed'!$D$10:$D$30,MATCH($B17,'[1]Tariff Page Solar Fixed'!$B$10:$B$30,0))+$J$48*INDEX('[1]Tariff Page Solar Fixed'!$C$10:$C$30,MATCH($B17,'[1]Tariff Page Solar Fixed'!$B$10:$B$30,0))+$J$49*INDEX('[1]Tariff Page Solar Fixed'!$F$10:$F$30,MATCH($B17,'[1]Tariff Page Solar Fixed'!$B$10:$B$30,0))+$J$50*INDEX('[1]Tariff Page Solar Fixed'!$E$10:$E$30,MATCH($B17,'[1]Tariff Page Solar Fixed'!$B$10:$B$30,0)))*10</f>
        <v>33.459651534213528</v>
      </c>
      <c r="K17" s="106">
        <f t="shared" si="2"/>
        <v>-10.085344022065946</v>
      </c>
      <c r="L17" s="107">
        <f>($M$47*INDEX('Tariff Page Solar Tracking'!$D$9:$D$31,MATCH($B17,'Tariff Page Solar Tracking'!$B$9:$B$31,0))+$M$48*INDEX('Tariff Page Solar Tracking'!$C$9:$C$31,MATCH($B17,'Tariff Page Solar Tracking'!$B$9:$B$31,0))+$M$49*INDEX('Tariff Page Solar Tracking'!$F$9:$F$31,MATCH($B17,'Tariff Page Solar Tracking'!$B$9:$B$31,0))+$M$50*INDEX('Tariff Page Solar Tracking'!$E$9:$E$31,MATCH($B17,'Tariff Page Solar Tracking'!$B$9:$B$31,0)))*10</f>
        <v>25.68166486416532</v>
      </c>
      <c r="M17" s="105">
        <f>($M$47*INDEX('[1]Tariff Page Solar Tracking'!$D$10:$D$30,MATCH($B17,'[1]Tariff Page Solar Tracking'!$B$10:$B$30,0))+$M$48*INDEX('[1]Tariff Page Solar Tracking'!$C$10:$C$30,MATCH($B17,'[1]Tariff Page Solar Tracking'!$B$10:$B$30,0))+$M$49*INDEX('[1]Tariff Page Solar Tracking'!$F$10:$F$30,MATCH($B17,'[1]Tariff Page Solar Tracking'!$B$10:$B$30,0))+$M$50*INDEX('[1]Tariff Page Solar Tracking'!$E$10:$E$30,MATCH($B17,'[1]Tariff Page Solar Tracking'!$B$10:$B$30,0)))*10</f>
        <v>30.529629241185571</v>
      </c>
      <c r="N17" s="215">
        <f t="shared" si="3"/>
        <v>-4.8479643770202507</v>
      </c>
      <c r="S17"/>
    </row>
    <row r="18" spans="2:19" x14ac:dyDescent="0.2">
      <c r="B18" s="164">
        <f t="shared" si="4"/>
        <v>2031</v>
      </c>
      <c r="C18" s="105">
        <f>($D$47*INDEX('Tariff Page'!$D$9:$D$30,MATCH($B18,'Tariff Page'!$B$9:$B$30,0))+$D$48*INDEX('Tariff Page'!$C$9:$C$30,MATCH($B18,'Tariff Page'!$B$9:$B$30,0))+$D$49*INDEX('Tariff Page'!$F$9:$F$30,MATCH($B18,'Tariff Page'!$B$9:$B$30,0))+$D$50*INDEX('Tariff Page'!$E$9:$E$30,MATCH($B18,'Tariff Page'!$B$9:$B$30,0)))*10</f>
        <v>37.247470765951576</v>
      </c>
      <c r="D18" s="105">
        <f>($D$47*INDEX('[1]Tariff Page'!$D$10:$D$30,MATCH($B18,'[1]Tariff Page'!$B$10:$B$30,0))+$D$48*INDEX('[1]Tariff Page'!$C$10:$C$30,MATCH($B18,'[1]Tariff Page'!$B$10:$B$30,0))+$D$49*INDEX('[1]Tariff Page'!$F$10:$F$30,MATCH($B18,'[1]Tariff Page'!$B$10:$B$30,0))+$D$50*INDEX('[1]Tariff Page'!$E$10:$E$30,MATCH($B18,'[1]Tariff Page'!$B$10:$B$30,0)))*10</f>
        <v>58.681409483167869</v>
      </c>
      <c r="E18" s="106">
        <f t="shared" si="0"/>
        <v>-21.433938717216293</v>
      </c>
      <c r="F18" s="107">
        <f>($G$47*INDEX('Tariff Page Wind'!$D$9:$D$32,MATCH($B18,'Tariff Page Wind'!$B$9:$B$32,0))+$G$48*INDEX('Tariff Page Wind'!$C$9:$C$32,MATCH($B18,'Tariff Page Wind'!$B$9:$B$32,0))+$G$49*INDEX('Tariff Page Wind'!$F$9:$F$32,MATCH($B18,'Tariff Page Wind'!$B$9:$B$32,0))+$G$50*INDEX('Tariff Page Wind'!$E$9:$E$32,MATCH($B18,'Tariff Page Wind'!$B$9:$B$32,0)))*10</f>
        <v>1.3094603046179889</v>
      </c>
      <c r="G18" s="105">
        <f>($G$47*INDEX('[1]Tariff Page Wind'!$D$10:$D$30,MATCH($B18,'[1]Tariff Page Wind'!$B$10:$B$30,0))+$G$48*INDEX('[1]Tariff Page Wind'!$C$10:$C$30,MATCH($B18,'[1]Tariff Page Wind'!$B$10:$B$30,0))+$G$49*INDEX('[1]Tariff Page Wind'!$F$10:$F$30,MATCH($B18,'[1]Tariff Page Wind'!$B$10:$B$30,0))+$G$50*INDEX('[1]Tariff Page Wind'!$E$10:$E$30,MATCH($B18,'[1]Tariff Page Wind'!$B$10:$B$30,0)))*10</f>
        <v>13.906685322220618</v>
      </c>
      <c r="H18" s="106">
        <f t="shared" si="1"/>
        <v>-12.597225017602629</v>
      </c>
      <c r="I18" s="107">
        <f>($J$47*INDEX('Tariff Page Solar Fixed'!$D$9:$D$31,MATCH($B18,'Tariff Page Solar Fixed'!$B$9:$B$31,0))+$J$48*INDEX('Tariff Page Solar Fixed'!$C$9:$C$31,MATCH($B18,'Tariff Page Solar Fixed'!$B$9:$B$31,0))+$J$49*INDEX('Tariff Page Solar Fixed'!$F$9:$F$31,MATCH($B18,'Tariff Page Solar Fixed'!$B$9:$B$31,0))+$J$50*INDEX('Tariff Page Solar Fixed'!$E$9:$E$31,MATCH($B18,'Tariff Page Solar Fixed'!$B$9:$B$31,0)))*10</f>
        <v>22.976423638970573</v>
      </c>
      <c r="J18" s="105">
        <f>($J$47*INDEX('[1]Tariff Page Solar Fixed'!$D$10:$D$30,MATCH($B18,'[1]Tariff Page Solar Fixed'!$B$10:$B$30,0))+$J$48*INDEX('[1]Tariff Page Solar Fixed'!$C$10:$C$30,MATCH($B18,'[1]Tariff Page Solar Fixed'!$B$10:$B$30,0))+$J$49*INDEX('[1]Tariff Page Solar Fixed'!$F$10:$F$30,MATCH($B18,'[1]Tariff Page Solar Fixed'!$B$10:$B$30,0))+$J$50*INDEX('[1]Tariff Page Solar Fixed'!$E$10:$E$30,MATCH($B18,'[1]Tariff Page Solar Fixed'!$B$10:$B$30,0)))*10</f>
        <v>32.80031247157828</v>
      </c>
      <c r="K18" s="106">
        <f t="shared" si="2"/>
        <v>-9.8238888326077074</v>
      </c>
      <c r="L18" s="107">
        <f>($M$47*INDEX('Tariff Page Solar Tracking'!$D$9:$D$31,MATCH($B18,'Tariff Page Solar Tracking'!$B$9:$B$31,0))+$M$48*INDEX('Tariff Page Solar Tracking'!$C$9:$C$31,MATCH($B18,'Tariff Page Solar Tracking'!$B$9:$B$31,0))+$M$49*INDEX('Tariff Page Solar Tracking'!$F$9:$F$31,MATCH($B18,'Tariff Page Solar Tracking'!$B$9:$B$31,0))+$M$50*INDEX('Tariff Page Solar Tracking'!$E$9:$E$31,MATCH($B18,'Tariff Page Solar Tracking'!$B$9:$B$31,0)))*10</f>
        <v>24.340140288804143</v>
      </c>
      <c r="M18" s="105">
        <f>($M$47*INDEX('[1]Tariff Page Solar Tracking'!$D$10:$D$30,MATCH($B18,'[1]Tariff Page Solar Tracking'!$B$10:$B$30,0))+$M$48*INDEX('[1]Tariff Page Solar Tracking'!$C$10:$C$30,MATCH($B18,'[1]Tariff Page Solar Tracking'!$B$10:$B$30,0))+$M$49*INDEX('[1]Tariff Page Solar Tracking'!$F$10:$F$30,MATCH($B18,'[1]Tariff Page Solar Tracking'!$B$10:$B$30,0))+$M$50*INDEX('[1]Tariff Page Solar Tracking'!$E$10:$E$30,MATCH($B18,'[1]Tariff Page Solar Tracking'!$B$10:$B$30,0)))*10</f>
        <v>31.016671175125772</v>
      </c>
      <c r="N18" s="215">
        <f t="shared" si="3"/>
        <v>-6.6765308863216291</v>
      </c>
      <c r="S18"/>
    </row>
    <row r="19" spans="2:19" x14ac:dyDescent="0.2">
      <c r="B19" s="164">
        <f t="shared" si="4"/>
        <v>2032</v>
      </c>
      <c r="C19" s="105">
        <f>($D$47*INDEX('Tariff Page'!$D$9:$D$30,MATCH($B19,'Tariff Page'!$B$9:$B$30,0))+$D$48*INDEX('Tariff Page'!$C$9:$C$30,MATCH($B19,'Tariff Page'!$B$9:$B$30,0))+$D$49*INDEX('Tariff Page'!$F$9:$F$30,MATCH($B19,'Tariff Page'!$B$9:$B$30,0))+$D$50*INDEX('Tariff Page'!$E$9:$E$30,MATCH($B19,'Tariff Page'!$B$9:$B$30,0)))*10</f>
        <v>33.302333288016932</v>
      </c>
      <c r="D19" s="105">
        <f>($D$47*INDEX('[1]Tariff Page'!$D$10:$D$30,MATCH($B19,'[1]Tariff Page'!$B$10:$B$30,0))+$D$48*INDEX('[1]Tariff Page'!$C$10:$C$30,MATCH($B19,'[1]Tariff Page'!$B$10:$B$30,0))+$D$49*INDEX('[1]Tariff Page'!$F$10:$F$30,MATCH($B19,'[1]Tariff Page'!$B$10:$B$30,0))+$D$50*INDEX('[1]Tariff Page'!$E$10:$E$30,MATCH($B19,'[1]Tariff Page'!$B$10:$B$30,0)))*10</f>
        <v>53.628871099792796</v>
      </c>
      <c r="E19" s="106">
        <f t="shared" si="0"/>
        <v>-20.326537811775864</v>
      </c>
      <c r="F19" s="107">
        <f>($G$47*INDEX('Tariff Page Wind'!$D$9:$D$32,MATCH($B19,'Tariff Page Wind'!$B$9:$B$32,0))+$G$48*INDEX('Tariff Page Wind'!$C$9:$C$32,MATCH($B19,'Tariff Page Wind'!$B$9:$B$32,0))+$G$49*INDEX('Tariff Page Wind'!$F$9:$F$32,MATCH($B19,'Tariff Page Wind'!$B$9:$B$32,0))+$G$50*INDEX('Tariff Page Wind'!$E$9:$E$32,MATCH($B19,'Tariff Page Wind'!$B$9:$B$32,0)))*10</f>
        <v>1.4681455883126115</v>
      </c>
      <c r="G19" s="105">
        <f>($G$47*INDEX('[1]Tariff Page Wind'!$D$10:$D$30,MATCH($B19,'[1]Tariff Page Wind'!$B$10:$B$30,0))+$G$48*INDEX('[1]Tariff Page Wind'!$C$10:$C$30,MATCH($B19,'[1]Tariff Page Wind'!$B$10:$B$30,0))+$G$49*INDEX('[1]Tariff Page Wind'!$F$10:$F$30,MATCH($B19,'[1]Tariff Page Wind'!$B$10:$B$30,0))+$G$50*INDEX('[1]Tariff Page Wind'!$E$10:$E$30,MATCH($B19,'[1]Tariff Page Wind'!$B$10:$B$30,0)))*10</f>
        <v>15.577289264859049</v>
      </c>
      <c r="H19" s="106">
        <f t="shared" si="1"/>
        <v>-14.109143676546438</v>
      </c>
      <c r="I19" s="107">
        <f>($J$47*INDEX('Tariff Page Solar Fixed'!$D$9:$D$31,MATCH($B19,'Tariff Page Solar Fixed'!$B$9:$B$31,0))+$J$48*INDEX('Tariff Page Solar Fixed'!$C$9:$C$31,MATCH($B19,'Tariff Page Solar Fixed'!$B$9:$B$31,0))+$J$49*INDEX('Tariff Page Solar Fixed'!$F$9:$F$31,MATCH($B19,'Tariff Page Solar Fixed'!$B$9:$B$31,0))+$J$50*INDEX('Tariff Page Solar Fixed'!$E$9:$E$31,MATCH($B19,'Tariff Page Solar Fixed'!$B$9:$B$31,0)))*10</f>
        <v>18.58497169729424</v>
      </c>
      <c r="J19" s="105">
        <f>($J$47*INDEX('[1]Tariff Page Solar Fixed'!$D$10:$D$30,MATCH($B19,'[1]Tariff Page Solar Fixed'!$B$10:$B$30,0))+$J$48*INDEX('[1]Tariff Page Solar Fixed'!$C$10:$C$30,MATCH($B19,'[1]Tariff Page Solar Fixed'!$B$10:$B$30,0))+$J$49*INDEX('[1]Tariff Page Solar Fixed'!$F$10:$F$30,MATCH($B19,'[1]Tariff Page Solar Fixed'!$B$10:$B$30,0))+$J$50*INDEX('[1]Tariff Page Solar Fixed'!$E$10:$E$30,MATCH($B19,'[1]Tariff Page Solar Fixed'!$B$10:$B$30,0)))*10</f>
        <v>36.22115532368074</v>
      </c>
      <c r="K19" s="106">
        <f t="shared" si="2"/>
        <v>-17.636183626386501</v>
      </c>
      <c r="L19" s="107">
        <f>($M$47*INDEX('Tariff Page Solar Tracking'!$D$9:$D$31,MATCH($B19,'Tariff Page Solar Tracking'!$B$9:$B$31,0))+$M$48*INDEX('Tariff Page Solar Tracking'!$C$9:$C$31,MATCH($B19,'Tariff Page Solar Tracking'!$B$9:$B$31,0))+$M$49*INDEX('Tariff Page Solar Tracking'!$F$9:$F$31,MATCH($B19,'Tariff Page Solar Tracking'!$B$9:$B$31,0))+$M$50*INDEX('Tariff Page Solar Tracking'!$E$9:$E$31,MATCH($B19,'Tariff Page Solar Tracking'!$B$9:$B$31,0)))*10</f>
        <v>28.436804678372592</v>
      </c>
      <c r="M19" s="105">
        <f>($M$47*INDEX('[1]Tariff Page Solar Tracking'!$D$10:$D$30,MATCH($B19,'[1]Tariff Page Solar Tracking'!$B$10:$B$30,0))+$M$48*INDEX('[1]Tariff Page Solar Tracking'!$C$10:$C$30,MATCH($B19,'[1]Tariff Page Solar Tracking'!$B$10:$B$30,0))+$M$49*INDEX('[1]Tariff Page Solar Tracking'!$F$10:$F$30,MATCH($B19,'[1]Tariff Page Solar Tracking'!$B$10:$B$30,0))+$M$50*INDEX('[1]Tariff Page Solar Tracking'!$E$10:$E$30,MATCH($B19,'[1]Tariff Page Solar Tracking'!$B$10:$B$30,0)))*10</f>
        <v>32.239304720520906</v>
      </c>
      <c r="N19" s="215">
        <f t="shared" si="3"/>
        <v>-3.8025000421483135</v>
      </c>
      <c r="S19"/>
    </row>
    <row r="20" spans="2:19" x14ac:dyDescent="0.2">
      <c r="B20" s="164">
        <f t="shared" si="4"/>
        <v>2033</v>
      </c>
      <c r="C20" s="105">
        <f>($D$47*INDEX('Tariff Page'!$D$9:$D$30,MATCH($B20,'Tariff Page'!$B$9:$B$30,0))+$D$48*INDEX('Tariff Page'!$C$9:$C$30,MATCH($B20,'Tariff Page'!$B$9:$B$30,0))+$D$49*INDEX('Tariff Page'!$F$9:$F$30,MATCH($B20,'Tariff Page'!$B$9:$B$30,0))+$D$50*INDEX('Tariff Page'!$E$9:$E$30,MATCH($B20,'Tariff Page'!$B$9:$B$30,0)))*10</f>
        <v>31.111086800344712</v>
      </c>
      <c r="D20" s="105">
        <f>($D$47*INDEX('[1]Tariff Page'!$D$10:$D$30,MATCH($B20,'[1]Tariff Page'!$B$10:$B$30,0))+$D$48*INDEX('[1]Tariff Page'!$C$10:$C$30,MATCH($B20,'[1]Tariff Page'!$B$10:$B$30,0))+$D$49*INDEX('[1]Tariff Page'!$F$10:$F$30,MATCH($B20,'[1]Tariff Page'!$B$10:$B$30,0))+$D$50*INDEX('[1]Tariff Page'!$E$10:$E$30,MATCH($B20,'[1]Tariff Page'!$B$10:$B$30,0)))*10</f>
        <v>47.35409824538511</v>
      </c>
      <c r="E20" s="106">
        <f t="shared" si="0"/>
        <v>-16.243011445040398</v>
      </c>
      <c r="F20" s="107">
        <f>($G$47*INDEX('Tariff Page Wind'!$D$9:$D$32,MATCH($B20,'Tariff Page Wind'!$B$9:$B$32,0))+$G$48*INDEX('Tariff Page Wind'!$C$9:$C$32,MATCH($B20,'Tariff Page Wind'!$B$9:$B$32,0))+$G$49*INDEX('Tariff Page Wind'!$F$9:$F$32,MATCH($B20,'Tariff Page Wind'!$B$9:$B$32,0))+$G$50*INDEX('Tariff Page Wind'!$E$9:$E$32,MATCH($B20,'Tariff Page Wind'!$B$9:$B$32,0)))*10</f>
        <v>1.4658713588828469</v>
      </c>
      <c r="G20" s="105">
        <f>($G$47*INDEX('[1]Tariff Page Wind'!$D$10:$D$30,MATCH($B20,'[1]Tariff Page Wind'!$B$10:$B$30,0))+$G$48*INDEX('[1]Tariff Page Wind'!$C$10:$C$30,MATCH($B20,'[1]Tariff Page Wind'!$B$10:$B$30,0))+$G$49*INDEX('[1]Tariff Page Wind'!$F$10:$F$30,MATCH($B20,'[1]Tariff Page Wind'!$B$10:$B$30,0))+$G$50*INDEX('[1]Tariff Page Wind'!$E$10:$E$30,MATCH($B20,'[1]Tariff Page Wind'!$B$10:$B$30,0)))*10</f>
        <v>24.031259060401375</v>
      </c>
      <c r="H20" s="106">
        <f t="shared" si="1"/>
        <v>-22.565387701518528</v>
      </c>
      <c r="I20" s="107">
        <f>($J$47*INDEX('Tariff Page Solar Fixed'!$D$9:$D$31,MATCH($B20,'Tariff Page Solar Fixed'!$B$9:$B$31,0))+$J$48*INDEX('Tariff Page Solar Fixed'!$C$9:$C$31,MATCH($B20,'Tariff Page Solar Fixed'!$B$9:$B$31,0))+$J$49*INDEX('Tariff Page Solar Fixed'!$F$9:$F$31,MATCH($B20,'Tariff Page Solar Fixed'!$B$9:$B$31,0))+$J$50*INDEX('Tariff Page Solar Fixed'!$E$9:$E$31,MATCH($B20,'Tariff Page Solar Fixed'!$B$9:$B$31,0)))*10</f>
        <v>18.548800445743531</v>
      </c>
      <c r="J20" s="105">
        <f>($J$47*INDEX('[1]Tariff Page Solar Fixed'!$D$10:$D$30,MATCH($B20,'[1]Tariff Page Solar Fixed'!$B$10:$B$30,0))+$J$48*INDEX('[1]Tariff Page Solar Fixed'!$C$10:$C$30,MATCH($B20,'[1]Tariff Page Solar Fixed'!$B$10:$B$30,0))+$J$49*INDEX('[1]Tariff Page Solar Fixed'!$F$10:$F$30,MATCH($B20,'[1]Tariff Page Solar Fixed'!$B$10:$B$30,0))+$J$50*INDEX('[1]Tariff Page Solar Fixed'!$E$10:$E$30,MATCH($B20,'[1]Tariff Page Solar Fixed'!$B$10:$B$30,0)))*10</f>
        <v>42.808663977116481</v>
      </c>
      <c r="K20" s="106">
        <f t="shared" si="2"/>
        <v>-24.25986353137295</v>
      </c>
      <c r="L20" s="107">
        <f>($M$47*INDEX('Tariff Page Solar Tracking'!$D$9:$D$31,MATCH($B20,'Tariff Page Solar Tracking'!$B$9:$B$31,0))+$M$48*INDEX('Tariff Page Solar Tracking'!$C$9:$C$31,MATCH($B20,'Tariff Page Solar Tracking'!$B$9:$B$31,0))+$M$49*INDEX('Tariff Page Solar Tracking'!$F$9:$F$31,MATCH($B20,'Tariff Page Solar Tracking'!$B$9:$B$31,0))+$M$50*INDEX('Tariff Page Solar Tracking'!$E$9:$E$31,MATCH($B20,'Tariff Page Solar Tracking'!$B$9:$B$31,0)))*10</f>
        <v>27.647325081025365</v>
      </c>
      <c r="M20" s="105">
        <f>($M$47*INDEX('[1]Tariff Page Solar Tracking'!$D$10:$D$30,MATCH($B20,'[1]Tariff Page Solar Tracking'!$B$10:$B$30,0))+$M$48*INDEX('[1]Tariff Page Solar Tracking'!$C$10:$C$30,MATCH($B20,'[1]Tariff Page Solar Tracking'!$B$10:$B$30,0))+$M$49*INDEX('[1]Tariff Page Solar Tracking'!$F$10:$F$30,MATCH($B20,'[1]Tariff Page Solar Tracking'!$B$10:$B$30,0))+$M$50*INDEX('[1]Tariff Page Solar Tracking'!$E$10:$E$30,MATCH($B20,'[1]Tariff Page Solar Tracking'!$B$10:$B$30,0)))*10</f>
        <v>34.57403908461454</v>
      </c>
      <c r="N20" s="215">
        <f t="shared" si="3"/>
        <v>-6.9267140035891757</v>
      </c>
      <c r="S20"/>
    </row>
    <row r="21" spans="2:19" x14ac:dyDescent="0.2">
      <c r="B21" s="164">
        <f t="shared" si="4"/>
        <v>2034</v>
      </c>
      <c r="C21" s="105">
        <f>($D$47*INDEX('Tariff Page'!$D$9:$D$30,MATCH($B21,'Tariff Page'!$B$9:$B$30,0))+$D$48*INDEX('Tariff Page'!$C$9:$C$30,MATCH($B21,'Tariff Page'!$B$9:$B$30,0))+$D$49*INDEX('Tariff Page'!$F$9:$F$30,MATCH($B21,'Tariff Page'!$B$9:$B$30,0))+$D$50*INDEX('Tariff Page'!$E$9:$E$30,MATCH($B21,'Tariff Page'!$B$9:$B$30,0)))*10</f>
        <v>31.473496605491054</v>
      </c>
      <c r="D21" s="105">
        <f>($D$47*INDEX('[1]Tariff Page'!$D$10:$D$30,MATCH($B21,'[1]Tariff Page'!$B$10:$B$30,0))+$D$48*INDEX('[1]Tariff Page'!$C$10:$C$30,MATCH($B21,'[1]Tariff Page'!$B$10:$B$30,0))+$D$49*INDEX('[1]Tariff Page'!$F$10:$F$30,MATCH($B21,'[1]Tariff Page'!$B$10:$B$30,0))+$D$50*INDEX('[1]Tariff Page'!$E$10:$E$30,MATCH($B21,'[1]Tariff Page'!$B$10:$B$30,0)))*10</f>
        <v>48.138077244400463</v>
      </c>
      <c r="E21" s="106">
        <f t="shared" si="0"/>
        <v>-16.66458063890941</v>
      </c>
      <c r="F21" s="107">
        <f>($G$47*INDEX('Tariff Page Wind'!$D$9:$D$32,MATCH($B21,'Tariff Page Wind'!$B$9:$B$32,0))+$G$48*INDEX('Tariff Page Wind'!$C$9:$C$32,MATCH($B21,'Tariff Page Wind'!$B$9:$B$32,0))+$G$49*INDEX('Tariff Page Wind'!$F$9:$F$32,MATCH($B21,'Tariff Page Wind'!$B$9:$B$32,0))+$G$50*INDEX('Tariff Page Wind'!$E$9:$E$32,MATCH($B21,'Tariff Page Wind'!$B$9:$B$32,0)))*10</f>
        <v>1.4657500889804922</v>
      </c>
      <c r="G21" s="105">
        <f>($G$47*INDEX('[1]Tariff Page Wind'!$D$10:$D$30,MATCH($B21,'[1]Tariff Page Wind'!$B$10:$B$30,0))+$G$48*INDEX('[1]Tariff Page Wind'!$C$10:$C$30,MATCH($B21,'[1]Tariff Page Wind'!$B$10:$B$30,0))+$G$49*INDEX('[1]Tariff Page Wind'!$F$10:$F$30,MATCH($B21,'[1]Tariff Page Wind'!$B$10:$B$30,0))+$G$50*INDEX('[1]Tariff Page Wind'!$E$10:$E$30,MATCH($B21,'[1]Tariff Page Wind'!$B$10:$B$30,0)))*10</f>
        <v>16.69063410785596</v>
      </c>
      <c r="H21" s="106">
        <f t="shared" si="1"/>
        <v>-15.224884018875468</v>
      </c>
      <c r="I21" s="107">
        <f>($J$47*INDEX('Tariff Page Solar Fixed'!$D$9:$D$31,MATCH($B21,'Tariff Page Solar Fixed'!$B$9:$B$31,0))+$J$48*INDEX('Tariff Page Solar Fixed'!$C$9:$C$31,MATCH($B21,'Tariff Page Solar Fixed'!$B$9:$B$31,0))+$J$49*INDEX('Tariff Page Solar Fixed'!$F$9:$F$31,MATCH($B21,'Tariff Page Solar Fixed'!$B$9:$B$31,0))+$J$50*INDEX('Tariff Page Solar Fixed'!$E$9:$E$31,MATCH($B21,'Tariff Page Solar Fixed'!$B$9:$B$31,0)))*10</f>
        <v>20.94414624326766</v>
      </c>
      <c r="J21" s="105">
        <f>($J$47*INDEX('[1]Tariff Page Solar Fixed'!$D$10:$D$30,MATCH($B21,'[1]Tariff Page Solar Fixed'!$B$10:$B$30,0))+$J$48*INDEX('[1]Tariff Page Solar Fixed'!$C$10:$C$30,MATCH($B21,'[1]Tariff Page Solar Fixed'!$B$10:$B$30,0))+$J$49*INDEX('[1]Tariff Page Solar Fixed'!$F$10:$F$30,MATCH($B21,'[1]Tariff Page Solar Fixed'!$B$10:$B$30,0))+$J$50*INDEX('[1]Tariff Page Solar Fixed'!$E$10:$E$30,MATCH($B21,'[1]Tariff Page Solar Fixed'!$B$10:$B$30,0)))*10</f>
        <v>36.794323795138496</v>
      </c>
      <c r="K21" s="106">
        <f t="shared" si="2"/>
        <v>-15.850177551870836</v>
      </c>
      <c r="L21" s="107">
        <f>($M$47*INDEX('Tariff Page Solar Tracking'!$D$9:$D$31,MATCH($B21,'Tariff Page Solar Tracking'!$B$9:$B$31,0))+$M$48*INDEX('Tariff Page Solar Tracking'!$C$9:$C$31,MATCH($B21,'Tariff Page Solar Tracking'!$B$9:$B$31,0))+$M$49*INDEX('Tariff Page Solar Tracking'!$F$9:$F$31,MATCH($B21,'Tariff Page Solar Tracking'!$B$9:$B$31,0))+$M$50*INDEX('Tariff Page Solar Tracking'!$E$9:$E$31,MATCH($B21,'Tariff Page Solar Tracking'!$B$9:$B$31,0)))*10</f>
        <v>28.979626863081496</v>
      </c>
      <c r="M21" s="105">
        <f>($M$47*INDEX('[1]Tariff Page Solar Tracking'!$D$10:$D$30,MATCH($B21,'[1]Tariff Page Solar Tracking'!$B$10:$B$30,0))+$M$48*INDEX('[1]Tariff Page Solar Tracking'!$C$10:$C$30,MATCH($B21,'[1]Tariff Page Solar Tracking'!$B$10:$B$30,0))+$M$49*INDEX('[1]Tariff Page Solar Tracking'!$F$10:$F$30,MATCH($B21,'[1]Tariff Page Solar Tracking'!$B$10:$B$30,0))+$M$50*INDEX('[1]Tariff Page Solar Tracking'!$E$10:$E$30,MATCH($B21,'[1]Tariff Page Solar Tracking'!$B$10:$B$30,0)))*10</f>
        <v>30.176110179759121</v>
      </c>
      <c r="N21" s="215">
        <f t="shared" si="3"/>
        <v>-1.1964833166776252</v>
      </c>
      <c r="S21"/>
    </row>
    <row r="22" spans="2:19" x14ac:dyDescent="0.2">
      <c r="B22" s="164">
        <f t="shared" si="4"/>
        <v>2035</v>
      </c>
      <c r="C22" s="105">
        <f>($D$47*INDEX('Tariff Page'!$D$9:$D$30,MATCH($B22,'Tariff Page'!$B$9:$B$30,0))+$D$48*INDEX('Tariff Page'!$C$9:$C$30,MATCH($B22,'Tariff Page'!$B$9:$B$30,0))+$D$49*INDEX('Tariff Page'!$F$9:$F$30,MATCH($B22,'Tariff Page'!$B$9:$B$30,0))+$D$50*INDEX('Tariff Page'!$E$9:$E$30,MATCH($B22,'Tariff Page'!$B$9:$B$30,0)))*10</f>
        <v>32.596199274337103</v>
      </c>
      <c r="D22" s="105">
        <f>($D$47*INDEX('[1]Tariff Page'!$D$10:$D$30,MATCH($B22,'[1]Tariff Page'!$B$10:$B$30,0))+$D$48*INDEX('[1]Tariff Page'!$C$10:$C$30,MATCH($B22,'[1]Tariff Page'!$B$10:$B$30,0))+$D$49*INDEX('[1]Tariff Page'!$F$10:$F$30,MATCH($B22,'[1]Tariff Page'!$B$10:$B$30,0))+$D$50*INDEX('[1]Tariff Page'!$E$10:$E$30,MATCH($B22,'[1]Tariff Page'!$B$10:$B$30,0)))*10</f>
        <v>51.909572366233128</v>
      </c>
      <c r="E22" s="106">
        <f t="shared" si="0"/>
        <v>-19.313373091896025</v>
      </c>
      <c r="F22" s="107">
        <f>($G$47*INDEX('Tariff Page Wind'!$D$9:$D$32,MATCH($B22,'Tariff Page Wind'!$B$9:$B$32,0))+$G$48*INDEX('Tariff Page Wind'!$C$9:$C$32,MATCH($B22,'Tariff Page Wind'!$B$9:$B$32,0))+$G$49*INDEX('Tariff Page Wind'!$F$9:$F$32,MATCH($B22,'Tariff Page Wind'!$B$9:$B$32,0))+$G$50*INDEX('Tariff Page Wind'!$E$9:$E$32,MATCH($B22,'Tariff Page Wind'!$B$9:$B$32,0)))*10</f>
        <v>1.4673147036146514</v>
      </c>
      <c r="G22" s="105">
        <f>($G$47*INDEX('[1]Tariff Page Wind'!$D$10:$D$30,MATCH($B22,'[1]Tariff Page Wind'!$B$10:$B$30,0))+$G$48*INDEX('[1]Tariff Page Wind'!$C$10:$C$30,MATCH($B22,'[1]Tariff Page Wind'!$B$10:$B$30,0))+$G$49*INDEX('[1]Tariff Page Wind'!$F$10:$F$30,MATCH($B22,'[1]Tariff Page Wind'!$B$10:$B$30,0))+$G$50*INDEX('[1]Tariff Page Wind'!$E$10:$E$30,MATCH($B22,'[1]Tariff Page Wind'!$B$10:$B$30,0)))*10</f>
        <v>15.257708359131643</v>
      </c>
      <c r="H22" s="106">
        <f t="shared" si="1"/>
        <v>-13.790393655516992</v>
      </c>
      <c r="I22" s="107">
        <f>($J$47*INDEX('Tariff Page Solar Fixed'!$D$9:$D$31,MATCH($B22,'Tariff Page Solar Fixed'!$B$9:$B$31,0))+$J$48*INDEX('Tariff Page Solar Fixed'!$C$9:$C$31,MATCH($B22,'Tariff Page Solar Fixed'!$B$9:$B$31,0))+$J$49*INDEX('Tariff Page Solar Fixed'!$F$9:$F$31,MATCH($B22,'Tariff Page Solar Fixed'!$B$9:$B$31,0))+$J$50*INDEX('Tariff Page Solar Fixed'!$E$9:$E$31,MATCH($B22,'Tariff Page Solar Fixed'!$B$9:$B$31,0)))*10</f>
        <v>19.403372801359314</v>
      </c>
      <c r="J22" s="105">
        <f>($J$47*INDEX('[1]Tariff Page Solar Fixed'!$D$10:$D$30,MATCH($B22,'[1]Tariff Page Solar Fixed'!$B$10:$B$30,0))+$J$48*INDEX('[1]Tariff Page Solar Fixed'!$C$10:$C$30,MATCH($B22,'[1]Tariff Page Solar Fixed'!$B$10:$B$30,0))+$J$49*INDEX('[1]Tariff Page Solar Fixed'!$F$10:$F$30,MATCH($B22,'[1]Tariff Page Solar Fixed'!$B$10:$B$30,0))+$J$50*INDEX('[1]Tariff Page Solar Fixed'!$E$10:$E$30,MATCH($B22,'[1]Tariff Page Solar Fixed'!$B$10:$B$30,0)))*10</f>
        <v>38.998581464001873</v>
      </c>
      <c r="K22" s="106">
        <f t="shared" si="2"/>
        <v>-19.595208662642559</v>
      </c>
      <c r="L22" s="107">
        <f>($M$47*INDEX('Tariff Page Solar Tracking'!$D$9:$D$31,MATCH($B22,'Tariff Page Solar Tracking'!$B$9:$B$31,0))+$M$48*INDEX('Tariff Page Solar Tracking'!$C$9:$C$31,MATCH($B22,'Tariff Page Solar Tracking'!$B$9:$B$31,0))+$M$49*INDEX('Tariff Page Solar Tracking'!$F$9:$F$31,MATCH($B22,'Tariff Page Solar Tracking'!$B$9:$B$31,0))+$M$50*INDEX('Tariff Page Solar Tracking'!$E$9:$E$31,MATCH($B22,'Tariff Page Solar Tracking'!$B$9:$B$31,0)))*10</f>
        <v>26.164767946007586</v>
      </c>
      <c r="M22" s="105">
        <f>($M$47*INDEX('[1]Tariff Page Solar Tracking'!$D$10:$D$30,MATCH($B22,'[1]Tariff Page Solar Tracking'!$B$10:$B$30,0))+$M$48*INDEX('[1]Tariff Page Solar Tracking'!$C$10:$C$30,MATCH($B22,'[1]Tariff Page Solar Tracking'!$B$10:$B$30,0))+$M$49*INDEX('[1]Tariff Page Solar Tracking'!$F$10:$F$30,MATCH($B22,'[1]Tariff Page Solar Tracking'!$B$10:$B$30,0))+$M$50*INDEX('[1]Tariff Page Solar Tracking'!$E$10:$E$30,MATCH($B22,'[1]Tariff Page Solar Tracking'!$B$10:$B$30,0)))*10</f>
        <v>33.664278478224759</v>
      </c>
      <c r="N22" s="215">
        <f t="shared" si="3"/>
        <v>-7.4995105322171725</v>
      </c>
      <c r="S22"/>
    </row>
    <row r="23" spans="2:19" x14ac:dyDescent="0.2">
      <c r="B23" s="164">
        <f t="shared" si="4"/>
        <v>2036</v>
      </c>
      <c r="C23" s="105">
        <f>($D$47*INDEX('Tariff Page'!$D$9:$D$30,MATCH($B23,'Tariff Page'!$B$9:$B$30,0))+$D$48*INDEX('Tariff Page'!$C$9:$C$30,MATCH($B23,'Tariff Page'!$B$9:$B$30,0))+$D$49*INDEX('Tariff Page'!$F$9:$F$30,MATCH($B23,'Tariff Page'!$B$9:$B$30,0))+$D$50*INDEX('Tariff Page'!$E$9:$E$30,MATCH($B23,'Tariff Page'!$B$9:$B$30,0)))*10</f>
        <v>18.716674759915211</v>
      </c>
      <c r="D23" s="105">
        <f>($D$47*INDEX('[1]Tariff Page'!$D$10:$D$30,MATCH($B23,'[1]Tariff Page'!$B$10:$B$30,0))+$D$48*INDEX('[1]Tariff Page'!$C$10:$C$30,MATCH($B23,'[1]Tariff Page'!$B$10:$B$30,0))+$D$49*INDEX('[1]Tariff Page'!$F$10:$F$30,MATCH($B23,'[1]Tariff Page'!$B$10:$B$30,0))+$D$50*INDEX('[1]Tariff Page'!$E$10:$E$30,MATCH($B23,'[1]Tariff Page'!$B$10:$B$30,0)))*10</f>
        <v>53.554293026306766</v>
      </c>
      <c r="E23" s="106">
        <f t="shared" si="0"/>
        <v>-34.837618266391559</v>
      </c>
      <c r="F23" s="107">
        <f>($G$47*INDEX('Tariff Page Wind'!$D$9:$D$32,MATCH($B23,'Tariff Page Wind'!$B$9:$B$32,0))+$G$48*INDEX('Tariff Page Wind'!$C$9:$C$32,MATCH($B23,'Tariff Page Wind'!$B$9:$B$32,0))+$G$49*INDEX('Tariff Page Wind'!$F$9:$F$32,MATCH($B23,'Tariff Page Wind'!$B$9:$B$32,0))+$G$50*INDEX('Tariff Page Wind'!$E$9:$E$32,MATCH($B23,'Tariff Page Wind'!$B$9:$B$32,0)))*10</f>
        <v>14.536149339361407</v>
      </c>
      <c r="G23" s="105">
        <f>($G$47*INDEX('[1]Tariff Page Wind'!$D$10:$D$30,MATCH($B23,'[1]Tariff Page Wind'!$B$10:$B$30,0))+$G$48*INDEX('[1]Tariff Page Wind'!$C$10:$C$30,MATCH($B23,'[1]Tariff Page Wind'!$B$10:$B$30,0))+$G$49*INDEX('[1]Tariff Page Wind'!$F$10:$F$30,MATCH($B23,'[1]Tariff Page Wind'!$B$10:$B$30,0))+$G$50*INDEX('[1]Tariff Page Wind'!$E$10:$E$30,MATCH($B23,'[1]Tariff Page Wind'!$B$10:$B$30,0)))*10</f>
        <v>16.838954495163193</v>
      </c>
      <c r="H23" s="106">
        <f t="shared" si="1"/>
        <v>-2.3028051558017868</v>
      </c>
      <c r="I23" s="107">
        <f>($J$47*INDEX('Tariff Page Solar Fixed'!$D$9:$D$31,MATCH($B23,'Tariff Page Solar Fixed'!$B$9:$B$31,0))+$J$48*INDEX('Tariff Page Solar Fixed'!$C$9:$C$31,MATCH($B23,'Tariff Page Solar Fixed'!$B$9:$B$31,0))+$J$49*INDEX('Tariff Page Solar Fixed'!$F$9:$F$31,MATCH($B23,'Tariff Page Solar Fixed'!$B$9:$B$31,0))+$J$50*INDEX('Tariff Page Solar Fixed'!$E$9:$E$31,MATCH($B23,'Tariff Page Solar Fixed'!$B$9:$B$31,0)))*10</f>
        <v>11.908478075873424</v>
      </c>
      <c r="J23" s="105">
        <f>($J$47*INDEX('[1]Tariff Page Solar Fixed'!$D$10:$D$30,MATCH($B23,'[1]Tariff Page Solar Fixed'!$B$10:$B$30,0))+$J$48*INDEX('[1]Tariff Page Solar Fixed'!$C$10:$C$30,MATCH($B23,'[1]Tariff Page Solar Fixed'!$B$10:$B$30,0))+$J$49*INDEX('[1]Tariff Page Solar Fixed'!$F$10:$F$30,MATCH($B23,'[1]Tariff Page Solar Fixed'!$B$10:$B$30,0))+$J$50*INDEX('[1]Tariff Page Solar Fixed'!$E$10:$E$30,MATCH($B23,'[1]Tariff Page Solar Fixed'!$B$10:$B$30,0)))*10</f>
        <v>41.737203132560921</v>
      </c>
      <c r="K23" s="106">
        <f t="shared" si="2"/>
        <v>-29.828725056687496</v>
      </c>
      <c r="L23" s="107">
        <f>($M$47*INDEX('Tariff Page Solar Tracking'!$D$9:$D$31,MATCH($B23,'Tariff Page Solar Tracking'!$B$9:$B$31,0))+$M$48*INDEX('Tariff Page Solar Tracking'!$C$9:$C$31,MATCH($B23,'Tariff Page Solar Tracking'!$B$9:$B$31,0))+$M$49*INDEX('Tariff Page Solar Tracking'!$F$9:$F$31,MATCH($B23,'Tariff Page Solar Tracking'!$B$9:$B$31,0))+$M$50*INDEX('Tariff Page Solar Tracking'!$E$9:$E$31,MATCH($B23,'Tariff Page Solar Tracking'!$B$9:$B$31,0)))*10</f>
        <v>25.247742257871835</v>
      </c>
      <c r="M23" s="105">
        <f>($M$47*INDEX('[1]Tariff Page Solar Tracking'!$D$10:$D$30,MATCH($B23,'[1]Tariff Page Solar Tracking'!$B$10:$B$30,0))+$M$48*INDEX('[1]Tariff Page Solar Tracking'!$C$10:$C$30,MATCH($B23,'[1]Tariff Page Solar Tracking'!$B$10:$B$30,0))+$M$49*INDEX('[1]Tariff Page Solar Tracking'!$F$10:$F$30,MATCH($B23,'[1]Tariff Page Solar Tracking'!$B$10:$B$30,0))+$M$50*INDEX('[1]Tariff Page Solar Tracking'!$E$10:$E$30,MATCH($B23,'[1]Tariff Page Solar Tracking'!$B$10:$B$30,0)))*10</f>
        <v>35.592678186465143</v>
      </c>
      <c r="N23" s="215">
        <f t="shared" si="3"/>
        <v>-10.344935928593308</v>
      </c>
      <c r="S23"/>
    </row>
    <row r="24" spans="2:19" x14ac:dyDescent="0.2">
      <c r="B24" s="164">
        <f t="shared" si="4"/>
        <v>2037</v>
      </c>
      <c r="C24" s="105">
        <f>($D$47*INDEX('Tariff Page'!$D$9:$D$30,MATCH($B24,'Tariff Page'!$B$9:$B$30,0))+$D$48*INDEX('Tariff Page'!$C$9:$C$30,MATCH($B24,'Tariff Page'!$B$9:$B$30,0))+$D$49*INDEX('Tariff Page'!$F$9:$F$30,MATCH($B24,'Tariff Page'!$B$9:$B$30,0))+$D$50*INDEX('Tariff Page'!$E$9:$E$30,MATCH($B24,'Tariff Page'!$B$9:$B$30,0)))*10</f>
        <v>22.511164595236224</v>
      </c>
      <c r="D24" s="105">
        <f>($D$47*INDEX('[1]Tariff Page'!$D$10:$D$30,MATCH($B24,'[1]Tariff Page'!$B$10:$B$30,0))+$D$48*INDEX('[1]Tariff Page'!$C$10:$C$30,MATCH($B24,'[1]Tariff Page'!$B$10:$B$30,0))+$D$49*INDEX('[1]Tariff Page'!$F$10:$F$30,MATCH($B24,'[1]Tariff Page'!$B$10:$B$30,0))+$D$50*INDEX('[1]Tariff Page'!$E$10:$E$30,MATCH($B24,'[1]Tariff Page'!$B$10:$B$30,0)))*10</f>
        <v>54.955533440647997</v>
      </c>
      <c r="E24" s="106">
        <f t="shared" si="0"/>
        <v>-32.444368845411773</v>
      </c>
      <c r="F24" s="107">
        <f>($G$47*INDEX('Tariff Page Wind'!$D$9:$D$32,MATCH($B24,'Tariff Page Wind'!$B$9:$B$32,0))+$G$48*INDEX('Tariff Page Wind'!$C$9:$C$32,MATCH($B24,'Tariff Page Wind'!$B$9:$B$32,0))+$G$49*INDEX('Tariff Page Wind'!$F$9:$F$32,MATCH($B24,'Tariff Page Wind'!$B$9:$B$32,0))+$G$50*INDEX('Tariff Page Wind'!$E$9:$E$32,MATCH($B24,'Tariff Page Wind'!$B$9:$B$32,0)))*10</f>
        <v>9.8689713891973554</v>
      </c>
      <c r="G24" s="105">
        <f>($G$47*INDEX('[1]Tariff Page Wind'!$D$10:$D$30,MATCH($B24,'[1]Tariff Page Wind'!$B$10:$B$30,0))+$G$48*INDEX('[1]Tariff Page Wind'!$C$10:$C$30,MATCH($B24,'[1]Tariff Page Wind'!$B$10:$B$30,0))+$G$49*INDEX('[1]Tariff Page Wind'!$F$10:$F$30,MATCH($B24,'[1]Tariff Page Wind'!$B$10:$B$30,0))+$G$50*INDEX('[1]Tariff Page Wind'!$E$10:$E$30,MATCH($B24,'[1]Tariff Page Wind'!$B$10:$B$30,0)))*10</f>
        <v>60.851736905138466</v>
      </c>
      <c r="H24" s="106">
        <f t="shared" si="1"/>
        <v>-50.982765515941111</v>
      </c>
      <c r="I24" s="107">
        <f>($J$47*INDEX('Tariff Page Solar Fixed'!$D$9:$D$31,MATCH($B24,'Tariff Page Solar Fixed'!$B$9:$B$31,0))+$J$48*INDEX('Tariff Page Solar Fixed'!$C$9:$C$31,MATCH($B24,'Tariff Page Solar Fixed'!$B$9:$B$31,0))+$J$49*INDEX('Tariff Page Solar Fixed'!$F$9:$F$31,MATCH($B24,'Tariff Page Solar Fixed'!$B$9:$B$31,0))+$J$50*INDEX('Tariff Page Solar Fixed'!$E$9:$E$31,MATCH($B24,'Tariff Page Solar Fixed'!$B$9:$B$31,0)))*10</f>
        <v>11.454136477733059</v>
      </c>
      <c r="J24" s="105">
        <f>($J$47*INDEX('[1]Tariff Page Solar Fixed'!$D$10:$D$30,MATCH($B24,'[1]Tariff Page Solar Fixed'!$B$10:$B$30,0))+$J$48*INDEX('[1]Tariff Page Solar Fixed'!$C$10:$C$30,MATCH($B24,'[1]Tariff Page Solar Fixed'!$B$10:$B$30,0))+$J$49*INDEX('[1]Tariff Page Solar Fixed'!$F$10:$F$30,MATCH($B24,'[1]Tariff Page Solar Fixed'!$B$10:$B$30,0))+$J$50*INDEX('[1]Tariff Page Solar Fixed'!$E$10:$E$30,MATCH($B24,'[1]Tariff Page Solar Fixed'!$B$10:$B$30,0)))*10</f>
        <v>81.880260185855974</v>
      </c>
      <c r="K24" s="106">
        <f t="shared" si="2"/>
        <v>-70.426123708122915</v>
      </c>
      <c r="L24" s="107">
        <f>($M$47*INDEX('Tariff Page Solar Tracking'!$D$9:$D$31,MATCH($B24,'Tariff Page Solar Tracking'!$B$9:$B$31,0))+$M$48*INDEX('Tariff Page Solar Tracking'!$C$9:$C$31,MATCH($B24,'Tariff Page Solar Tracking'!$B$9:$B$31,0))+$M$49*INDEX('Tariff Page Solar Tracking'!$F$9:$F$31,MATCH($B24,'Tariff Page Solar Tracking'!$B$9:$B$31,0))+$M$50*INDEX('Tariff Page Solar Tracking'!$E$9:$E$31,MATCH($B24,'Tariff Page Solar Tracking'!$B$9:$B$31,0)))*10</f>
        <v>23.935251122365205</v>
      </c>
      <c r="M24" s="105">
        <f>($M$47*INDEX('[1]Tariff Page Solar Tracking'!$D$10:$D$30,MATCH($B24,'[1]Tariff Page Solar Tracking'!$B$10:$B$30,0))+$M$48*INDEX('[1]Tariff Page Solar Tracking'!$C$10:$C$30,MATCH($B24,'[1]Tariff Page Solar Tracking'!$B$10:$B$30,0))+$M$49*INDEX('[1]Tariff Page Solar Tracking'!$F$10:$F$30,MATCH($B24,'[1]Tariff Page Solar Tracking'!$B$10:$B$30,0))+$M$50*INDEX('[1]Tariff Page Solar Tracking'!$E$10:$E$30,MATCH($B24,'[1]Tariff Page Solar Tracking'!$B$10:$B$30,0)))*10</f>
        <v>70.061894906557114</v>
      </c>
      <c r="N24" s="215">
        <f t="shared" si="3"/>
        <v>-46.126643784191913</v>
      </c>
      <c r="P24" s="126"/>
      <c r="S24"/>
    </row>
    <row r="25" spans="2:19" x14ac:dyDescent="0.2">
      <c r="B25" s="164">
        <f t="shared" si="4"/>
        <v>2038</v>
      </c>
      <c r="C25" s="105">
        <f>($D$47*INDEX('Tariff Page'!$D$9:$D$30,MATCH($B25,'Tariff Page'!$B$9:$B$30,0))+$D$48*INDEX('Tariff Page'!$C$9:$C$30,MATCH($B25,'Tariff Page'!$B$9:$B$30,0))+$D$49*INDEX('Tariff Page'!$F$9:$F$30,MATCH($B25,'Tariff Page'!$B$9:$B$30,0))+$D$50*INDEX('Tariff Page'!$E$9:$E$30,MATCH($B25,'Tariff Page'!$B$9:$B$30,0)))*10</f>
        <v>23.913355356464947</v>
      </c>
      <c r="D25" s="105">
        <f>($D$47*INDEX('[1]Tariff Page'!$D$10:$D$30,MATCH($B25,'[1]Tariff Page'!$B$10:$B$30,0))+$D$48*INDEX('[1]Tariff Page'!$C$10:$C$30,MATCH($B25,'[1]Tariff Page'!$B$10:$B$30,0))+$D$49*INDEX('[1]Tariff Page'!$F$10:$F$30,MATCH($B25,'[1]Tariff Page'!$B$10:$B$30,0))+$D$50*INDEX('[1]Tariff Page'!$E$10:$E$30,MATCH($B25,'[1]Tariff Page'!$B$10:$B$30,0)))*10</f>
        <v>56.731931515582673</v>
      </c>
      <c r="E25" s="106">
        <f t="shared" si="0"/>
        <v>-32.818576159117725</v>
      </c>
      <c r="F25" s="107">
        <f>($G$47*INDEX('Tariff Page Wind'!$D$9:$D$32,MATCH($B25,'Tariff Page Wind'!$B$9:$B$32,0))+$G$48*INDEX('Tariff Page Wind'!$C$9:$C$32,MATCH($B25,'Tariff Page Wind'!$B$9:$B$32,0))+$G$49*INDEX('Tariff Page Wind'!$F$9:$F$32,MATCH($B25,'Tariff Page Wind'!$B$9:$B$32,0))+$G$50*INDEX('Tariff Page Wind'!$E$9:$E$32,MATCH($B25,'Tariff Page Wind'!$B$9:$B$32,0)))*10</f>
        <v>51.707028636589712</v>
      </c>
      <c r="G25" s="105">
        <f>($G$47*INDEX('[1]Tariff Page Wind'!$D$10:$D$30,MATCH($B25,'[1]Tariff Page Wind'!$B$10:$B$30,0))+$G$48*INDEX('[1]Tariff Page Wind'!$C$10:$C$30,MATCH($B25,'[1]Tariff Page Wind'!$B$10:$B$30,0))+$G$49*INDEX('[1]Tariff Page Wind'!$F$10:$F$30,MATCH($B25,'[1]Tariff Page Wind'!$B$10:$B$30,0))+$G$50*INDEX('[1]Tariff Page Wind'!$E$10:$E$30,MATCH($B25,'[1]Tariff Page Wind'!$B$10:$B$30,0)))*10</f>
        <v>63.917908262601358</v>
      </c>
      <c r="H25" s="106">
        <f t="shared" si="1"/>
        <v>-12.210879626011646</v>
      </c>
      <c r="I25" s="107">
        <f>($J$47*INDEX('Tariff Page Solar Fixed'!$D$9:$D$31,MATCH($B25,'Tariff Page Solar Fixed'!$B$9:$B$31,0))+$J$48*INDEX('Tariff Page Solar Fixed'!$C$9:$C$31,MATCH($B25,'Tariff Page Solar Fixed'!$B$9:$B$31,0))+$J$49*INDEX('Tariff Page Solar Fixed'!$F$9:$F$31,MATCH($B25,'Tariff Page Solar Fixed'!$B$9:$B$31,0))+$J$50*INDEX('Tariff Page Solar Fixed'!$E$9:$E$31,MATCH($B25,'Tariff Page Solar Fixed'!$B$9:$B$31,0)))*10</f>
        <v>11.436820985280354</v>
      </c>
      <c r="J25" s="105">
        <f>($J$47*INDEX('[1]Tariff Page Solar Fixed'!$D$10:$D$30,MATCH($B25,'[1]Tariff Page Solar Fixed'!$B$10:$B$30,0))+$J$48*INDEX('[1]Tariff Page Solar Fixed'!$C$10:$C$30,MATCH($B25,'[1]Tariff Page Solar Fixed'!$B$10:$B$30,0))+$J$49*INDEX('[1]Tariff Page Solar Fixed'!$F$10:$F$30,MATCH($B25,'[1]Tariff Page Solar Fixed'!$B$10:$B$30,0))+$J$50*INDEX('[1]Tariff Page Solar Fixed'!$E$10:$E$30,MATCH($B25,'[1]Tariff Page Solar Fixed'!$B$10:$B$30,0)))*10</f>
        <v>84.804628415969162</v>
      </c>
      <c r="K25" s="106">
        <f t="shared" si="2"/>
        <v>-73.367807430688813</v>
      </c>
      <c r="L25" s="107">
        <f>($M$47*INDEX('Tariff Page Solar Tracking'!$D$9:$D$31,MATCH($B25,'Tariff Page Solar Tracking'!$B$9:$B$31,0))+$M$48*INDEX('Tariff Page Solar Tracking'!$C$9:$C$31,MATCH($B25,'Tariff Page Solar Tracking'!$B$9:$B$31,0))+$M$49*INDEX('Tariff Page Solar Tracking'!$F$9:$F$31,MATCH($B25,'Tariff Page Solar Tracking'!$B$9:$B$31,0))+$M$50*INDEX('Tariff Page Solar Tracking'!$E$9:$E$31,MATCH($B25,'Tariff Page Solar Tracking'!$B$9:$B$31,0)))*10</f>
        <v>17.882834812474503</v>
      </c>
      <c r="M25" s="105">
        <f>($M$47*INDEX('[1]Tariff Page Solar Tracking'!$D$10:$D$30,MATCH($B25,'[1]Tariff Page Solar Tracking'!$B$10:$B$30,0))+$M$48*INDEX('[1]Tariff Page Solar Tracking'!$C$10:$C$30,MATCH($B25,'[1]Tariff Page Solar Tracking'!$B$10:$B$30,0))+$M$49*INDEX('[1]Tariff Page Solar Tracking'!$F$10:$F$30,MATCH($B25,'[1]Tariff Page Solar Tracking'!$B$10:$B$30,0))+$M$50*INDEX('[1]Tariff Page Solar Tracking'!$E$10:$E$30,MATCH($B25,'[1]Tariff Page Solar Tracking'!$B$10:$B$30,0)))*10</f>
        <v>72.780773963034505</v>
      </c>
      <c r="N25" s="215">
        <f t="shared" si="3"/>
        <v>-54.897939150560006</v>
      </c>
      <c r="P25" s="126"/>
      <c r="S25"/>
    </row>
    <row r="26" spans="2:19" x14ac:dyDescent="0.2">
      <c r="B26" s="164">
        <f t="shared" si="4"/>
        <v>2039</v>
      </c>
      <c r="C26" s="105">
        <f>($D$47*INDEX('Tariff Page'!$D$9:$D$30,MATCH($B26,'Tariff Page'!$B$9:$B$30,0))+$D$48*INDEX('Tariff Page'!$C$9:$C$30,MATCH($B26,'Tariff Page'!$B$9:$B$30,0))+$D$49*INDEX('Tariff Page'!$F$9:$F$30,MATCH($B26,'Tariff Page'!$B$9:$B$30,0))+$D$50*INDEX('Tariff Page'!$E$9:$E$30,MATCH($B26,'Tariff Page'!$B$9:$B$30,0)))*10</f>
        <v>26.249710667260288</v>
      </c>
      <c r="D26" s="105">
        <f>($D$47*INDEX('[1]Tariff Page'!$D$10:$D$30,MATCH($B26,'[1]Tariff Page'!$B$10:$B$30,0))+$D$48*INDEX('[1]Tariff Page'!$C$10:$C$30,MATCH($B26,'[1]Tariff Page'!$B$10:$B$30,0))+$D$49*INDEX('[1]Tariff Page'!$F$10:$F$30,MATCH($B26,'[1]Tariff Page'!$B$10:$B$30,0))+$D$50*INDEX('[1]Tariff Page'!$E$10:$E$30,MATCH($B26,'[1]Tariff Page'!$B$10:$B$30,0)))*10</f>
        <v>58.646770550767528</v>
      </c>
      <c r="E26" s="106">
        <f t="shared" si="0"/>
        <v>-32.397059883507239</v>
      </c>
      <c r="F26" s="107">
        <f>($G$47*INDEX('Tariff Page Wind'!$D$9:$D$32,MATCH($B26,'Tariff Page Wind'!$B$9:$B$32,0))+$G$48*INDEX('Tariff Page Wind'!$C$9:$C$32,MATCH($B26,'Tariff Page Wind'!$B$9:$B$32,0))+$G$49*INDEX('Tariff Page Wind'!$F$9:$F$32,MATCH($B26,'Tariff Page Wind'!$B$9:$B$32,0))+$G$50*INDEX('Tariff Page Wind'!$E$9:$E$32,MATCH($B26,'Tariff Page Wind'!$B$9:$B$32,0)))*10</f>
        <v>56.356441080883009</v>
      </c>
      <c r="G26" s="105">
        <f>($G$47*INDEX('[1]Tariff Page Wind'!$D$10:$D$30,MATCH($B26,'[1]Tariff Page Wind'!$B$10:$B$30,0))+$G$48*INDEX('[1]Tariff Page Wind'!$C$10:$C$30,MATCH($B26,'[1]Tariff Page Wind'!$B$10:$B$30,0))+$G$49*INDEX('[1]Tariff Page Wind'!$F$10:$F$30,MATCH($B26,'[1]Tariff Page Wind'!$B$10:$B$30,0))+$G$50*INDEX('[1]Tariff Page Wind'!$E$10:$E$30,MATCH($B26,'[1]Tariff Page Wind'!$B$10:$B$30,0)))*10</f>
        <v>62.133598294222395</v>
      </c>
      <c r="H26" s="106">
        <f t="shared" si="1"/>
        <v>-5.777157213339386</v>
      </c>
      <c r="I26" s="107">
        <f>($J$47*INDEX('Tariff Page Solar Fixed'!$D$9:$D$31,MATCH($B26,'Tariff Page Solar Fixed'!$B$9:$B$31,0))+$J$48*INDEX('Tariff Page Solar Fixed'!$C$9:$C$31,MATCH($B26,'Tariff Page Solar Fixed'!$B$9:$B$31,0))+$J$49*INDEX('Tariff Page Solar Fixed'!$F$9:$F$31,MATCH($B26,'Tariff Page Solar Fixed'!$B$9:$B$31,0))+$J$50*INDEX('Tariff Page Solar Fixed'!$E$9:$E$31,MATCH($B26,'Tariff Page Solar Fixed'!$B$9:$B$31,0)))*10</f>
        <v>11.111514863549125</v>
      </c>
      <c r="J26" s="105">
        <f>($J$47*INDEX('[1]Tariff Page Solar Fixed'!$D$10:$D$30,MATCH($B26,'[1]Tariff Page Solar Fixed'!$B$10:$B$30,0))+$J$48*INDEX('[1]Tariff Page Solar Fixed'!$C$10:$C$30,MATCH($B26,'[1]Tariff Page Solar Fixed'!$B$10:$B$30,0))+$J$49*INDEX('[1]Tariff Page Solar Fixed'!$F$10:$F$30,MATCH($B26,'[1]Tariff Page Solar Fixed'!$B$10:$B$30,0))+$J$50*INDEX('[1]Tariff Page Solar Fixed'!$E$10:$E$30,MATCH($B26,'[1]Tariff Page Solar Fixed'!$B$10:$B$30,0)))*10</f>
        <v>85.225662958301243</v>
      </c>
      <c r="K26" s="106">
        <f t="shared" si="2"/>
        <v>-74.114148094752125</v>
      </c>
      <c r="L26" s="107">
        <f>($M$47*INDEX('Tariff Page Solar Tracking'!$D$9:$D$31,MATCH($B26,'Tariff Page Solar Tracking'!$B$9:$B$31,0))+$M$48*INDEX('Tariff Page Solar Tracking'!$C$9:$C$31,MATCH($B26,'Tariff Page Solar Tracking'!$B$9:$B$31,0))+$M$49*INDEX('Tariff Page Solar Tracking'!$F$9:$F$31,MATCH($B26,'Tariff Page Solar Tracking'!$B$9:$B$31,0))+$M$50*INDEX('Tariff Page Solar Tracking'!$E$9:$E$31,MATCH($B26,'Tariff Page Solar Tracking'!$B$9:$B$31,0)))*10</f>
        <v>14.150050770026589</v>
      </c>
      <c r="M26" s="105">
        <f>($M$47*INDEX('[1]Tariff Page Solar Tracking'!$D$10:$D$30,MATCH($B26,'[1]Tariff Page Solar Tracking'!$B$10:$B$30,0))+$M$48*INDEX('[1]Tariff Page Solar Tracking'!$C$10:$C$30,MATCH($B26,'[1]Tariff Page Solar Tracking'!$B$10:$B$30,0))+$M$49*INDEX('[1]Tariff Page Solar Tracking'!$F$10:$F$30,MATCH($B26,'[1]Tariff Page Solar Tracking'!$B$10:$B$30,0))+$M$50*INDEX('[1]Tariff Page Solar Tracking'!$E$10:$E$30,MATCH($B26,'[1]Tariff Page Solar Tracking'!$B$10:$B$30,0)))*10</f>
        <v>71.24712612153084</v>
      </c>
      <c r="N26" s="215">
        <f t="shared" si="3"/>
        <v>-57.097075351504252</v>
      </c>
      <c r="P26" s="126"/>
      <c r="S26"/>
    </row>
    <row r="27" spans="2:19" x14ac:dyDescent="0.2">
      <c r="B27" s="164">
        <f t="shared" si="4"/>
        <v>2040</v>
      </c>
      <c r="C27" s="105">
        <f>($D$47*INDEX('Tariff Page'!$D$9:$D$30,MATCH($B27,'Tariff Page'!$B$9:$B$30,0))+$D$48*INDEX('Tariff Page'!$C$9:$C$30,MATCH($B27,'Tariff Page'!$B$9:$B$30,0))+$D$49*INDEX('Tariff Page'!$F$9:$F$30,MATCH($B27,'Tariff Page'!$B$9:$B$30,0))+$D$50*INDEX('Tariff Page'!$E$9:$E$30,MATCH($B27,'Tariff Page'!$B$9:$B$30,0)))*10</f>
        <v>28.971375112995826</v>
      </c>
      <c r="D27" s="105">
        <f>($D$47*INDEX('[1]Tariff Page'!$D$10:$D$30,MATCH($B27,'[1]Tariff Page'!$B$10:$B$30,0))+$D$48*INDEX('[1]Tariff Page'!$C$10:$C$30,MATCH($B27,'[1]Tariff Page'!$B$10:$B$30,0))+$D$49*INDEX('[1]Tariff Page'!$F$10:$F$30,MATCH($B27,'[1]Tariff Page'!$B$10:$B$30,0))+$D$50*INDEX('[1]Tariff Page'!$E$10:$E$30,MATCH($B27,'[1]Tariff Page'!$B$10:$B$30,0)))*10</f>
        <v>65.2538993294649</v>
      </c>
      <c r="E27" s="106">
        <f t="shared" si="0"/>
        <v>-36.282524216469071</v>
      </c>
      <c r="F27" s="107">
        <f>($G$47*INDEX('Tariff Page Wind'!$D$9:$D$32,MATCH($B27,'Tariff Page Wind'!$B$9:$B$32,0))+$G$48*INDEX('Tariff Page Wind'!$C$9:$C$32,MATCH($B27,'Tariff Page Wind'!$B$9:$B$32,0))+$G$49*INDEX('Tariff Page Wind'!$F$9:$F$32,MATCH($B27,'Tariff Page Wind'!$B$9:$B$32,0))+$G$50*INDEX('Tariff Page Wind'!$E$9:$E$32,MATCH($B27,'Tariff Page Wind'!$B$9:$B$32,0)))*10</f>
        <v>59.82996135772224</v>
      </c>
      <c r="G27" s="105">
        <f>($G$47*INDEX('[1]Tariff Page Wind'!$D$10:$D$30,MATCH($B27,'[1]Tariff Page Wind'!$B$10:$B$30,0))+$G$48*INDEX('[1]Tariff Page Wind'!$C$10:$C$30,MATCH($B27,'[1]Tariff Page Wind'!$B$10:$B$30,0))+$G$49*INDEX('[1]Tariff Page Wind'!$F$10:$F$30,MATCH($B27,'[1]Tariff Page Wind'!$B$10:$B$30,0))+$G$50*INDEX('[1]Tariff Page Wind'!$E$10:$E$30,MATCH($B27,'[1]Tariff Page Wind'!$B$10:$B$30,0)))*10</f>
        <v>65.376763729613884</v>
      </c>
      <c r="H27" s="106">
        <f t="shared" si="1"/>
        <v>-5.5468023718916442</v>
      </c>
      <c r="I27" s="107">
        <f>($J$47*INDEX('Tariff Page Solar Fixed'!$D$9:$D$31,MATCH($B27,'Tariff Page Solar Fixed'!$B$9:$B$31,0))+$J$48*INDEX('Tariff Page Solar Fixed'!$C$9:$C$31,MATCH($B27,'Tariff Page Solar Fixed'!$B$9:$B$31,0))+$J$49*INDEX('Tariff Page Solar Fixed'!$F$9:$F$31,MATCH($B27,'Tariff Page Solar Fixed'!$B$9:$B$31,0))+$J$50*INDEX('Tariff Page Solar Fixed'!$E$9:$E$31,MATCH($B27,'Tariff Page Solar Fixed'!$B$9:$B$31,0)))*10</f>
        <v>16.405452393802836</v>
      </c>
      <c r="J27" s="105">
        <f>($J$47*INDEX('[1]Tariff Page Solar Fixed'!$D$10:$D$30,MATCH($B27,'[1]Tariff Page Solar Fixed'!$B$10:$B$30,0))+$J$48*INDEX('[1]Tariff Page Solar Fixed'!$C$10:$C$30,MATCH($B27,'[1]Tariff Page Solar Fixed'!$B$10:$B$30,0))+$J$49*INDEX('[1]Tariff Page Solar Fixed'!$F$10:$F$30,MATCH($B27,'[1]Tariff Page Solar Fixed'!$B$10:$B$30,0))+$J$50*INDEX('[1]Tariff Page Solar Fixed'!$E$10:$E$30,MATCH($B27,'[1]Tariff Page Solar Fixed'!$B$10:$B$30,0)))*10</f>
        <v>88.969034080894943</v>
      </c>
      <c r="K27" s="106">
        <f t="shared" si="2"/>
        <v>-72.56358168709211</v>
      </c>
      <c r="L27" s="107">
        <f>($M$47*INDEX('Tariff Page Solar Tracking'!$D$9:$D$31,MATCH($B27,'Tariff Page Solar Tracking'!$B$9:$B$31,0))+$M$48*INDEX('Tariff Page Solar Tracking'!$C$9:$C$31,MATCH($B27,'Tariff Page Solar Tracking'!$B$9:$B$31,0))+$M$49*INDEX('Tariff Page Solar Tracking'!$F$9:$F$31,MATCH($B27,'Tariff Page Solar Tracking'!$B$9:$B$31,0))+$M$50*INDEX('Tariff Page Solar Tracking'!$E$9:$E$31,MATCH($B27,'Tariff Page Solar Tracking'!$B$9:$B$31,0)))*10</f>
        <v>16.534385668223262</v>
      </c>
      <c r="M27" s="105">
        <f>($M$47*INDEX('[1]Tariff Page Solar Tracking'!$D$10:$D$30,MATCH($B27,'[1]Tariff Page Solar Tracking'!$B$10:$B$30,0))+$M$48*INDEX('[1]Tariff Page Solar Tracking'!$C$10:$C$30,MATCH($B27,'[1]Tariff Page Solar Tracking'!$B$10:$B$30,0))+$M$49*INDEX('[1]Tariff Page Solar Tracking'!$F$10:$F$30,MATCH($B27,'[1]Tariff Page Solar Tracking'!$B$10:$B$30,0))+$M$50*INDEX('[1]Tariff Page Solar Tracking'!$E$10:$E$30,MATCH($B27,'[1]Tariff Page Solar Tracking'!$B$10:$B$30,0)))*10</f>
        <v>76.426821357348587</v>
      </c>
      <c r="N27" s="215">
        <f t="shared" si="3"/>
        <v>-59.892435689125321</v>
      </c>
      <c r="P27" s="126"/>
      <c r="S27"/>
    </row>
    <row r="28" spans="2:19" x14ac:dyDescent="0.2">
      <c r="B28" s="164">
        <f t="shared" si="4"/>
        <v>2041</v>
      </c>
      <c r="C28" s="105">
        <f>($D$47*INDEX('Tariff Page'!$D$9:$D$30,MATCH($B28,'Tariff Page'!$B$9:$B$30,0))+$D$48*INDEX('Tariff Page'!$C$9:$C$30,MATCH($B28,'Tariff Page'!$B$9:$B$30,0))+$D$49*INDEX('Tariff Page'!$F$9:$F$30,MATCH($B28,'Tariff Page'!$B$9:$B$30,0))+$D$50*INDEX('Tariff Page'!$E$9:$E$30,MATCH($B28,'Tariff Page'!$B$9:$B$30,0)))*10</f>
        <v>33.548477751938037</v>
      </c>
      <c r="D28" s="105">
        <f>($D$47*INDEX('[1]Tariff Page'!$D$10:$D$30,MATCH($B28,'[1]Tariff Page'!$B$10:$B$30,0))+$D$48*INDEX('[1]Tariff Page'!$C$10:$C$30,MATCH($B28,'[1]Tariff Page'!$B$10:$B$30,0))+$D$49*INDEX('[1]Tariff Page'!$F$10:$F$30,MATCH($B28,'[1]Tariff Page'!$B$10:$B$30,0))+$D$50*INDEX('[1]Tariff Page'!$E$10:$E$30,MATCH($B28,'[1]Tariff Page'!$B$10:$B$30,0)))*10</f>
        <v>68.960755093533137</v>
      </c>
      <c r="E28" s="106">
        <f t="shared" si="0"/>
        <v>-35.4122773415951</v>
      </c>
      <c r="F28" s="107">
        <f>($G$47*INDEX('Tariff Page Wind'!$D$9:$D$32,MATCH($B28,'Tariff Page Wind'!$B$9:$B$32,0))+$G$48*INDEX('Tariff Page Wind'!$C$9:$C$32,MATCH($B28,'Tariff Page Wind'!$B$9:$B$32,0))+$G$49*INDEX('Tariff Page Wind'!$F$9:$F$32,MATCH($B28,'Tariff Page Wind'!$B$9:$B$32,0))+$G$50*INDEX('Tariff Page Wind'!$E$9:$E$32,MATCH($B28,'Tariff Page Wind'!$B$9:$B$32,0)))*10</f>
        <v>59.369010303738527</v>
      </c>
      <c r="G28" s="105">
        <f>($G$47*INDEX('[1]Tariff Page Wind'!$D$10:$D$30,MATCH($B28,'[1]Tariff Page Wind'!$B$10:$B$30,0))+$G$48*INDEX('[1]Tariff Page Wind'!$C$10:$C$30,MATCH($B28,'[1]Tariff Page Wind'!$B$10:$B$30,0))+$G$49*INDEX('[1]Tariff Page Wind'!$F$10:$F$30,MATCH($B28,'[1]Tariff Page Wind'!$B$10:$B$30,0))+$G$50*INDEX('[1]Tariff Page Wind'!$E$10:$E$30,MATCH($B28,'[1]Tariff Page Wind'!$B$10:$B$30,0)))*10</f>
        <v>67.371391123016267</v>
      </c>
      <c r="H28" s="106">
        <f t="shared" si="1"/>
        <v>-8.0023808192777395</v>
      </c>
      <c r="I28" s="107">
        <f>($J$47*INDEX('Tariff Page Solar Fixed'!$D$9:$D$31,MATCH($B28,'Tariff Page Solar Fixed'!$B$9:$B$31,0))+$J$48*INDEX('Tariff Page Solar Fixed'!$C$9:$C$31,MATCH($B28,'Tariff Page Solar Fixed'!$B$9:$B$31,0))+$J$49*INDEX('Tariff Page Solar Fixed'!$F$9:$F$31,MATCH($B28,'Tariff Page Solar Fixed'!$B$9:$B$31,0))+$J$50*INDEX('Tariff Page Solar Fixed'!$E$9:$E$31,MATCH($B28,'Tariff Page Solar Fixed'!$B$9:$B$31,0)))*10</f>
        <v>18.49991958004064</v>
      </c>
      <c r="J28" s="105">
        <f>($J$47*INDEX('[1]Tariff Page Solar Fixed'!$D$10:$D$30,MATCH($B28,'[1]Tariff Page Solar Fixed'!$B$10:$B$30,0))+$J$48*INDEX('[1]Tariff Page Solar Fixed'!$C$10:$C$30,MATCH($B28,'[1]Tariff Page Solar Fixed'!$B$10:$B$30,0))+$J$49*INDEX('[1]Tariff Page Solar Fixed'!$F$10:$F$30,MATCH($B28,'[1]Tariff Page Solar Fixed'!$B$10:$B$30,0))+$J$50*INDEX('[1]Tariff Page Solar Fixed'!$E$10:$E$30,MATCH($B28,'[1]Tariff Page Solar Fixed'!$B$10:$B$30,0)))*10</f>
        <v>89.926692935491474</v>
      </c>
      <c r="K28" s="106">
        <f t="shared" si="2"/>
        <v>-71.426773355450834</v>
      </c>
      <c r="L28" s="107">
        <f>($M$47*INDEX('Tariff Page Solar Tracking'!$D$9:$D$31,MATCH($B28,'Tariff Page Solar Tracking'!$B$9:$B$31,0))+$M$48*INDEX('Tariff Page Solar Tracking'!$C$9:$C$31,MATCH($B28,'Tariff Page Solar Tracking'!$B$9:$B$31,0))+$M$49*INDEX('Tariff Page Solar Tracking'!$F$9:$F$31,MATCH($B28,'Tariff Page Solar Tracking'!$B$9:$B$31,0))+$M$50*INDEX('Tariff Page Solar Tracking'!$E$9:$E$31,MATCH($B28,'Tariff Page Solar Tracking'!$B$9:$B$31,0)))*10</f>
        <v>18.772768250039761</v>
      </c>
      <c r="M28" s="105">
        <f>($M$47*INDEX('[1]Tariff Page Solar Tracking'!$D$10:$D$30,MATCH($B28,'[1]Tariff Page Solar Tracking'!$B$10:$B$30,0))+$M$48*INDEX('[1]Tariff Page Solar Tracking'!$C$10:$C$30,MATCH($B28,'[1]Tariff Page Solar Tracking'!$B$10:$B$30,0))+$M$49*INDEX('[1]Tariff Page Solar Tracking'!$F$10:$F$30,MATCH($B28,'[1]Tariff Page Solar Tracking'!$B$10:$B$30,0))+$M$50*INDEX('[1]Tariff Page Solar Tracking'!$E$10:$E$30,MATCH($B28,'[1]Tariff Page Solar Tracking'!$B$10:$B$30,0)))*10</f>
        <v>77.090767967602631</v>
      </c>
      <c r="N28" s="215">
        <f t="shared" si="3"/>
        <v>-58.31799971756287</v>
      </c>
      <c r="S28"/>
    </row>
    <row r="29" spans="2:19" x14ac:dyDescent="0.2">
      <c r="B29" s="164">
        <f t="shared" si="4"/>
        <v>2042</v>
      </c>
      <c r="C29" s="105">
        <f>($D$47*INDEX('Tariff Page'!$D$9:$D$30,MATCH($B29,'Tariff Page'!$B$9:$B$30,0))+$D$48*INDEX('Tariff Page'!$C$9:$C$30,MATCH($B29,'Tariff Page'!$B$9:$B$30,0))+$D$49*INDEX('Tariff Page'!$F$9:$F$30,MATCH($B29,'Tariff Page'!$B$9:$B$30,0))+$D$50*INDEX('Tariff Page'!$E$9:$E$30,MATCH($B29,'Tariff Page'!$B$9:$B$30,0)))*10</f>
        <v>40.584356565726452</v>
      </c>
      <c r="D29" s="105">
        <f>($D$47*INDEX('[1]Tariff Page'!$D$10:$D$30,MATCH($B29,'[1]Tariff Page'!$B$10:$B$30,0))+$D$48*INDEX('[1]Tariff Page'!$C$10:$C$30,MATCH($B29,'[1]Tariff Page'!$B$10:$B$30,0))+$D$49*INDEX('[1]Tariff Page'!$F$10:$F$30,MATCH($B29,'[1]Tariff Page'!$B$10:$B$30,0))+$D$50*INDEX('[1]Tariff Page'!$E$10:$E$30,MATCH($B29,'[1]Tariff Page'!$B$10:$B$30,0)))*10</f>
        <v>69.921196078554956</v>
      </c>
      <c r="E29" s="106">
        <f t="shared" si="0"/>
        <v>-29.336839512828504</v>
      </c>
      <c r="F29" s="107">
        <f>($G$47*INDEX('Tariff Page Wind'!$D$9:$D$32,MATCH($B29,'Tariff Page Wind'!$B$9:$B$32,0))+$G$48*INDEX('Tariff Page Wind'!$C$9:$C$32,MATCH($B29,'Tariff Page Wind'!$B$9:$B$32,0))+$G$49*INDEX('Tariff Page Wind'!$F$9:$F$32,MATCH($B29,'Tariff Page Wind'!$B$9:$B$32,0))+$G$50*INDEX('Tariff Page Wind'!$E$9:$E$32,MATCH($B29,'Tariff Page Wind'!$B$9:$B$32,0)))*10</f>
        <v>58.1488056640735</v>
      </c>
      <c r="G29" s="105">
        <f>($G$47*INDEX('[1]Tariff Page Wind'!$D$10:$D$30,MATCH($B29,'[1]Tariff Page Wind'!$B$10:$B$30,0))+$G$48*INDEX('[1]Tariff Page Wind'!$C$10:$C$30,MATCH($B29,'[1]Tariff Page Wind'!$B$10:$B$30,0))+$G$49*INDEX('[1]Tariff Page Wind'!$F$10:$F$30,MATCH($B29,'[1]Tariff Page Wind'!$B$10:$B$30,0))+$G$50*INDEX('[1]Tariff Page Wind'!$E$10:$E$30,MATCH($B29,'[1]Tariff Page Wind'!$B$10:$B$30,0)))*10</f>
        <v>67.671563337915487</v>
      </c>
      <c r="H29" s="106">
        <f t="shared" si="1"/>
        <v>-9.522757673841987</v>
      </c>
      <c r="I29" s="107">
        <f>($J$47*INDEX('Tariff Page Solar Fixed'!$D$9:$D$31,MATCH($B29,'Tariff Page Solar Fixed'!$B$9:$B$31,0))+$J$48*INDEX('Tariff Page Solar Fixed'!$C$9:$C$31,MATCH($B29,'Tariff Page Solar Fixed'!$B$9:$B$31,0))+$J$49*INDEX('Tariff Page Solar Fixed'!$F$9:$F$31,MATCH($B29,'Tariff Page Solar Fixed'!$B$9:$B$31,0))+$J$50*INDEX('Tariff Page Solar Fixed'!$E$9:$E$31,MATCH($B29,'Tariff Page Solar Fixed'!$B$9:$B$31,0)))*10</f>
        <v>37.92687924164828</v>
      </c>
      <c r="J29" s="105">
        <f>($J$47*INDEX('[1]Tariff Page Solar Fixed'!$D$10:$D$30,MATCH($B29,'[1]Tariff Page Solar Fixed'!$B$10:$B$30,0))+$J$48*INDEX('[1]Tariff Page Solar Fixed'!$C$10:$C$30,MATCH($B29,'[1]Tariff Page Solar Fixed'!$B$10:$B$30,0))+$J$49*INDEX('[1]Tariff Page Solar Fixed'!$F$10:$F$30,MATCH($B29,'[1]Tariff Page Solar Fixed'!$B$10:$B$30,0))+$J$50*INDEX('[1]Tariff Page Solar Fixed'!$E$10:$E$30,MATCH($B29,'[1]Tariff Page Solar Fixed'!$B$10:$B$30,0)))*10</f>
        <v>91.887182989158703</v>
      </c>
      <c r="K29" s="106">
        <f t="shared" si="2"/>
        <v>-53.960303747510423</v>
      </c>
      <c r="L29" s="107">
        <f>($M$47*INDEX('Tariff Page Solar Tracking'!$D$9:$D$31,MATCH($B29,'Tariff Page Solar Tracking'!$B$9:$B$31,0))+$M$48*INDEX('Tariff Page Solar Tracking'!$C$9:$C$31,MATCH($B29,'Tariff Page Solar Tracking'!$B$9:$B$31,0))+$M$49*INDEX('Tariff Page Solar Tracking'!$F$9:$F$31,MATCH($B29,'Tariff Page Solar Tracking'!$B$9:$B$31,0))+$M$50*INDEX('Tariff Page Solar Tracking'!$E$9:$E$31,MATCH($B29,'Tariff Page Solar Tracking'!$B$9:$B$31,0)))*10</f>
        <v>65.630101736445553</v>
      </c>
      <c r="M29" s="105">
        <f>($M$47*INDEX('[1]Tariff Page Solar Tracking'!$D$10:$D$30,MATCH($B29,'[1]Tariff Page Solar Tracking'!$B$10:$B$30,0))+$M$48*INDEX('[1]Tariff Page Solar Tracking'!$C$10:$C$30,MATCH($B29,'[1]Tariff Page Solar Tracking'!$B$10:$B$30,0))+$M$49*INDEX('[1]Tariff Page Solar Tracking'!$F$10:$F$30,MATCH($B29,'[1]Tariff Page Solar Tracking'!$B$10:$B$30,0))+$M$50*INDEX('[1]Tariff Page Solar Tracking'!$E$10:$E$30,MATCH($B29,'[1]Tariff Page Solar Tracking'!$B$10:$B$30,0)))*10</f>
        <v>80.376150307554241</v>
      </c>
      <c r="N29" s="215">
        <f t="shared" si="3"/>
        <v>-14.746048571108687</v>
      </c>
      <c r="S29"/>
    </row>
    <row r="30" spans="2:19" x14ac:dyDescent="0.2">
      <c r="B30" s="164"/>
      <c r="C30" s="105"/>
      <c r="D30" s="105"/>
      <c r="E30" s="106"/>
      <c r="F30" s="107"/>
      <c r="G30" s="105"/>
      <c r="H30" s="106"/>
      <c r="I30" s="107"/>
      <c r="J30" s="105"/>
      <c r="K30" s="106"/>
      <c r="L30" s="107"/>
      <c r="M30" s="105"/>
      <c r="N30" s="215"/>
      <c r="S30"/>
    </row>
    <row r="31" spans="2:19" x14ac:dyDescent="0.2">
      <c r="B31" s="166"/>
      <c r="C31" s="167"/>
      <c r="D31" s="220"/>
      <c r="E31" s="168"/>
      <c r="F31" s="169"/>
      <c r="G31" s="220"/>
      <c r="H31" s="168"/>
      <c r="I31" s="169"/>
      <c r="J31" s="220"/>
      <c r="K31" s="168"/>
      <c r="L31" s="169"/>
      <c r="M31" s="220"/>
      <c r="N31" s="216"/>
      <c r="S31"/>
    </row>
    <row r="32" spans="2:19" x14ac:dyDescent="0.2">
      <c r="B32" s="74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S32"/>
    </row>
    <row r="33" spans="2:22" x14ac:dyDescent="0.2">
      <c r="B33" s="74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S33"/>
    </row>
    <row r="34" spans="2:22" x14ac:dyDescent="0.2">
      <c r="B34" s="74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S34"/>
    </row>
    <row r="35" spans="2:22" x14ac:dyDescent="0.2">
      <c r="B35" t="s">
        <v>102</v>
      </c>
      <c r="C35" s="92"/>
      <c r="F35" s="92"/>
      <c r="I35" s="92"/>
      <c r="L35" s="92"/>
      <c r="S35"/>
    </row>
    <row r="36" spans="2:22" x14ac:dyDescent="0.2">
      <c r="B36" s="64" t="str">
        <f>"15 Year ("&amp;B12&amp;" to "&amp;B26&amp;") Levelized Prices (Nominal) @ "&amp;TEXT($P$37,"?.00%")&amp;" Discount Rate"</f>
        <v>15 Year (2025 to 2039) Levelized Prices (Nominal) @ 6.38% Discount Rate</v>
      </c>
      <c r="C36" s="92"/>
      <c r="F36" s="92"/>
      <c r="I36" s="92"/>
      <c r="L36" s="92"/>
      <c r="O36" s="108"/>
      <c r="P36" t="s">
        <v>267</v>
      </c>
      <c r="S36"/>
    </row>
    <row r="37" spans="2:22" x14ac:dyDescent="0.2">
      <c r="B37" s="109" t="s">
        <v>5</v>
      </c>
      <c r="C37" s="106">
        <f>-PMT($P$37,COUNT(C12:C26),NPV($P$37,C12:C26))</f>
        <v>30.915924504757953</v>
      </c>
      <c r="D37" s="106">
        <f>-PMT($P$37,COUNT(D12:D26),NPV($P$37,D12:D26))</f>
        <v>52.631576461526485</v>
      </c>
      <c r="E37" s="106">
        <f>-PMT($P$37,COUNT(E12:E26),NPV($P$37,E12:E26))</f>
        <v>-21.715651956768543</v>
      </c>
      <c r="F37" s="106">
        <f t="shared" ref="F37:N37" si="5">-PMT($P$37,COUNT(F12:F26),NPV($P$37,F12:F26))</f>
        <v>18.507686292700161</v>
      </c>
      <c r="G37" s="106">
        <f t="shared" si="5"/>
        <v>27.81478558112082</v>
      </c>
      <c r="H37" s="106">
        <f t="shared" si="5"/>
        <v>-9.3070992884206571</v>
      </c>
      <c r="I37" s="106">
        <f t="shared" si="5"/>
        <v>18.566941657507066</v>
      </c>
      <c r="J37" s="106">
        <f t="shared" si="5"/>
        <v>41.964432646701127</v>
      </c>
      <c r="K37" s="106">
        <f t="shared" si="5"/>
        <v>-23.397490989194065</v>
      </c>
      <c r="L37" s="106">
        <f t="shared" si="5"/>
        <v>23.987361629173559</v>
      </c>
      <c r="M37" s="106">
        <f t="shared" si="5"/>
        <v>37.578101171963581</v>
      </c>
      <c r="N37" s="106">
        <f t="shared" si="5"/>
        <v>-13.59073954279002</v>
      </c>
      <c r="O37" s="110"/>
      <c r="P37" s="24">
        <v>6.3799999999999996E-2</v>
      </c>
      <c r="S37"/>
    </row>
    <row r="38" spans="2:22" x14ac:dyDescent="0.2">
      <c r="B38" s="109"/>
      <c r="C38" s="105"/>
      <c r="D38" s="105"/>
      <c r="E38" s="106"/>
      <c r="F38" s="105"/>
      <c r="G38" s="105"/>
      <c r="H38" s="106"/>
      <c r="I38" s="105"/>
      <c r="J38" s="105"/>
      <c r="K38" s="106"/>
      <c r="L38" s="105"/>
      <c r="M38" s="105"/>
      <c r="N38" s="106"/>
      <c r="O38" s="110"/>
      <c r="P38" s="24"/>
      <c r="S38"/>
    </row>
    <row r="39" spans="2:22" x14ac:dyDescent="0.2">
      <c r="B39" s="64" t="str">
        <f>"15 Year ("&amp;B13&amp;" to "&amp;B27&amp;") Levelized Prices (Nominal) @ "&amp;TEXT($P$37,"?.00%")&amp;" Discount Rate"</f>
        <v>15 Year (2026 to 2040) Levelized Prices (Nominal) @ 6.38% Discount Rate</v>
      </c>
      <c r="C39" s="92"/>
      <c r="F39" s="92"/>
      <c r="I39" s="92"/>
      <c r="L39" s="92"/>
      <c r="O39" s="108"/>
      <c r="P39"/>
      <c r="S39"/>
    </row>
    <row r="40" spans="2:22" x14ac:dyDescent="0.2">
      <c r="B40" s="109" t="s">
        <v>5</v>
      </c>
      <c r="C40" s="106">
        <f>-PMT($P$37,COUNT(C13:C27),NPV($P$37,C13:C27))</f>
        <v>30.929235824738466</v>
      </c>
      <c r="D40" s="106">
        <f t="shared" ref="D40:N40" si="6">-PMT($P$37,COUNT(D13:D27),NPV($P$37,D13:D27))</f>
        <v>53.751117901708703</v>
      </c>
      <c r="E40" s="106">
        <f t="shared" si="6"/>
        <v>-22.821882076970223</v>
      </c>
      <c r="F40" s="106">
        <f t="shared" si="6"/>
        <v>18.132069293812108</v>
      </c>
      <c r="G40" s="106">
        <f t="shared" si="6"/>
        <v>27.478906215453552</v>
      </c>
      <c r="H40" s="106">
        <f t="shared" si="6"/>
        <v>-9.346836921641442</v>
      </c>
      <c r="I40" s="106">
        <f t="shared" si="6"/>
        <v>18.617317006293156</v>
      </c>
      <c r="J40" s="106">
        <f t="shared" si="6"/>
        <v>44.425985507830234</v>
      </c>
      <c r="K40" s="106">
        <f t="shared" si="6"/>
        <v>-25.808668501537074</v>
      </c>
      <c r="L40" s="106">
        <f t="shared" si="6"/>
        <v>23.79995974700741</v>
      </c>
      <c r="M40" s="106">
        <f t="shared" si="6"/>
        <v>39.369622780383494</v>
      </c>
      <c r="N40" s="106">
        <f t="shared" si="6"/>
        <v>-15.569663033376088</v>
      </c>
      <c r="S40"/>
    </row>
    <row r="41" spans="2:22" x14ac:dyDescent="0.2">
      <c r="B41" s="109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S41"/>
    </row>
    <row r="42" spans="2:22" x14ac:dyDescent="0.2">
      <c r="B42" s="64" t="str">
        <f>"15 Year ("&amp;B14&amp;" to "&amp;B28&amp;") Levelized Prices (Nominal) @ "&amp;TEXT($P$37,"?.00%")&amp;" Discount Rate"</f>
        <v>15 Year (2027 to 2041) Levelized Prices (Nominal) @ 6.38% Discount Rate</v>
      </c>
      <c r="C42" s="92"/>
      <c r="F42" s="92"/>
      <c r="I42" s="92"/>
      <c r="L42" s="92"/>
      <c r="O42" s="108"/>
      <c r="P42"/>
      <c r="S42"/>
    </row>
    <row r="43" spans="2:22" x14ac:dyDescent="0.2">
      <c r="B43" s="109" t="s">
        <v>5</v>
      </c>
      <c r="C43" s="106">
        <f>-PMT($P$37,COUNT(C14:C28),NPV($P$37,C14:C28))</f>
        <v>31.098904965038766</v>
      </c>
      <c r="D43" s="106">
        <f t="shared" ref="D43:N43" si="7">-PMT($P$37,COUNT(D14:D28),NPV($P$37,D14:D28))</f>
        <v>55.029956469853154</v>
      </c>
      <c r="E43" s="106">
        <f t="shared" si="7"/>
        <v>-23.931051504814388</v>
      </c>
      <c r="F43" s="106">
        <f t="shared" si="7"/>
        <v>19.544847176604755</v>
      </c>
      <c r="G43" s="106">
        <f t="shared" si="7"/>
        <v>27.551513205088877</v>
      </c>
      <c r="H43" s="106">
        <f t="shared" si="7"/>
        <v>-8.0066660284841245</v>
      </c>
      <c r="I43" s="106">
        <f t="shared" si="7"/>
        <v>18.866166072301258</v>
      </c>
      <c r="J43" s="106">
        <f t="shared" si="7"/>
        <v>47.51622669133009</v>
      </c>
      <c r="K43" s="106">
        <f t="shared" si="7"/>
        <v>-28.650060619028828</v>
      </c>
      <c r="L43" s="106">
        <f t="shared" si="7"/>
        <v>24.064293895478432</v>
      </c>
      <c r="M43" s="106">
        <f t="shared" si="7"/>
        <v>41.784654737263757</v>
      </c>
      <c r="N43" s="106">
        <f t="shared" si="7"/>
        <v>-17.720360841785315</v>
      </c>
      <c r="S43"/>
    </row>
    <row r="44" spans="2:22" x14ac:dyDescent="0.2">
      <c r="B44" s="109"/>
      <c r="C44" s="106"/>
    </row>
    <row r="45" spans="2:22" x14ac:dyDescent="0.2">
      <c r="B45"/>
      <c r="C45"/>
      <c r="D45"/>
      <c r="E45"/>
      <c r="F45"/>
      <c r="G45"/>
      <c r="H45"/>
      <c r="I45"/>
      <c r="J45"/>
      <c r="K45"/>
      <c r="L45"/>
      <c r="M45"/>
      <c r="N45"/>
    </row>
    <row r="46" spans="2:22" x14ac:dyDescent="0.2">
      <c r="B46"/>
      <c r="C46"/>
      <c r="D46" t="s">
        <v>40</v>
      </c>
      <c r="E46"/>
      <c r="F46"/>
      <c r="G46" s="200" t="s">
        <v>243</v>
      </c>
      <c r="I46"/>
      <c r="J46" s="200" t="s">
        <v>65</v>
      </c>
      <c r="L46"/>
      <c r="M46" s="200" t="s">
        <v>66</v>
      </c>
      <c r="O46" s="111"/>
      <c r="P46" s="111"/>
      <c r="Q46" s="111"/>
      <c r="R46" s="111"/>
      <c r="S46" s="112"/>
      <c r="T46" s="112"/>
      <c r="U46" s="112"/>
      <c r="V46" s="112"/>
    </row>
    <row r="47" spans="2:22" x14ac:dyDescent="0.2">
      <c r="B47" t="s">
        <v>36</v>
      </c>
      <c r="C47"/>
      <c r="D47" s="16">
        <f>'OFPC Source'!$AN$19</f>
        <v>0.18722294654498045</v>
      </c>
      <c r="E47" s="16"/>
      <c r="F47" s="287"/>
      <c r="G47" s="16">
        <v>0.19886230016189044</v>
      </c>
      <c r="H47" s="16"/>
      <c r="I47" s="287"/>
      <c r="J47" s="16">
        <v>0.36001658513979329</v>
      </c>
      <c r="K47" s="16"/>
      <c r="L47"/>
      <c r="M47" s="16">
        <v>0.38037927605989785</v>
      </c>
      <c r="N47" s="41"/>
    </row>
    <row r="48" spans="2:22" x14ac:dyDescent="0.2">
      <c r="B48" t="s">
        <v>37</v>
      </c>
      <c r="C48"/>
      <c r="D48" s="16">
        <f>'OFPC Source'!$AN$20</f>
        <v>0.3732290308561495</v>
      </c>
      <c r="E48" s="16"/>
      <c r="F48" s="287"/>
      <c r="G48" s="16">
        <v>0.44814106024756695</v>
      </c>
      <c r="H48" s="16"/>
      <c r="I48" s="287"/>
      <c r="J48" s="16">
        <v>0.49396472839036881</v>
      </c>
      <c r="K48" s="16"/>
      <c r="L48"/>
      <c r="M48" s="16">
        <v>0.45814423590236047</v>
      </c>
      <c r="N48" s="41"/>
    </row>
    <row r="49" spans="2:15" x14ac:dyDescent="0.2">
      <c r="B49" t="s">
        <v>38</v>
      </c>
      <c r="C49"/>
      <c r="D49" s="16">
        <f>'OFPC Source'!$AN$21</f>
        <v>0.1468057366362451</v>
      </c>
      <c r="E49" s="16"/>
      <c r="F49" s="287"/>
      <c r="G49" s="16">
        <v>8.1914501475968543E-2</v>
      </c>
      <c r="H49" s="16"/>
      <c r="I49" s="287"/>
      <c r="J49" s="16">
        <v>6.267602211815558E-2</v>
      </c>
      <c r="K49" s="16"/>
      <c r="L49"/>
      <c r="M49" s="16">
        <v>7.9016780147327589E-2</v>
      </c>
      <c r="N49" s="41"/>
    </row>
    <row r="50" spans="2:15" x14ac:dyDescent="0.2">
      <c r="B50" t="s">
        <v>39</v>
      </c>
      <c r="C50"/>
      <c r="D50" s="16">
        <f>'OFPC Source'!$AN$22</f>
        <v>0.29274228596262497</v>
      </c>
      <c r="E50" s="16"/>
      <c r="F50" s="287"/>
      <c r="G50" s="16">
        <v>0.27108213811457404</v>
      </c>
      <c r="H50" s="287"/>
      <c r="I50" s="287"/>
      <c r="J50" s="16">
        <v>8.3342664351682402E-2</v>
      </c>
      <c r="K50" s="287"/>
      <c r="L50"/>
      <c r="M50" s="16">
        <v>8.2459707890413972E-2</v>
      </c>
      <c r="N50"/>
    </row>
    <row r="51" spans="2:15" x14ac:dyDescent="0.2">
      <c r="B51"/>
      <c r="C51"/>
      <c r="D51"/>
      <c r="E51"/>
      <c r="F51"/>
      <c r="G51"/>
      <c r="H51"/>
      <c r="I51"/>
      <c r="J51"/>
      <c r="K51"/>
      <c r="L51"/>
      <c r="M51"/>
      <c r="N51"/>
    </row>
    <row r="52" spans="2:15" x14ac:dyDescent="0.2">
      <c r="D52" s="40">
        <f>SUM(D47:D50)-1</f>
        <v>0</v>
      </c>
      <c r="G52" s="40">
        <f>SUM(G47:G50)-1</f>
        <v>0</v>
      </c>
      <c r="J52" s="40">
        <f>SUM(J47:J50)-1</f>
        <v>0</v>
      </c>
      <c r="M52" s="40">
        <f>SUM(M47:M50)-1</f>
        <v>0</v>
      </c>
    </row>
    <row r="53" spans="2:15" x14ac:dyDescent="0.2">
      <c r="F53" s="113"/>
      <c r="I53" s="113"/>
      <c r="J53" s="113"/>
      <c r="K53" s="113"/>
      <c r="L53" s="113"/>
    </row>
    <row r="54" spans="2:15" x14ac:dyDescent="0.2">
      <c r="B54"/>
      <c r="C54"/>
      <c r="D54"/>
      <c r="E54"/>
      <c r="F54"/>
      <c r="G54"/>
      <c r="H54"/>
      <c r="I54"/>
      <c r="J54"/>
    </row>
    <row r="55" spans="2:15" s="99" customFormat="1" x14ac:dyDescent="0.2">
      <c r="B55"/>
      <c r="C55"/>
      <c r="D55"/>
      <c r="E55"/>
      <c r="F55"/>
      <c r="G55" s="200"/>
      <c r="H55" s="40"/>
      <c r="I55"/>
      <c r="J55" s="200"/>
      <c r="K55" s="40"/>
      <c r="L55"/>
      <c r="M55" s="200"/>
      <c r="N55" s="40"/>
      <c r="O55" s="111"/>
    </row>
    <row r="56" spans="2:15" x14ac:dyDescent="0.2">
      <c r="B56"/>
      <c r="C56"/>
      <c r="D56" s="41"/>
      <c r="E56" s="41"/>
      <c r="F56"/>
      <c r="G56" s="41"/>
      <c r="H56" s="41"/>
      <c r="I56"/>
      <c r="J56" s="41"/>
      <c r="K56" s="41"/>
      <c r="L56"/>
      <c r="M56" s="41"/>
      <c r="N56" s="41"/>
    </row>
    <row r="57" spans="2:15" x14ac:dyDescent="0.2">
      <c r="B57"/>
      <c r="C57"/>
      <c r="D57" s="41"/>
      <c r="E57" s="41"/>
      <c r="F57"/>
      <c r="G57" s="41"/>
      <c r="H57" s="41"/>
      <c r="I57"/>
      <c r="J57" s="41"/>
      <c r="K57" s="41"/>
      <c r="L57"/>
      <c r="M57" s="41"/>
      <c r="N57" s="41"/>
    </row>
    <row r="58" spans="2:15" x14ac:dyDescent="0.2">
      <c r="B58"/>
      <c r="C58"/>
      <c r="D58" s="41"/>
      <c r="E58" s="41"/>
      <c r="F58"/>
      <c r="G58" s="41"/>
      <c r="H58" s="41"/>
      <c r="I58"/>
      <c r="J58" s="41"/>
      <c r="K58" s="41"/>
      <c r="L58"/>
      <c r="M58" s="41"/>
      <c r="N58" s="41"/>
    </row>
    <row r="59" spans="2:15" ht="24.75" customHeight="1" x14ac:dyDescent="0.2">
      <c r="B59"/>
      <c r="C59"/>
      <c r="D59" s="41"/>
      <c r="E59" s="41"/>
      <c r="F59"/>
      <c r="G59" s="41"/>
      <c r="H59"/>
      <c r="I59"/>
      <c r="J59" s="41"/>
      <c r="K59"/>
      <c r="L59"/>
      <c r="M59" s="41"/>
      <c r="N59"/>
    </row>
    <row r="60" spans="2:15" x14ac:dyDescent="0.2">
      <c r="B60"/>
      <c r="C60"/>
      <c r="D60"/>
      <c r="E60"/>
      <c r="F60"/>
      <c r="G60"/>
      <c r="H60"/>
      <c r="I60"/>
      <c r="J60"/>
    </row>
  </sheetData>
  <phoneticPr fontId="13" type="noConversion"/>
  <printOptions horizontalCentered="1"/>
  <pageMargins left="0.25" right="0.25" top="0.75" bottom="0.75" header="0.3" footer="0.3"/>
  <pageSetup scale="74" orientation="landscape" r:id="rId1"/>
  <headerFooter alignWithMargins="0">
    <oddFooter xml:space="preserve">&amp;C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B1:D36"/>
  <sheetViews>
    <sheetView view="pageLayout" zoomScaleNormal="100" zoomScaleSheetLayoutView="80" workbookViewId="0">
      <selection activeCell="C28" sqref="C28"/>
    </sheetView>
  </sheetViews>
  <sheetFormatPr defaultColWidth="9.33203125" defaultRowHeight="12.75" x14ac:dyDescent="0.2"/>
  <cols>
    <col min="1" max="1" width="2" style="15" customWidth="1"/>
    <col min="2" max="2" width="24.5" style="15" customWidth="1"/>
    <col min="3" max="4" width="19.6640625" style="15" customWidth="1"/>
    <col min="5" max="5" width="2.1640625" style="15" customWidth="1"/>
    <col min="6" max="16384" width="9.33203125" style="15"/>
  </cols>
  <sheetData>
    <row r="1" spans="2:4" ht="15.75" x14ac:dyDescent="0.25">
      <c r="B1" s="7" t="s">
        <v>82</v>
      </c>
      <c r="C1" s="10"/>
      <c r="D1" s="10"/>
    </row>
    <row r="2" spans="2:4" ht="15.75" x14ac:dyDescent="0.25">
      <c r="B2" s="7" t="s">
        <v>13</v>
      </c>
      <c r="C2" s="10"/>
      <c r="D2" s="10"/>
    </row>
    <row r="3" spans="2:4" ht="15.75" x14ac:dyDescent="0.25">
      <c r="B3" s="7" t="s">
        <v>6</v>
      </c>
      <c r="C3" s="17"/>
      <c r="D3" s="17"/>
    </row>
    <row r="4" spans="2:4" ht="15.75" x14ac:dyDescent="0.25">
      <c r="B4" s="123"/>
      <c r="C4" s="17"/>
      <c r="D4" s="23"/>
    </row>
    <row r="5" spans="2:4" x14ac:dyDescent="0.2">
      <c r="B5" s="8"/>
      <c r="C5" s="8"/>
      <c r="D5" s="8"/>
    </row>
    <row r="6" spans="2:4" x14ac:dyDescent="0.2">
      <c r="B6" s="12" t="s">
        <v>0</v>
      </c>
      <c r="C6" s="12" t="str">
        <f>'OFPC Source'!D263</f>
        <v>West Side</v>
      </c>
      <c r="D6" s="12" t="str">
        <f>'OFPC Source'!C263</f>
        <v>East Side</v>
      </c>
    </row>
    <row r="7" spans="2:4" x14ac:dyDescent="0.2">
      <c r="B7" s="18"/>
      <c r="C7" s="13"/>
      <c r="D7" s="13"/>
    </row>
    <row r="8" spans="2:4" x14ac:dyDescent="0.2">
      <c r="C8" s="23" t="s">
        <v>1</v>
      </c>
      <c r="D8" s="23" t="s">
        <v>2</v>
      </c>
    </row>
    <row r="9" spans="2:4" x14ac:dyDescent="0.2">
      <c r="C9" s="19"/>
      <c r="D9" s="19"/>
    </row>
    <row r="10" spans="2:4" x14ac:dyDescent="0.2">
      <c r="B10" s="20">
        <v>2025</v>
      </c>
      <c r="C10" s="21">
        <f>VLOOKUP(B10,'OFPC Source'!$G$8:$J$33,3,FALSE)</f>
        <v>3.07</v>
      </c>
      <c r="D10" s="21">
        <f>VLOOKUP(B10,'OFPC Source'!$G$8:$H$30,2,FALSE)</f>
        <v>3.61</v>
      </c>
    </row>
    <row r="11" spans="2:4" x14ac:dyDescent="0.2">
      <c r="B11" s="20">
        <f t="shared" ref="B11:B30" si="0">B10+1</f>
        <v>2026</v>
      </c>
      <c r="C11" s="21">
        <f>VLOOKUP(B11,'OFPC Source'!$G$8:$J$33,3,FALSE)</f>
        <v>3.76</v>
      </c>
      <c r="D11" s="21">
        <f>VLOOKUP(B11,'OFPC Source'!$G$8:$H$30,2,FALSE)</f>
        <v>4.21</v>
      </c>
    </row>
    <row r="12" spans="2:4" x14ac:dyDescent="0.2">
      <c r="B12" s="20">
        <f t="shared" si="0"/>
        <v>2027</v>
      </c>
      <c r="C12" s="21">
        <f>VLOOKUP(B12,'OFPC Source'!$G$8:$J$33,3,FALSE)</f>
        <v>3.56</v>
      </c>
      <c r="D12" s="21">
        <f>VLOOKUP(B12,'OFPC Source'!$G$8:$H$30,2,FALSE)</f>
        <v>3.8</v>
      </c>
    </row>
    <row r="13" spans="2:4" x14ac:dyDescent="0.2">
      <c r="B13" s="20">
        <f t="shared" si="0"/>
        <v>2028</v>
      </c>
      <c r="C13" s="21">
        <f>VLOOKUP(B13,'OFPC Source'!$G$8:$J$33,3,FALSE)</f>
        <v>4.34</v>
      </c>
      <c r="D13" s="21">
        <f>VLOOKUP(B13,'OFPC Source'!$G$8:$H$30,2,FALSE)</f>
        <v>4.53</v>
      </c>
    </row>
    <row r="14" spans="2:4" x14ac:dyDescent="0.2">
      <c r="B14" s="20">
        <f t="shared" si="0"/>
        <v>2029</v>
      </c>
      <c r="C14" s="21">
        <f>VLOOKUP(B14,'OFPC Source'!$G$8:$J$33,3,FALSE)</f>
        <v>5.5</v>
      </c>
      <c r="D14" s="21">
        <f>VLOOKUP(B14,'OFPC Source'!$G$8:$H$30,2,FALSE)</f>
        <v>5.71</v>
      </c>
    </row>
    <row r="15" spans="2:4" x14ac:dyDescent="0.2">
      <c r="B15" s="20">
        <f t="shared" si="0"/>
        <v>2030</v>
      </c>
      <c r="C15" s="21">
        <f>VLOOKUP(B15,'OFPC Source'!$G$8:$J$33,3,FALSE)</f>
        <v>5.75</v>
      </c>
      <c r="D15" s="21">
        <f>VLOOKUP(B15,'OFPC Source'!$G$8:$H$30,2,FALSE)</f>
        <v>5.99</v>
      </c>
    </row>
    <row r="16" spans="2:4" x14ac:dyDescent="0.2">
      <c r="B16" s="20">
        <f t="shared" si="0"/>
        <v>2031</v>
      </c>
      <c r="C16" s="21">
        <f>VLOOKUP(B16,'OFPC Source'!$G$8:$J$33,3,FALSE)</f>
        <v>5.71</v>
      </c>
      <c r="D16" s="21">
        <f>VLOOKUP(B16,'OFPC Source'!$G$8:$H$30,2,FALSE)</f>
        <v>5.93</v>
      </c>
    </row>
    <row r="17" spans="2:4" x14ac:dyDescent="0.2">
      <c r="B17" s="20">
        <f t="shared" si="0"/>
        <v>2032</v>
      </c>
      <c r="C17" s="21">
        <f>VLOOKUP(B17,'OFPC Source'!$G$8:$J$33,3,FALSE)</f>
        <v>5.64</v>
      </c>
      <c r="D17" s="21">
        <f>VLOOKUP(B17,'OFPC Source'!$G$8:$H$30,2,FALSE)</f>
        <v>5.87</v>
      </c>
    </row>
    <row r="18" spans="2:4" x14ac:dyDescent="0.2">
      <c r="B18" s="20">
        <f t="shared" si="0"/>
        <v>2033</v>
      </c>
      <c r="C18" s="21">
        <f>VLOOKUP(B18,'OFPC Source'!$G$8:$J$33,3,FALSE)</f>
        <v>5.77</v>
      </c>
      <c r="D18" s="21">
        <f>VLOOKUP(B18,'OFPC Source'!$G$8:$H$30,2,FALSE)</f>
        <v>6</v>
      </c>
    </row>
    <row r="19" spans="2:4" x14ac:dyDescent="0.2">
      <c r="B19" s="20">
        <f t="shared" si="0"/>
        <v>2034</v>
      </c>
      <c r="C19" s="21">
        <f>VLOOKUP(B19,'OFPC Source'!$G$8:$J$33,3,FALSE)</f>
        <v>5.83</v>
      </c>
      <c r="D19" s="21">
        <f>VLOOKUP(B19,'OFPC Source'!$G$8:$H$30,2,FALSE)</f>
        <v>6.07</v>
      </c>
    </row>
    <row r="20" spans="2:4" x14ac:dyDescent="0.2">
      <c r="B20" s="20">
        <f t="shared" si="0"/>
        <v>2035</v>
      </c>
      <c r="C20" s="21">
        <f>VLOOKUP(B20,'OFPC Source'!$G$8:$J$33,3,FALSE)</f>
        <v>5.99</v>
      </c>
      <c r="D20" s="21">
        <f>VLOOKUP(B20,'OFPC Source'!$G$8:$H$30,2,FALSE)</f>
        <v>6.24</v>
      </c>
    </row>
    <row r="21" spans="2:4" x14ac:dyDescent="0.2">
      <c r="B21" s="20">
        <f t="shared" si="0"/>
        <v>2036</v>
      </c>
      <c r="C21" s="21">
        <f>VLOOKUP(B21,'OFPC Source'!$G$8:$J$33,3,FALSE)</f>
        <v>6.15</v>
      </c>
      <c r="D21" s="21">
        <f>VLOOKUP(B21,'OFPC Source'!$G$8:$H$30,2,FALSE)</f>
        <v>6.4</v>
      </c>
    </row>
    <row r="22" spans="2:4" x14ac:dyDescent="0.2">
      <c r="B22" s="20">
        <f t="shared" si="0"/>
        <v>2037</v>
      </c>
      <c r="C22" s="21">
        <f>VLOOKUP(B22,'OFPC Source'!$G$8:$J$33,3,FALSE)</f>
        <v>6.34</v>
      </c>
      <c r="D22" s="21">
        <f>VLOOKUP(B22,'OFPC Source'!$G$8:$H$30,2,FALSE)</f>
        <v>6.61</v>
      </c>
    </row>
    <row r="23" spans="2:4" x14ac:dyDescent="0.2">
      <c r="B23" s="20">
        <f t="shared" si="0"/>
        <v>2038</v>
      </c>
      <c r="C23" s="21">
        <f>VLOOKUP(B23,'OFPC Source'!$G$8:$J$33,3,FALSE)</f>
        <v>6.59</v>
      </c>
      <c r="D23" s="21">
        <f>VLOOKUP(B23,'OFPC Source'!$G$8:$H$30,2,FALSE)</f>
        <v>6.89</v>
      </c>
    </row>
    <row r="24" spans="2:4" x14ac:dyDescent="0.2">
      <c r="B24" s="20">
        <f t="shared" si="0"/>
        <v>2039</v>
      </c>
      <c r="C24" s="21">
        <f>VLOOKUP(B24,'OFPC Source'!$G$8:$J$33,3,FALSE)</f>
        <v>6.83</v>
      </c>
      <c r="D24" s="21">
        <f>VLOOKUP(B24,'OFPC Source'!$G$8:$H$30,2,FALSE)</f>
        <v>7.16</v>
      </c>
    </row>
    <row r="25" spans="2:4" x14ac:dyDescent="0.2">
      <c r="B25" s="20">
        <f t="shared" si="0"/>
        <v>2040</v>
      </c>
      <c r="C25" s="21">
        <f>VLOOKUP(B25,'OFPC Source'!$G$8:$J$33,3,FALSE)</f>
        <v>7.06</v>
      </c>
      <c r="D25" s="21">
        <f>VLOOKUP(B25,'OFPC Source'!$G$8:$H$30,2,FALSE)</f>
        <v>7.44</v>
      </c>
    </row>
    <row r="26" spans="2:4" x14ac:dyDescent="0.2">
      <c r="B26" s="20">
        <f t="shared" si="0"/>
        <v>2041</v>
      </c>
      <c r="C26" s="21">
        <f>VLOOKUP(B26,'OFPC Source'!$G$8:$J$33,3,FALSE)</f>
        <v>7.37</v>
      </c>
      <c r="D26" s="21">
        <f>VLOOKUP(B26,'OFPC Source'!$G$8:$H$30,2,FALSE)</f>
        <v>7.8</v>
      </c>
    </row>
    <row r="27" spans="2:4" x14ac:dyDescent="0.2">
      <c r="B27" s="20">
        <f t="shared" si="0"/>
        <v>2042</v>
      </c>
      <c r="C27" s="21">
        <f>VLOOKUP(B27,'OFPC Source'!$G$8:$J$33,3,FALSE)</f>
        <v>7.68</v>
      </c>
      <c r="D27" s="21">
        <f>VLOOKUP(B27,'OFPC Source'!$G$8:$H$30,2,FALSE)</f>
        <v>8.15</v>
      </c>
    </row>
    <row r="28" spans="2:4" x14ac:dyDescent="0.2">
      <c r="B28" s="20">
        <f t="shared" si="0"/>
        <v>2043</v>
      </c>
      <c r="C28" s="21">
        <f>VLOOKUP(B28,'OFPC Source'!$G$8:$J$33,3,FALSE)</f>
        <v>8.0500000000000007</v>
      </c>
      <c r="D28" s="21">
        <f>VLOOKUP(B28,'OFPC Source'!$G$8:$H$30,2,FALSE)</f>
        <v>8.5399999999999991</v>
      </c>
    </row>
    <row r="29" spans="2:4" x14ac:dyDescent="0.2">
      <c r="B29" s="20">
        <f t="shared" si="0"/>
        <v>2044</v>
      </c>
      <c r="C29" s="21">
        <f>VLOOKUP(B29,'OFPC Source'!$G$8:$J$33,3,FALSE)</f>
        <v>8.32</v>
      </c>
      <c r="D29" s="21">
        <f>VLOOKUP(B29,'OFPC Source'!$G$8:$H$30,2,FALSE)</f>
        <v>8.84</v>
      </c>
    </row>
    <row r="30" spans="2:4" x14ac:dyDescent="0.2">
      <c r="B30" s="20">
        <f t="shared" si="0"/>
        <v>2045</v>
      </c>
      <c r="C30" s="21">
        <f>VLOOKUP(B30,'OFPC Source'!$G$8:$J$45,3,FALSE)</f>
        <v>8.74</v>
      </c>
      <c r="D30" s="21">
        <f>VLOOKUP(B30,'OFPC Source'!$G$8:$H$30,2,FALSE)</f>
        <v>9.2899999999999991</v>
      </c>
    </row>
    <row r="31" spans="2:4" x14ac:dyDescent="0.2">
      <c r="B31" s="14" t="s">
        <v>12</v>
      </c>
    </row>
    <row r="32" spans="2:4" ht="12.75" customHeight="1" x14ac:dyDescent="0.2">
      <c r="B32" s="125" t="str">
        <f>"Official Forward Price Curve dated "&amp;TEXT('OFPC Source'!C4,"mmmm dd yyyy")</f>
        <v>Official Forward Price Curve dated March 31 2025</v>
      </c>
      <c r="C32" s="125"/>
      <c r="D32" s="17"/>
    </row>
    <row r="34" spans="4:4" x14ac:dyDescent="0.2">
      <c r="D34" s="16"/>
    </row>
    <row r="35" spans="4:4" x14ac:dyDescent="0.2">
      <c r="D35" s="124"/>
    </row>
    <row r="36" spans="4:4" x14ac:dyDescent="0.2">
      <c r="D36" s="16"/>
    </row>
  </sheetData>
  <phoneticPr fontId="13" type="noConversion"/>
  <printOptions horizontalCentered="1"/>
  <pageMargins left="0.25" right="0.25" top="0.75" bottom="0.75" header="0.3" footer="0.3"/>
  <pageSetup orientation="portrait" r:id="rId1"/>
  <headerFooter alignWithMargins="0">
    <oddFooter xml:space="preserve">&amp;C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/>
  <dimension ref="B1:F50"/>
  <sheetViews>
    <sheetView view="pageLayout" topLeftCell="A17" zoomScaleNormal="90" zoomScaleSheetLayoutView="70" workbookViewId="0">
      <selection activeCell="C28" sqref="C28"/>
    </sheetView>
  </sheetViews>
  <sheetFormatPr defaultColWidth="8.83203125" defaultRowHeight="12.75" x14ac:dyDescent="0.2"/>
  <cols>
    <col min="1" max="1" width="2.1640625" style="15" customWidth="1"/>
    <col min="2" max="2" width="22" style="15" customWidth="1"/>
    <col min="3" max="3" width="21.33203125" style="15" bestFit="1" customWidth="1"/>
    <col min="4" max="4" width="16.33203125" style="15" customWidth="1"/>
    <col min="5" max="5" width="21.33203125" style="15" bestFit="1" customWidth="1"/>
    <col min="6" max="6" width="16.33203125" style="15" customWidth="1"/>
    <col min="7" max="7" width="2.1640625" style="15" customWidth="1"/>
    <col min="8" max="8" width="10" style="15" customWidth="1"/>
    <col min="9" max="16384" width="8.83203125" style="15"/>
  </cols>
  <sheetData>
    <row r="1" spans="2:6" ht="15.75" x14ac:dyDescent="0.25">
      <c r="B1" s="7" t="s">
        <v>67</v>
      </c>
      <c r="C1" s="10"/>
      <c r="D1" s="10"/>
      <c r="E1" s="10"/>
      <c r="F1" s="10"/>
    </row>
    <row r="2" spans="2:6" ht="15.75" x14ac:dyDescent="0.25">
      <c r="B2" s="7" t="s">
        <v>21</v>
      </c>
      <c r="C2" s="10"/>
      <c r="D2" s="10"/>
      <c r="E2" s="10"/>
      <c r="F2" s="10"/>
    </row>
    <row r="3" spans="2:6" ht="15.75" x14ac:dyDescent="0.25">
      <c r="B3" s="7" t="s">
        <v>5</v>
      </c>
      <c r="C3" s="17"/>
      <c r="D3" s="17"/>
      <c r="E3" s="17"/>
      <c r="F3" s="17"/>
    </row>
    <row r="4" spans="2:6" ht="15.75" x14ac:dyDescent="0.25">
      <c r="B4" s="7"/>
      <c r="C4" s="17"/>
      <c r="D4" s="17"/>
      <c r="E4" s="17"/>
      <c r="F4" s="17"/>
    </row>
    <row r="5" spans="2:6" x14ac:dyDescent="0.2">
      <c r="B5" s="8"/>
      <c r="C5" s="11" t="s">
        <v>16</v>
      </c>
      <c r="D5" s="11"/>
      <c r="E5" s="11"/>
      <c r="F5" s="11"/>
    </row>
    <row r="6" spans="2:6" x14ac:dyDescent="0.2">
      <c r="B6" s="12" t="s">
        <v>0</v>
      </c>
      <c r="C6" s="11" t="s">
        <v>17</v>
      </c>
      <c r="D6" s="11"/>
      <c r="E6" s="11" t="s">
        <v>18</v>
      </c>
      <c r="F6" s="11"/>
    </row>
    <row r="7" spans="2:6" x14ac:dyDescent="0.2">
      <c r="B7" s="18"/>
      <c r="C7" s="11" t="s">
        <v>19</v>
      </c>
      <c r="D7" s="11" t="s">
        <v>20</v>
      </c>
      <c r="E7" s="11" t="s">
        <v>19</v>
      </c>
      <c r="F7" s="11" t="s">
        <v>20</v>
      </c>
    </row>
    <row r="8" spans="2:6" x14ac:dyDescent="0.2">
      <c r="C8" s="9" t="s">
        <v>1</v>
      </c>
      <c r="D8" s="9" t="s">
        <v>2</v>
      </c>
      <c r="E8" s="9" t="s">
        <v>3</v>
      </c>
      <c r="F8" s="9" t="s">
        <v>4</v>
      </c>
    </row>
    <row r="9" spans="2:6" x14ac:dyDescent="0.2">
      <c r="C9" s="19"/>
      <c r="D9" s="19"/>
      <c r="E9" s="19"/>
      <c r="F9" s="19"/>
    </row>
    <row r="10" spans="2:6" x14ac:dyDescent="0.2">
      <c r="B10" s="20">
        <v>2025</v>
      </c>
      <c r="C10" s="21">
        <f>VLOOKUP($B10,'OFPC Source'!$W$8:$AA$34,2,FALSE)</f>
        <v>53.99</v>
      </c>
      <c r="D10" s="21">
        <f>VLOOKUP($B10,'OFPC Source'!$W$8:$AA$34,3,FALSE)</f>
        <v>49.04</v>
      </c>
      <c r="E10" s="21">
        <f>VLOOKUP($B10,'OFPC Source'!$W$8:$AA$34,4,FALSE)</f>
        <v>43.21</v>
      </c>
      <c r="F10" s="21">
        <f>VLOOKUP($B10,'OFPC Source'!$W$8:$AA$34,5,FALSE)</f>
        <v>44.51</v>
      </c>
    </row>
    <row r="11" spans="2:6" x14ac:dyDescent="0.2">
      <c r="B11" s="20">
        <f t="shared" ref="B11:B30" si="0">B10+1</f>
        <v>2026</v>
      </c>
      <c r="C11" s="21">
        <f>VLOOKUP($B11,'OFPC Source'!$W$8:$AA$34,2,FALSE)</f>
        <v>64.180000000000007</v>
      </c>
      <c r="D11" s="21">
        <f>VLOOKUP($B11,'OFPC Source'!$W$8:$AA$34,3,FALSE)</f>
        <v>53.24</v>
      </c>
      <c r="E11" s="21">
        <f>VLOOKUP($B11,'OFPC Source'!$W$8:$AA$34,4,FALSE)</f>
        <v>52.2</v>
      </c>
      <c r="F11" s="21">
        <f>VLOOKUP($B11,'OFPC Source'!$W$8:$AA$34,5,FALSE)</f>
        <v>52.93</v>
      </c>
    </row>
    <row r="12" spans="2:6" x14ac:dyDescent="0.2">
      <c r="B12" s="20">
        <f t="shared" si="0"/>
        <v>2027</v>
      </c>
      <c r="C12" s="21">
        <f>VLOOKUP($B12,'OFPC Source'!$W$8:$AA$34,2,FALSE)</f>
        <v>62.83</v>
      </c>
      <c r="D12" s="21">
        <f>VLOOKUP($B12,'OFPC Source'!$W$8:$AA$34,3,FALSE)</f>
        <v>51.16</v>
      </c>
      <c r="E12" s="21">
        <f>VLOOKUP($B12,'OFPC Source'!$W$8:$AA$34,4,FALSE)</f>
        <v>53.16</v>
      </c>
      <c r="F12" s="21">
        <f>VLOOKUP($B12,'OFPC Source'!$W$8:$AA$34,5,FALSE)</f>
        <v>53.26</v>
      </c>
    </row>
    <row r="13" spans="2:6" x14ac:dyDescent="0.2">
      <c r="B13" s="20">
        <f t="shared" si="0"/>
        <v>2028</v>
      </c>
      <c r="C13" s="21">
        <f>VLOOKUP($B13,'OFPC Source'!$W$8:$AA$34,2,FALSE)</f>
        <v>60.43</v>
      </c>
      <c r="D13" s="21">
        <f>VLOOKUP($B13,'OFPC Source'!$W$8:$AA$34,3,FALSE)</f>
        <v>51.24</v>
      </c>
      <c r="E13" s="21">
        <f>VLOOKUP($B13,'OFPC Source'!$W$8:$AA$34,4,FALSE)</f>
        <v>55.94</v>
      </c>
      <c r="F13" s="21">
        <f>VLOOKUP($B13,'OFPC Source'!$W$8:$AA$34,5,FALSE)</f>
        <v>54.97</v>
      </c>
    </row>
    <row r="14" spans="2:6" x14ac:dyDescent="0.2">
      <c r="B14" s="20">
        <f t="shared" si="0"/>
        <v>2029</v>
      </c>
      <c r="C14" s="21">
        <f>VLOOKUP($B14,'OFPC Source'!$W$8:$AA$34,2,FALSE)</f>
        <v>59.4</v>
      </c>
      <c r="D14" s="21">
        <f>VLOOKUP($B14,'OFPC Source'!$W$8:$AA$34,3,FALSE)</f>
        <v>56.03</v>
      </c>
      <c r="E14" s="21">
        <f>VLOOKUP($B14,'OFPC Source'!$W$8:$AA$34,4,FALSE)</f>
        <v>58.53</v>
      </c>
      <c r="F14" s="21">
        <f>VLOOKUP($B14,'OFPC Source'!$W$8:$AA$34,5,FALSE)</f>
        <v>58.93</v>
      </c>
    </row>
    <row r="15" spans="2:6" x14ac:dyDescent="0.2">
      <c r="B15" s="20">
        <f t="shared" si="0"/>
        <v>2030</v>
      </c>
      <c r="C15" s="21">
        <f>VLOOKUP($B15,'OFPC Source'!$W$8:$AA$34,2,FALSE)</f>
        <v>59.62</v>
      </c>
      <c r="D15" s="21">
        <f>VLOOKUP($B15,'OFPC Source'!$W$8:$AA$34,3,FALSE)</f>
        <v>57.42</v>
      </c>
      <c r="E15" s="21">
        <f>VLOOKUP($B15,'OFPC Source'!$W$8:$AA$34,4,FALSE)</f>
        <v>57.74</v>
      </c>
      <c r="F15" s="21">
        <f>VLOOKUP($B15,'OFPC Source'!$W$8:$AA$34,5,FALSE)</f>
        <v>58.29</v>
      </c>
    </row>
    <row r="16" spans="2:6" x14ac:dyDescent="0.2">
      <c r="B16" s="20">
        <f t="shared" si="0"/>
        <v>2031</v>
      </c>
      <c r="C16" s="21">
        <f>VLOOKUP($B16,'OFPC Source'!$W$8:$AA$34,2,FALSE)</f>
        <v>60.8</v>
      </c>
      <c r="D16" s="21">
        <f>VLOOKUP($B16,'OFPC Source'!$W$8:$AA$34,3,FALSE)</f>
        <v>56.4</v>
      </c>
      <c r="E16" s="21">
        <f>VLOOKUP($B16,'OFPC Source'!$W$8:$AA$34,4,FALSE)</f>
        <v>59.3</v>
      </c>
      <c r="F16" s="21">
        <f>VLOOKUP($B16,'OFPC Source'!$W$8:$AA$34,5,FALSE)</f>
        <v>57.64</v>
      </c>
    </row>
    <row r="17" spans="2:6" x14ac:dyDescent="0.2">
      <c r="B17" s="20">
        <f t="shared" si="0"/>
        <v>2032</v>
      </c>
      <c r="C17" s="21">
        <f>VLOOKUP($B17,'OFPC Source'!$W$8:$AA$34,2,FALSE)</f>
        <v>59.12</v>
      </c>
      <c r="D17" s="21">
        <f>VLOOKUP($B17,'OFPC Source'!$W$8:$AA$34,3,FALSE)</f>
        <v>54.52</v>
      </c>
      <c r="E17" s="21">
        <f>VLOOKUP($B17,'OFPC Source'!$W$8:$AA$34,4,FALSE)</f>
        <v>58.38</v>
      </c>
      <c r="F17" s="21">
        <f>VLOOKUP($B17,'OFPC Source'!$W$8:$AA$34,5,FALSE)</f>
        <v>57.19</v>
      </c>
    </row>
    <row r="18" spans="2:6" x14ac:dyDescent="0.2">
      <c r="B18" s="20">
        <f t="shared" si="0"/>
        <v>2033</v>
      </c>
      <c r="C18" s="21">
        <f>VLOOKUP($B18,'OFPC Source'!$W$8:$AA$34,2,FALSE)</f>
        <v>54.31</v>
      </c>
      <c r="D18" s="21">
        <f>VLOOKUP($B18,'OFPC Source'!$W$8:$AA$34,3,FALSE)</f>
        <v>49.5</v>
      </c>
      <c r="E18" s="21">
        <f>VLOOKUP($B18,'OFPC Source'!$W$8:$AA$34,4,FALSE)</f>
        <v>54.23</v>
      </c>
      <c r="F18" s="21">
        <f>VLOOKUP($B18,'OFPC Source'!$W$8:$AA$34,5,FALSE)</f>
        <v>53.85</v>
      </c>
    </row>
    <row r="19" spans="2:6" x14ac:dyDescent="0.2">
      <c r="B19" s="20">
        <f t="shared" si="0"/>
        <v>2034</v>
      </c>
      <c r="C19" s="21">
        <f>VLOOKUP($B19,'OFPC Source'!$W$8:$AA$34,2,FALSE)</f>
        <v>55.38</v>
      </c>
      <c r="D19" s="21">
        <f>VLOOKUP($B19,'OFPC Source'!$W$8:$AA$34,3,FALSE)</f>
        <v>49.08</v>
      </c>
      <c r="E19" s="21">
        <f>VLOOKUP($B19,'OFPC Source'!$W$8:$AA$34,4,FALSE)</f>
        <v>55.11</v>
      </c>
      <c r="F19" s="21">
        <f>VLOOKUP($B19,'OFPC Source'!$W$8:$AA$34,5,FALSE)</f>
        <v>53.65</v>
      </c>
    </row>
    <row r="20" spans="2:6" x14ac:dyDescent="0.2">
      <c r="B20" s="20">
        <f t="shared" si="0"/>
        <v>2035</v>
      </c>
      <c r="C20" s="21">
        <f>VLOOKUP($B20,'OFPC Source'!$W$8:$AA$34,2,FALSE)</f>
        <v>53.04</v>
      </c>
      <c r="D20" s="21">
        <f>VLOOKUP($B20,'OFPC Source'!$W$8:$AA$34,3,FALSE)</f>
        <v>47.36</v>
      </c>
      <c r="E20" s="21">
        <f>VLOOKUP($B20,'OFPC Source'!$W$8:$AA$34,4,FALSE)</f>
        <v>52.15</v>
      </c>
      <c r="F20" s="21">
        <f>VLOOKUP($B20,'OFPC Source'!$W$8:$AA$34,5,FALSE)</f>
        <v>51.86</v>
      </c>
    </row>
    <row r="21" spans="2:6" x14ac:dyDescent="0.2">
      <c r="B21" s="20">
        <f t="shared" si="0"/>
        <v>2036</v>
      </c>
      <c r="C21" s="21">
        <f>VLOOKUP($B21,'OFPC Source'!$W$8:$AA$34,2,FALSE)</f>
        <v>54.33</v>
      </c>
      <c r="D21" s="21">
        <f>VLOOKUP($B21,'OFPC Source'!$W$8:$AA$34,3,FALSE)</f>
        <v>46.43</v>
      </c>
      <c r="E21" s="21">
        <f>VLOOKUP($B21,'OFPC Source'!$W$8:$AA$34,4,FALSE)</f>
        <v>51.83</v>
      </c>
      <c r="F21" s="21">
        <f>VLOOKUP($B21,'OFPC Source'!$W$8:$AA$34,5,FALSE)</f>
        <v>49.54</v>
      </c>
    </row>
    <row r="22" spans="2:6" x14ac:dyDescent="0.2">
      <c r="B22" s="20">
        <f t="shared" si="0"/>
        <v>2037</v>
      </c>
      <c r="C22" s="21">
        <f>VLOOKUP($B22,'OFPC Source'!$W$8:$AA$34,2,FALSE)</f>
        <v>57.93</v>
      </c>
      <c r="D22" s="21">
        <f>VLOOKUP($B22,'OFPC Source'!$W$8:$AA$34,3,FALSE)</f>
        <v>49.9</v>
      </c>
      <c r="E22" s="21">
        <f>VLOOKUP($B22,'OFPC Source'!$W$8:$AA$34,4,FALSE)</f>
        <v>53.9</v>
      </c>
      <c r="F22" s="21">
        <f>VLOOKUP($B22,'OFPC Source'!$W$8:$AA$34,5,FALSE)</f>
        <v>51.51</v>
      </c>
    </row>
    <row r="23" spans="2:6" x14ac:dyDescent="0.2">
      <c r="B23" s="20">
        <f t="shared" si="0"/>
        <v>2038</v>
      </c>
      <c r="C23" s="21">
        <f>VLOOKUP($B23,'OFPC Source'!$W$8:$AA$34,2,FALSE)</f>
        <v>61.55</v>
      </c>
      <c r="D23" s="21">
        <f>VLOOKUP($B23,'OFPC Source'!$W$8:$AA$34,3,FALSE)</f>
        <v>55.59</v>
      </c>
      <c r="E23" s="21">
        <f>VLOOKUP($B23,'OFPC Source'!$W$8:$AA$34,4,FALSE)</f>
        <v>58.46</v>
      </c>
      <c r="F23" s="21">
        <f>VLOOKUP($B23,'OFPC Source'!$W$8:$AA$34,5,FALSE)</f>
        <v>55.53</v>
      </c>
    </row>
    <row r="24" spans="2:6" x14ac:dyDescent="0.2">
      <c r="B24" s="20">
        <f t="shared" si="0"/>
        <v>2039</v>
      </c>
      <c r="C24" s="21">
        <f>VLOOKUP($B24,'OFPC Source'!$W$8:$AA$34,2,FALSE)</f>
        <v>62.54</v>
      </c>
      <c r="D24" s="21">
        <f>VLOOKUP($B24,'OFPC Source'!$W$8:$AA$34,3,FALSE)</f>
        <v>57.42</v>
      </c>
      <c r="E24" s="21">
        <f>VLOOKUP($B24,'OFPC Source'!$W$8:$AA$34,4,FALSE)</f>
        <v>59.49</v>
      </c>
      <c r="F24" s="21">
        <f>VLOOKUP($B24,'OFPC Source'!$W$8:$AA$34,5,FALSE)</f>
        <v>57.98</v>
      </c>
    </row>
    <row r="25" spans="2:6" x14ac:dyDescent="0.2">
      <c r="B25" s="20">
        <f t="shared" si="0"/>
        <v>2040</v>
      </c>
      <c r="C25" s="21">
        <f>VLOOKUP($B25,'OFPC Source'!$W$8:$AA$34,2,FALSE)</f>
        <v>63.43</v>
      </c>
      <c r="D25" s="21">
        <f>VLOOKUP($B25,'OFPC Source'!$W$8:$AA$34,3,FALSE)</f>
        <v>59.32</v>
      </c>
      <c r="E25" s="21">
        <f>VLOOKUP($B25,'OFPC Source'!$W$8:$AA$34,4,FALSE)</f>
        <v>60.72</v>
      </c>
      <c r="F25" s="21">
        <f>VLOOKUP($B25,'OFPC Source'!$W$8:$AA$34,5,FALSE)</f>
        <v>60.69</v>
      </c>
    </row>
    <row r="26" spans="2:6" x14ac:dyDescent="0.2">
      <c r="B26" s="20">
        <f t="shared" si="0"/>
        <v>2041</v>
      </c>
      <c r="C26" s="21">
        <f>VLOOKUP($B26,'OFPC Source'!$W$8:$AA$34,2,FALSE)</f>
        <v>66.11</v>
      </c>
      <c r="D26" s="21">
        <f>VLOOKUP($B26,'OFPC Source'!$W$8:$AA$34,3,FALSE)</f>
        <v>63.37</v>
      </c>
      <c r="E26" s="21">
        <f>VLOOKUP($B26,'OFPC Source'!$W$8:$AA$34,4,FALSE)</f>
        <v>62.37</v>
      </c>
      <c r="F26" s="21">
        <f>VLOOKUP($B26,'OFPC Source'!$W$8:$AA$34,5,FALSE)</f>
        <v>63.37</v>
      </c>
    </row>
    <row r="27" spans="2:6" x14ac:dyDescent="0.2">
      <c r="B27" s="20">
        <f t="shared" si="0"/>
        <v>2042</v>
      </c>
      <c r="C27" s="21">
        <f>VLOOKUP($B27,'OFPC Source'!$W$8:$AA$34,2,FALSE)</f>
        <v>68.349999999999994</v>
      </c>
      <c r="D27" s="21">
        <f>VLOOKUP($B27,'OFPC Source'!$W$8:$AA$34,3,FALSE)</f>
        <v>67.16</v>
      </c>
      <c r="E27" s="21">
        <f>VLOOKUP($B27,'OFPC Source'!$W$8:$AA$34,4,FALSE)</f>
        <v>62.35</v>
      </c>
      <c r="F27" s="21">
        <f>VLOOKUP($B27,'OFPC Source'!$W$8:$AA$34,5,FALSE)</f>
        <v>64.209999999999994</v>
      </c>
    </row>
    <row r="28" spans="2:6" x14ac:dyDescent="0.2">
      <c r="B28" s="20">
        <f t="shared" si="0"/>
        <v>2043</v>
      </c>
      <c r="C28" s="21">
        <f>VLOOKUP($B28,'OFPC Source'!$W$8:$AA$34,2,FALSE)</f>
        <v>73.069999999999993</v>
      </c>
      <c r="D28" s="21">
        <f>VLOOKUP($B28,'OFPC Source'!$W$8:$AA$34,3,FALSE)</f>
        <v>69.95</v>
      </c>
      <c r="E28" s="21">
        <f>VLOOKUP($B28,'OFPC Source'!$W$8:$AA$34,4,FALSE)</f>
        <v>65.81</v>
      </c>
      <c r="F28" s="21">
        <f>VLOOKUP($B28,'OFPC Source'!$W$8:$AA$34,5,FALSE)</f>
        <v>66.959999999999994</v>
      </c>
    </row>
    <row r="29" spans="2:6" x14ac:dyDescent="0.2">
      <c r="B29" s="20">
        <f t="shared" si="0"/>
        <v>2044</v>
      </c>
      <c r="C29" s="21">
        <f>VLOOKUP($B29,'OFPC Source'!$W$8:$AA$34,2,FALSE)</f>
        <v>74.39</v>
      </c>
      <c r="D29" s="21">
        <f>VLOOKUP($B29,'OFPC Source'!$W$8:$AA$34,3,FALSE)</f>
        <v>71.989999999999995</v>
      </c>
      <c r="E29" s="21">
        <f>VLOOKUP($B29,'OFPC Source'!$W$8:$AA$34,4,FALSE)</f>
        <v>69.430000000000007</v>
      </c>
      <c r="F29" s="21">
        <f>VLOOKUP($B29,'OFPC Source'!$W$8:$AA$34,5,FALSE)</f>
        <v>70.97</v>
      </c>
    </row>
    <row r="30" spans="2:6" x14ac:dyDescent="0.2">
      <c r="B30" s="20">
        <f t="shared" si="0"/>
        <v>2045</v>
      </c>
      <c r="C30" s="21">
        <f>VLOOKUP($B30,'OFPC Source'!$W$8:$AA$34,2,FALSE)</f>
        <v>79.42</v>
      </c>
      <c r="D30" s="21">
        <f>VLOOKUP($B30,'OFPC Source'!$W$8:$AA$34,3,FALSE)</f>
        <v>74.44</v>
      </c>
      <c r="E30" s="21">
        <f>VLOOKUP($B30,'OFPC Source'!$W$8:$AA$34,4,FALSE)</f>
        <v>71.760000000000005</v>
      </c>
      <c r="F30" s="21">
        <f>VLOOKUP($B30,'OFPC Source'!$W$8:$AA$34,5,FALSE)</f>
        <v>76.849999999999994</v>
      </c>
    </row>
    <row r="31" spans="2:6" x14ac:dyDescent="0.2">
      <c r="B31" s="14" t="s">
        <v>12</v>
      </c>
    </row>
    <row r="32" spans="2:6" ht="25.5" customHeight="1" x14ac:dyDescent="0.2">
      <c r="B32" s="319" t="str">
        <f>'Table 5 Gas Price'!B32:D32</f>
        <v>Official Forward Price Curve dated March 31 2025</v>
      </c>
      <c r="C32" s="319"/>
      <c r="D32" s="319"/>
      <c r="E32" s="319"/>
      <c r="F32" s="319"/>
    </row>
    <row r="35" spans="2:2" x14ac:dyDescent="0.2">
      <c r="B35" s="22"/>
    </row>
    <row r="36" spans="2:2" x14ac:dyDescent="0.2">
      <c r="B36" s="22"/>
    </row>
    <row r="50" ht="24.75" customHeight="1" x14ac:dyDescent="0.2"/>
  </sheetData>
  <mergeCells count="1">
    <mergeCell ref="B32:F32"/>
  </mergeCells>
  <printOptions horizontalCentered="1"/>
  <pageMargins left="0.25" right="0.25" top="0.75" bottom="0.75" header="0.3" footer="0.3"/>
  <pageSetup orientation="portrait" r:id="rId1"/>
  <headerFooter alignWithMargins="0">
    <oddFooter xml:space="preserve">&amp;C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30">
    <pageSetUpPr fitToPage="1"/>
  </sheetPr>
  <dimension ref="B1:N37"/>
  <sheetViews>
    <sheetView view="pageLayout" zoomScaleNormal="80" zoomScaleSheetLayoutView="90" workbookViewId="0">
      <selection activeCell="C28" sqref="C28"/>
    </sheetView>
  </sheetViews>
  <sheetFormatPr defaultColWidth="9.33203125" defaultRowHeight="12.75" x14ac:dyDescent="0.2"/>
  <cols>
    <col min="1" max="1" width="1.5" style="133" customWidth="1"/>
    <col min="2" max="2" width="15.33203125" style="133" customWidth="1"/>
    <col min="3" max="3" width="26.6640625" style="133" customWidth="1"/>
    <col min="4" max="4" width="29" style="133" customWidth="1"/>
    <col min="5" max="5" width="3" style="133" customWidth="1"/>
    <col min="6" max="6" width="14.6640625" style="133" customWidth="1"/>
    <col min="7" max="7" width="10.5" style="133" customWidth="1"/>
    <col min="8" max="9" width="9.33203125" style="133"/>
    <col min="10" max="10" width="9.83203125" style="133" customWidth="1"/>
    <col min="11" max="11" width="21.5" style="133" customWidth="1"/>
    <col min="12" max="12" width="19" style="133" customWidth="1"/>
    <col min="13" max="16384" width="9.33203125" style="133"/>
  </cols>
  <sheetData>
    <row r="1" spans="2:14" ht="15.75" x14ac:dyDescent="0.25">
      <c r="B1" s="320" t="s">
        <v>272</v>
      </c>
      <c r="C1" s="320"/>
      <c r="D1" s="320"/>
      <c r="E1" s="320"/>
      <c r="F1" s="320"/>
      <c r="G1" s="320"/>
    </row>
    <row r="2" spans="2:14" ht="15.75" x14ac:dyDescent="0.25">
      <c r="B2" s="7" t="s">
        <v>28</v>
      </c>
      <c r="C2" s="132"/>
      <c r="D2" s="132"/>
      <c r="E2" s="132"/>
      <c r="F2" s="132"/>
      <c r="G2" s="132"/>
    </row>
    <row r="3" spans="2:14" ht="15.75" x14ac:dyDescent="0.25">
      <c r="B3" s="7" t="s">
        <v>5</v>
      </c>
      <c r="C3" s="132"/>
      <c r="D3" s="132"/>
      <c r="E3" s="132"/>
      <c r="F3" s="132"/>
      <c r="G3" s="132"/>
    </row>
    <row r="4" spans="2:14" x14ac:dyDescent="0.2">
      <c r="B4" s="131"/>
      <c r="C4" s="132"/>
    </row>
    <row r="5" spans="2:14" x14ac:dyDescent="0.2">
      <c r="B5" s="132"/>
      <c r="C5" s="218"/>
      <c r="D5" s="218"/>
    </row>
    <row r="6" spans="2:14" ht="89.25" customHeight="1" x14ac:dyDescent="0.2">
      <c r="B6" s="134" t="s">
        <v>0</v>
      </c>
      <c r="C6" s="135" t="s">
        <v>114</v>
      </c>
      <c r="D6" s="135" t="s">
        <v>115</v>
      </c>
      <c r="F6"/>
      <c r="G6"/>
      <c r="I6" s="42"/>
      <c r="M6" s="42"/>
      <c r="N6" s="42"/>
    </row>
    <row r="7" spans="2:14" ht="27" customHeight="1" x14ac:dyDescent="0.2">
      <c r="B7" s="136"/>
      <c r="C7" s="137" t="s">
        <v>23</v>
      </c>
      <c r="D7" s="137" t="s">
        <v>23</v>
      </c>
      <c r="F7"/>
      <c r="G7"/>
      <c r="I7" s="42"/>
      <c r="M7" s="42"/>
      <c r="N7" s="42"/>
    </row>
    <row r="8" spans="2:14" x14ac:dyDescent="0.2">
      <c r="C8" s="138"/>
      <c r="F8"/>
      <c r="G8"/>
      <c r="I8" s="42"/>
      <c r="M8" s="219"/>
    </row>
    <row r="9" spans="2:14" x14ac:dyDescent="0.2">
      <c r="B9" s="139"/>
      <c r="C9" s="237"/>
      <c r="D9" s="237"/>
      <c r="F9"/>
      <c r="G9"/>
      <c r="I9" s="42"/>
      <c r="J9" s="42"/>
      <c r="K9" s="42"/>
      <c r="L9" s="42"/>
    </row>
    <row r="10" spans="2:14" x14ac:dyDescent="0.2">
      <c r="B10" s="139">
        <v>2025</v>
      </c>
      <c r="C10" s="237">
        <v>1.7205978219856879</v>
      </c>
      <c r="D10" s="237">
        <v>1.3293554274402037</v>
      </c>
      <c r="F10"/>
      <c r="G10"/>
      <c r="I10" s="42"/>
      <c r="J10" s="42"/>
      <c r="K10" s="42"/>
      <c r="L10" s="42"/>
    </row>
    <row r="11" spans="2:14" x14ac:dyDescent="0.2">
      <c r="B11" s="139">
        <f t="shared" ref="B11:B30" si="0">B10+1</f>
        <v>2026</v>
      </c>
      <c r="C11" s="237">
        <v>1.445012768676059</v>
      </c>
      <c r="D11" s="237">
        <v>1.6065413339465917</v>
      </c>
      <c r="F11"/>
      <c r="G11"/>
      <c r="I11" s="42"/>
      <c r="J11" s="42"/>
      <c r="K11" s="42"/>
      <c r="L11" s="42"/>
    </row>
    <row r="12" spans="2:14" x14ac:dyDescent="0.2">
      <c r="B12" s="139">
        <f t="shared" si="0"/>
        <v>2027</v>
      </c>
      <c r="C12" s="237">
        <v>0.43904722346152902</v>
      </c>
      <c r="D12" s="237">
        <v>0.53013539502835871</v>
      </c>
      <c r="F12"/>
      <c r="G12"/>
      <c r="I12" s="43"/>
      <c r="J12" s="42"/>
      <c r="K12" s="42"/>
      <c r="L12" s="42"/>
    </row>
    <row r="13" spans="2:14" x14ac:dyDescent="0.2">
      <c r="B13" s="139">
        <f t="shared" si="0"/>
        <v>2028</v>
      </c>
      <c r="C13" s="237">
        <v>0.19365471402035109</v>
      </c>
      <c r="D13" s="237">
        <v>0.40895000405594562</v>
      </c>
      <c r="F13"/>
      <c r="G13"/>
      <c r="I13" s="43"/>
      <c r="J13" s="42"/>
      <c r="K13" s="42"/>
      <c r="L13" s="42"/>
    </row>
    <row r="14" spans="2:14" x14ac:dyDescent="0.2">
      <c r="B14" s="139">
        <f t="shared" si="0"/>
        <v>2029</v>
      </c>
      <c r="C14" s="237">
        <v>0.23893108259672022</v>
      </c>
      <c r="D14" s="237">
        <v>0.44825370287219851</v>
      </c>
      <c r="F14"/>
      <c r="G14"/>
    </row>
    <row r="15" spans="2:14" x14ac:dyDescent="0.2">
      <c r="B15" s="139">
        <f t="shared" si="0"/>
        <v>2030</v>
      </c>
      <c r="C15" s="237">
        <v>0.28109406704608764</v>
      </c>
      <c r="D15" s="237">
        <v>0.50916050065686458</v>
      </c>
      <c r="F15"/>
      <c r="G15"/>
    </row>
    <row r="16" spans="2:14" x14ac:dyDescent="0.2">
      <c r="B16" s="139">
        <f t="shared" si="0"/>
        <v>2031</v>
      </c>
      <c r="C16" s="237">
        <v>0.35449973528835704</v>
      </c>
      <c r="D16" s="237">
        <v>0.77355086183101174</v>
      </c>
      <c r="F16"/>
      <c r="G16"/>
    </row>
    <row r="17" spans="2:10" x14ac:dyDescent="0.2">
      <c r="B17" s="139">
        <f t="shared" si="0"/>
        <v>2032</v>
      </c>
      <c r="C17" s="237">
        <v>0.25408139575626987</v>
      </c>
      <c r="D17" s="237">
        <v>0.94796136032391543</v>
      </c>
      <c r="F17"/>
      <c r="G17"/>
    </row>
    <row r="18" spans="2:10" x14ac:dyDescent="0.2">
      <c r="B18" s="139">
        <f t="shared" si="0"/>
        <v>2033</v>
      </c>
      <c r="C18" s="237">
        <v>0.26755099163977075</v>
      </c>
      <c r="D18" s="237">
        <v>0.66276932087840434</v>
      </c>
      <c r="F18"/>
      <c r="G18"/>
      <c r="I18" s="140"/>
    </row>
    <row r="19" spans="2:10" x14ac:dyDescent="0.2">
      <c r="B19" s="139">
        <f t="shared" si="0"/>
        <v>2034</v>
      </c>
      <c r="C19" s="237">
        <v>0.27325193696573324</v>
      </c>
      <c r="D19" s="237">
        <v>0.66029294276230421</v>
      </c>
      <c r="F19"/>
      <c r="G19"/>
      <c r="I19" s="140"/>
    </row>
    <row r="20" spans="2:10" x14ac:dyDescent="0.2">
      <c r="B20" s="139">
        <f t="shared" si="0"/>
        <v>2035</v>
      </c>
      <c r="C20" s="237">
        <v>0.22758568096489379</v>
      </c>
      <c r="D20" s="237">
        <v>0.46690926030914826</v>
      </c>
      <c r="F20"/>
      <c r="G20"/>
      <c r="I20" s="141"/>
    </row>
    <row r="21" spans="2:10" x14ac:dyDescent="0.2">
      <c r="B21" s="139">
        <f t="shared" si="0"/>
        <v>2036</v>
      </c>
      <c r="C21" s="237">
        <v>0.2441508754045566</v>
      </c>
      <c r="D21" s="237">
        <v>0.42425985186735388</v>
      </c>
      <c r="F21"/>
      <c r="G21"/>
    </row>
    <row r="22" spans="2:10" x14ac:dyDescent="0.2">
      <c r="B22" s="139">
        <f t="shared" si="0"/>
        <v>2037</v>
      </c>
      <c r="C22" s="237">
        <v>0.23201188698802624</v>
      </c>
      <c r="D22" s="237">
        <v>0.34563926908849646</v>
      </c>
      <c r="F22"/>
      <c r="G22"/>
      <c r="J22" s="142"/>
    </row>
    <row r="23" spans="2:10" x14ac:dyDescent="0.2">
      <c r="B23" s="139">
        <f t="shared" si="0"/>
        <v>2038</v>
      </c>
      <c r="C23" s="237">
        <v>0.32249622073286766</v>
      </c>
      <c r="D23" s="237">
        <v>0.33948000366525516</v>
      </c>
      <c r="F23"/>
      <c r="G23"/>
    </row>
    <row r="24" spans="2:10" x14ac:dyDescent="0.2">
      <c r="B24" s="139">
        <f t="shared" si="0"/>
        <v>2039</v>
      </c>
      <c r="C24" s="237">
        <v>0.32985367591789672</v>
      </c>
      <c r="D24" s="237">
        <v>0.36943630528110027</v>
      </c>
      <c r="F24"/>
      <c r="G24"/>
    </row>
    <row r="25" spans="2:10" x14ac:dyDescent="0.2">
      <c r="B25" s="139">
        <f t="shared" si="0"/>
        <v>2040</v>
      </c>
      <c r="C25" s="237">
        <v>0.33917503092751727</v>
      </c>
      <c r="D25" s="237">
        <v>0.3958916167092012</v>
      </c>
      <c r="F25"/>
      <c r="G25"/>
    </row>
    <row r="26" spans="2:10" x14ac:dyDescent="0.2">
      <c r="B26" s="139">
        <f t="shared" si="0"/>
        <v>2041</v>
      </c>
      <c r="C26" s="237">
        <v>0.23027580004554715</v>
      </c>
      <c r="D26" s="237">
        <v>0.34120991890375224</v>
      </c>
      <c r="F26"/>
      <c r="G26"/>
    </row>
    <row r="27" spans="2:10" x14ac:dyDescent="0.2">
      <c r="B27" s="139">
        <f t="shared" si="0"/>
        <v>2042</v>
      </c>
      <c r="C27" s="237">
        <v>5.4459698820086493E-2</v>
      </c>
      <c r="D27" s="237">
        <v>0.12521146413908965</v>
      </c>
      <c r="F27"/>
      <c r="G27"/>
    </row>
    <row r="28" spans="2:10" x14ac:dyDescent="0.2">
      <c r="B28" s="139">
        <f t="shared" si="0"/>
        <v>2043</v>
      </c>
      <c r="C28" s="237">
        <v>7.1677512831521295E-2</v>
      </c>
      <c r="D28" s="237">
        <v>0.14253499579700402</v>
      </c>
      <c r="F28"/>
      <c r="G28"/>
    </row>
    <row r="29" spans="2:10" x14ac:dyDescent="0.2">
      <c r="B29" s="139">
        <f t="shared" si="0"/>
        <v>2044</v>
      </c>
      <c r="C29" s="237">
        <v>3.068043220524496E-2</v>
      </c>
      <c r="D29" s="237">
        <v>8.9347109611124131E-2</v>
      </c>
      <c r="F29"/>
      <c r="G29"/>
    </row>
    <row r="30" spans="2:10" x14ac:dyDescent="0.2">
      <c r="B30" s="139">
        <f t="shared" si="0"/>
        <v>2045</v>
      </c>
      <c r="C30" s="237">
        <v>2.8864509957461145E-2</v>
      </c>
      <c r="D30" s="237">
        <v>8.6533554524444181E-2</v>
      </c>
      <c r="F30"/>
      <c r="G30"/>
    </row>
    <row r="31" spans="2:10" x14ac:dyDescent="0.2">
      <c r="B31" s="139"/>
      <c r="C31" s="237"/>
      <c r="D31" s="237"/>
      <c r="F31"/>
      <c r="G31"/>
    </row>
    <row r="32" spans="2:10" x14ac:dyDescent="0.2">
      <c r="B32" s="143"/>
      <c r="C32" s="144"/>
      <c r="F32" s="122"/>
      <c r="G32" s="121"/>
    </row>
    <row r="33" spans="2:9" s="42" customFormat="1" x14ac:dyDescent="0.2">
      <c r="B33" s="242" t="s">
        <v>152</v>
      </c>
      <c r="C33" s="243"/>
      <c r="D33"/>
      <c r="E33" s="244"/>
      <c r="F33" s="40"/>
      <c r="H33" s="40"/>
      <c r="I33" s="40"/>
    </row>
    <row r="34" spans="2:9" s="42" customFormat="1" x14ac:dyDescent="0.2">
      <c r="B34" s="245"/>
      <c r="C34" s="243" t="s">
        <v>239</v>
      </c>
      <c r="D34" t="s">
        <v>240</v>
      </c>
      <c r="E34" s="244"/>
      <c r="F34" s="40"/>
      <c r="H34" s="40"/>
      <c r="I34" s="40"/>
    </row>
    <row r="35" spans="2:9" s="42" customFormat="1" x14ac:dyDescent="0.2">
      <c r="B35" s="245"/>
      <c r="C35" s="243"/>
      <c r="D35"/>
      <c r="E35" s="244"/>
      <c r="F35" s="40"/>
      <c r="H35" s="40"/>
      <c r="I35" s="40"/>
    </row>
    <row r="36" spans="2:9" s="42" customFormat="1" x14ac:dyDescent="0.2">
      <c r="B36" s="246"/>
      <c r="C36" s="40"/>
      <c r="D36" s="40"/>
    </row>
    <row r="37" spans="2:9" x14ac:dyDescent="0.2">
      <c r="B37" s="238"/>
      <c r="C37" s="42"/>
    </row>
  </sheetData>
  <mergeCells count="1">
    <mergeCell ref="B1:G1"/>
  </mergeCells>
  <printOptions horizontalCentered="1"/>
  <pageMargins left="0.3" right="0.3" top="0.8" bottom="0.4" header="0.5" footer="0.2"/>
  <pageSetup paperSize="9" scale="95" orientation="landscape" r:id="rId1"/>
  <headerFooter alignWithMargins="0">
    <oddFooter xml:space="preserve">&amp;C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9"/>
  <dimension ref="A1"/>
  <sheetViews>
    <sheetView workbookViewId="0">
      <selection activeCell="D76" sqref="D76"/>
    </sheetView>
  </sheetViews>
  <sheetFormatPr defaultRowHeight="12.75" x14ac:dyDescent="0.2"/>
  <sheetData/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0">
    <tabColor rgb="FFFF0000"/>
    <pageSetUpPr fitToPage="1"/>
  </sheetPr>
  <dimension ref="A1:N41"/>
  <sheetViews>
    <sheetView showGridLines="0" topLeftCell="A17" zoomScale="80" zoomScaleNormal="80" zoomScaleSheetLayoutView="80" workbookViewId="0">
      <selection activeCell="I25" sqref="I25"/>
    </sheetView>
  </sheetViews>
  <sheetFormatPr defaultColWidth="9.33203125" defaultRowHeight="12" x14ac:dyDescent="0.2"/>
  <cols>
    <col min="1" max="1" width="2.83203125" style="25" customWidth="1"/>
    <col min="2" max="2" width="21.33203125" style="25" customWidth="1"/>
    <col min="3" max="6" width="18.83203125" style="25" customWidth="1"/>
    <col min="7" max="7" width="17" style="25" customWidth="1"/>
    <col min="8" max="8" width="9.33203125" style="25"/>
    <col min="9" max="9" width="19" style="25" customWidth="1"/>
    <col min="10" max="10" width="20.1640625" style="25" customWidth="1"/>
    <col min="11" max="11" width="19" style="25" customWidth="1"/>
    <col min="12" max="12" width="26.83203125" style="25" customWidth="1"/>
    <col min="13" max="13" width="12.83203125" style="25" customWidth="1"/>
    <col min="14" max="14" width="16.6640625" style="25" customWidth="1"/>
    <col min="15" max="16384" width="9.33203125" style="25"/>
  </cols>
  <sheetData>
    <row r="1" spans="1:14" x14ac:dyDescent="0.2">
      <c r="A1" s="2"/>
      <c r="B1" s="2"/>
      <c r="C1" s="2"/>
      <c r="D1" s="2"/>
      <c r="E1" s="2"/>
      <c r="F1" s="2"/>
      <c r="G1" s="2"/>
    </row>
    <row r="2" spans="1:14" x14ac:dyDescent="0.2">
      <c r="A2" s="2"/>
      <c r="B2" s="2" t="s">
        <v>15</v>
      </c>
      <c r="C2" s="2"/>
      <c r="D2" s="2"/>
      <c r="E2" s="2"/>
      <c r="F2" s="2"/>
      <c r="G2" s="2"/>
      <c r="I2" s="2"/>
      <c r="J2" s="2"/>
      <c r="K2" s="2"/>
      <c r="L2" s="2"/>
      <c r="M2" s="2"/>
      <c r="N2" s="2"/>
    </row>
    <row r="3" spans="1:14" x14ac:dyDescent="0.2">
      <c r="B3" s="44" t="s">
        <v>30</v>
      </c>
      <c r="I3" s="2"/>
      <c r="J3" s="2"/>
      <c r="K3" s="2"/>
      <c r="L3" s="2"/>
      <c r="M3" s="2"/>
      <c r="N3" s="2"/>
    </row>
    <row r="4" spans="1:14" x14ac:dyDescent="0.2">
      <c r="A4" s="26"/>
      <c r="C4" s="26"/>
      <c r="D4" s="26"/>
      <c r="E4" s="26"/>
      <c r="F4" s="26"/>
      <c r="G4" s="26"/>
      <c r="L4" s="114" t="s">
        <v>54</v>
      </c>
      <c r="M4" s="114"/>
    </row>
    <row r="5" spans="1:14" x14ac:dyDescent="0.2">
      <c r="A5" s="26"/>
      <c r="B5" s="26"/>
    </row>
    <row r="6" spans="1:14" x14ac:dyDescent="0.2">
      <c r="A6" s="26"/>
      <c r="B6" s="26" t="s">
        <v>26</v>
      </c>
      <c r="C6" s="27" t="s">
        <v>94</v>
      </c>
      <c r="D6" s="27"/>
      <c r="E6" s="45" t="s">
        <v>25</v>
      </c>
      <c r="F6" s="27"/>
      <c r="G6" s="27"/>
    </row>
    <row r="7" spans="1:14" ht="14.25" x14ac:dyDescent="0.35">
      <c r="A7" s="26"/>
      <c r="B7" s="26" t="s">
        <v>24</v>
      </c>
      <c r="C7" s="28" t="s">
        <v>7</v>
      </c>
      <c r="D7" s="28" t="s">
        <v>8</v>
      </c>
      <c r="E7" s="28" t="s">
        <v>7</v>
      </c>
      <c r="F7" s="28" t="s">
        <v>8</v>
      </c>
      <c r="G7" s="28"/>
    </row>
    <row r="8" spans="1:14" hidden="1" x14ac:dyDescent="0.2">
      <c r="A8" s="29"/>
      <c r="B8" s="30"/>
      <c r="C8" s="31"/>
      <c r="D8" s="31"/>
      <c r="E8" s="31"/>
      <c r="F8" s="31"/>
      <c r="G8" s="31"/>
    </row>
    <row r="9" spans="1:14" ht="5.25" customHeight="1" x14ac:dyDescent="0.2">
      <c r="A9" s="29"/>
      <c r="B9" s="30"/>
      <c r="C9" s="31"/>
      <c r="D9" s="31"/>
      <c r="E9" s="31"/>
      <c r="F9" s="31"/>
      <c r="G9" s="31"/>
      <c r="H9" s="51"/>
    </row>
    <row r="10" spans="1:14" x14ac:dyDescent="0.2">
      <c r="A10" s="29"/>
      <c r="B10" s="30">
        <f>[2]SourceEnergy!$R$20</f>
        <v>2025</v>
      </c>
      <c r="C10" s="31">
        <f>INDEX([2]SourceEnergy!$S$20:$T$40,MATCH($B10,[2]SourceEnergy!$R$20:$R$40,0),MATCH(C$7,[2]SourceEnergy!$S$12:$T$12,0))/10</f>
        <v>2.2575902811314541</v>
      </c>
      <c r="D10" s="31">
        <f>INDEX([2]SourceEnergy!$S$20:$T$40,MATCH($B10,[2]SourceEnergy!$R$20:$R$40,0),MATCH(D$7,[2]SourceEnergy!$S$12:$T$12,0))/10</f>
        <v>4.8703204191369789</v>
      </c>
      <c r="E10" s="31">
        <f>INDEX([2]SourceEnergy!$U$20:$V$40,MATCH($B10,[2]SourceEnergy!$R$20:$R$40,0),MATCH(E$7,[2]SourceEnergy!$U$12:$V$12,0))/10</f>
        <v>2.6278621383551841</v>
      </c>
      <c r="F10" s="31">
        <f>INDEX([2]SourceEnergy!$U$20:$V$40,MATCH($B10,[2]SourceEnergy!$R$20:$R$40,0),MATCH(F$7,[2]SourceEnergy!$U$12:$V$12,0))/10</f>
        <v>3.2584566192282423</v>
      </c>
      <c r="G10" s="31"/>
      <c r="H10" s="51"/>
    </row>
    <row r="11" spans="1:14" x14ac:dyDescent="0.2">
      <c r="A11" s="29"/>
      <c r="B11" s="30">
        <f t="shared" ref="B11:B30" si="0">B10+1</f>
        <v>2026</v>
      </c>
      <c r="C11" s="31">
        <f>INDEX([2]SourceEnergy!$S$20:$T$45,MATCH($B11,[2]SourceEnergy!$R$20:$R$45,0),MATCH(C$7,[2]SourceEnergy!$S$12:$T$12,0))/10</f>
        <v>2.3249747702258836</v>
      </c>
      <c r="D11" s="31">
        <f>INDEX([2]SourceEnergy!$S$20:$T$45,MATCH($B11,[2]SourceEnergy!$R$20:$R$45,0),MATCH(D$7,[2]SourceEnergy!$S$12:$T$12,0))/10</f>
        <v>4.4623877073607066</v>
      </c>
      <c r="E11" s="31">
        <f>INDEX([2]SourceEnergy!$U$20:$V$45,MATCH($B11,[2]SourceEnergy!$R$20:$R$45,0),MATCH(E$7,[2]SourceEnergy!$U$12:$V$12,0))/10</f>
        <v>2.867723645586346</v>
      </c>
      <c r="F11" s="31">
        <f>INDEX([2]SourceEnergy!$U$20:$V$45,MATCH($B11,[2]SourceEnergy!$R$20:$R$45,0),MATCH(F$7,[2]SourceEnergy!$U$12:$V$12,0))/10</f>
        <v>3.3583070752832738</v>
      </c>
      <c r="G11" s="31"/>
      <c r="H11" s="51"/>
    </row>
    <row r="12" spans="1:14" x14ac:dyDescent="0.2">
      <c r="A12" s="29"/>
      <c r="B12" s="30">
        <f t="shared" si="0"/>
        <v>2027</v>
      </c>
      <c r="C12" s="31">
        <f>INDEX([2]SourceEnergy!$S$20:$T$45,MATCH($B12,[2]SourceEnergy!$R$20:$R$45,0),MATCH(C$7,[2]SourceEnergy!$S$12:$T$12,0))/10</f>
        <v>2.1006473673661485</v>
      </c>
      <c r="D12" s="31">
        <f>INDEX([2]SourceEnergy!$S$20:$T$45,MATCH($B12,[2]SourceEnergy!$R$20:$R$45,0),MATCH(D$7,[2]SourceEnergy!$S$12:$T$12,0))/10</f>
        <v>4.0765700256099846</v>
      </c>
      <c r="E12" s="31">
        <f>INDEX([2]SourceEnergy!$U$20:$V$45,MATCH($B12,[2]SourceEnergy!$R$20:$R$45,0),MATCH(E$7,[2]SourceEnergy!$U$12:$V$12,0))/10</f>
        <v>2.7082322849946325</v>
      </c>
      <c r="F12" s="31">
        <f>INDEX([2]SourceEnergy!$U$20:$V$45,MATCH($B12,[2]SourceEnergy!$R$20:$R$45,0),MATCH(F$7,[2]SourceEnergy!$U$12:$V$12,0))/10</f>
        <v>3.2745376878419621</v>
      </c>
      <c r="G12" s="31"/>
      <c r="H12" s="51"/>
    </row>
    <row r="13" spans="1:14" x14ac:dyDescent="0.2">
      <c r="A13" s="29"/>
      <c r="B13" s="30">
        <f t="shared" si="0"/>
        <v>2028</v>
      </c>
      <c r="C13" s="31">
        <f>INDEX([2]SourceEnergy!$S$20:$T$45,MATCH($B13,[2]SourceEnergy!$R$20:$R$45,0),MATCH(C$7,[2]SourceEnergy!$S$12:$T$12,0))/10</f>
        <v>2.6175757588114816</v>
      </c>
      <c r="D13" s="31">
        <f>INDEX([2]SourceEnergy!$S$20:$T$45,MATCH($B13,[2]SourceEnergy!$R$20:$R$45,0),MATCH(D$7,[2]SourceEnergy!$S$12:$T$12,0))/10</f>
        <v>4.4096379046561918</v>
      </c>
      <c r="E13" s="31">
        <f>INDEX([2]SourceEnergy!$U$20:$V$45,MATCH($B13,[2]SourceEnergy!$R$20:$R$45,0),MATCH(E$7,[2]SourceEnergy!$U$12:$V$12,0))/10</f>
        <v>3.2796999420011481</v>
      </c>
      <c r="F13" s="31">
        <f>INDEX([2]SourceEnergy!$U$20:$V$45,MATCH($B13,[2]SourceEnergy!$R$20:$R$45,0),MATCH(F$7,[2]SourceEnergy!$U$12:$V$12,0))/10</f>
        <v>3.9123449792482625</v>
      </c>
      <c r="G13" s="31"/>
      <c r="H13" s="51"/>
    </row>
    <row r="14" spans="1:14" x14ac:dyDescent="0.2">
      <c r="A14" s="29"/>
      <c r="B14" s="30">
        <f t="shared" si="0"/>
        <v>2029</v>
      </c>
      <c r="C14" s="31">
        <f>INDEX([2]SourceEnergy!$S$20:$T$45,MATCH($B14,[2]SourceEnergy!$R$20:$R$45,0),MATCH(C$7,[2]SourceEnergy!$S$12:$T$12,0))/10</f>
        <v>3.4897227461913842</v>
      </c>
      <c r="D14" s="31">
        <f>INDEX([2]SourceEnergy!$S$20:$T$45,MATCH($B14,[2]SourceEnergy!$R$20:$R$45,0),MATCH(D$7,[2]SourceEnergy!$S$12:$T$12,0))/10</f>
        <v>4.3418213796208729</v>
      </c>
      <c r="E14" s="31">
        <f>INDEX([2]SourceEnergy!$U$20:$V$45,MATCH($B14,[2]SourceEnergy!$R$20:$R$45,0),MATCH(E$7,[2]SourceEnergy!$U$12:$V$12,0))/10</f>
        <v>3.8350847488333022</v>
      </c>
      <c r="F14" s="31">
        <f>INDEX([2]SourceEnergy!$U$20:$V$45,MATCH($B14,[2]SourceEnergy!$R$20:$R$45,0),MATCH(F$7,[2]SourceEnergy!$U$12:$V$12,0))/10</f>
        <v>4.2616194954292377</v>
      </c>
      <c r="G14" s="31"/>
      <c r="H14" s="51"/>
    </row>
    <row r="15" spans="1:14" x14ac:dyDescent="0.2">
      <c r="A15" s="29"/>
      <c r="B15" s="30">
        <f t="shared" si="0"/>
        <v>2030</v>
      </c>
      <c r="C15" s="31">
        <f>INDEX([2]SourceEnergy!$S$20:$T$45,MATCH($B15,[2]SourceEnergy!$R$20:$R$45,0),MATCH(C$7,[2]SourceEnergy!$S$12:$T$12,0))/10</f>
        <v>3.5176482946621506</v>
      </c>
      <c r="D15" s="31">
        <f>INDEX([2]SourceEnergy!$S$20:$T$45,MATCH($B15,[2]SourceEnergy!$R$20:$R$45,0),MATCH(D$7,[2]SourceEnergy!$S$12:$T$12,0))/10</f>
        <v>3.6988401520521719</v>
      </c>
      <c r="E15" s="31">
        <f>INDEX([2]SourceEnergy!$U$20:$V$45,MATCH($B15,[2]SourceEnergy!$R$20:$R$45,0),MATCH(E$7,[2]SourceEnergy!$U$12:$V$12,0))/10</f>
        <v>3.6316650590741233</v>
      </c>
      <c r="F15" s="31">
        <f>INDEX([2]SourceEnergy!$U$20:$V$45,MATCH($B15,[2]SourceEnergy!$R$20:$R$45,0),MATCH(F$7,[2]SourceEnergy!$U$12:$V$12,0))/10</f>
        <v>3.6484474707606345</v>
      </c>
      <c r="G15" s="31"/>
      <c r="H15" s="51"/>
    </row>
    <row r="16" spans="1:14" x14ac:dyDescent="0.2">
      <c r="A16" s="29"/>
      <c r="B16" s="30">
        <f t="shared" si="0"/>
        <v>2031</v>
      </c>
      <c r="C16" s="31">
        <f>INDEX([2]SourceEnergy!$S$20:$T$45,MATCH($B16,[2]SourceEnergy!$R$20:$R$45,0),MATCH(C$7,[2]SourceEnergy!$S$12:$T$12,0))/10</f>
        <v>3.6262437003014627</v>
      </c>
      <c r="D16" s="31">
        <f>INDEX([2]SourceEnergy!$S$20:$T$45,MATCH($B16,[2]SourceEnergy!$R$20:$R$45,0),MATCH(D$7,[2]SourceEnergy!$S$12:$T$12,0))/10</f>
        <v>3.8136696796886502</v>
      </c>
      <c r="E16" s="31">
        <f>INDEX([2]SourceEnergy!$U$20:$V$45,MATCH($B16,[2]SourceEnergy!$R$20:$R$45,0),MATCH(E$7,[2]SourceEnergy!$U$12:$V$12,0))/10</f>
        <v>3.7745810934194672</v>
      </c>
      <c r="F16" s="31">
        <f>INDEX([2]SourceEnergy!$U$20:$V$45,MATCH($B16,[2]SourceEnergy!$R$20:$R$45,0),MATCH(F$7,[2]SourceEnergy!$U$12:$V$12,0))/10</f>
        <v>3.762398492863638</v>
      </c>
      <c r="G16" s="31"/>
      <c r="H16" s="51"/>
    </row>
    <row r="17" spans="1:14" x14ac:dyDescent="0.2">
      <c r="A17" s="29"/>
      <c r="B17" s="30">
        <f t="shared" si="0"/>
        <v>2032</v>
      </c>
      <c r="C17" s="31">
        <f>INDEX([2]SourceEnergy!$S$20:$T$45,MATCH($B17,[2]SourceEnergy!$R$20:$R$45,0),MATCH(C$7,[2]SourceEnergy!$S$12:$T$12,0))/10</f>
        <v>3.1756930461850925</v>
      </c>
      <c r="D17" s="31">
        <f>INDEX([2]SourceEnergy!$S$20:$T$45,MATCH($B17,[2]SourceEnergy!$R$20:$R$45,0),MATCH(D$7,[2]SourceEnergy!$S$12:$T$12,0))/10</f>
        <v>3.418875452692975</v>
      </c>
      <c r="E17" s="31">
        <f>INDEX([2]SourceEnergy!$U$20:$V$45,MATCH($B17,[2]SourceEnergy!$R$20:$R$45,0),MATCH(E$7,[2]SourceEnergy!$U$12:$V$12,0))/10</f>
        <v>3.4200848299280828</v>
      </c>
      <c r="F17" s="31">
        <f>INDEX([2]SourceEnergy!$U$20:$V$45,MATCH($B17,[2]SourceEnergy!$R$20:$R$45,0),MATCH(F$7,[2]SourceEnergy!$U$12:$V$12,0))/10</f>
        <v>3.4309088663388048</v>
      </c>
      <c r="G17" s="31"/>
      <c r="H17" s="51"/>
    </row>
    <row r="18" spans="1:14" x14ac:dyDescent="0.2">
      <c r="A18" s="29"/>
      <c r="B18" s="30">
        <f t="shared" si="0"/>
        <v>2033</v>
      </c>
      <c r="C18" s="31">
        <f>INDEX([2]SourceEnergy!$S$20:$T$45,MATCH($B18,[2]SourceEnergy!$R$20:$R$45,0),MATCH(C$7,[2]SourceEnergy!$S$12:$T$12,0))/10</f>
        <v>2.9426926087930028</v>
      </c>
      <c r="D18" s="31">
        <f>INDEX([2]SourceEnergy!$S$20:$T$45,MATCH($B18,[2]SourceEnergy!$R$20:$R$45,0),MATCH(D$7,[2]SourceEnergy!$S$12:$T$12,0))/10</f>
        <v>3.0714016598730844</v>
      </c>
      <c r="E18" s="31">
        <f>INDEX([2]SourceEnergy!$U$20:$V$45,MATCH($B18,[2]SourceEnergy!$R$20:$R$45,0),MATCH(E$7,[2]SourceEnergy!$U$12:$V$12,0))/10</f>
        <v>3.3164287621321749</v>
      </c>
      <c r="F18" s="31">
        <f>INDEX([2]SourceEnergy!$U$20:$V$45,MATCH($B18,[2]SourceEnergy!$R$20:$R$45,0),MATCH(F$7,[2]SourceEnergy!$U$12:$V$12,0))/10</f>
        <v>3.1804926319784781</v>
      </c>
      <c r="G18" s="31"/>
      <c r="H18" s="51"/>
    </row>
    <row r="19" spans="1:14" x14ac:dyDescent="0.2">
      <c r="A19" s="29"/>
      <c r="B19" s="30">
        <f t="shared" si="0"/>
        <v>2034</v>
      </c>
      <c r="C19" s="31">
        <f>INDEX([2]SourceEnergy!$S$20:$T$45,MATCH($B19,[2]SourceEnergy!$R$20:$R$45,0),MATCH(C$7,[2]SourceEnergy!$S$12:$T$12,0))/10</f>
        <v>2.995100118007775</v>
      </c>
      <c r="D19" s="31">
        <f>INDEX([2]SourceEnergy!$S$20:$T$45,MATCH($B19,[2]SourceEnergy!$R$20:$R$45,0),MATCH(D$7,[2]SourceEnergy!$S$12:$T$12,0))/10</f>
        <v>3.0406233465756101</v>
      </c>
      <c r="E19" s="31">
        <f>INDEX([2]SourceEnergy!$U$20:$V$45,MATCH($B19,[2]SourceEnergy!$R$20:$R$45,0),MATCH(E$7,[2]SourceEnergy!$U$12:$V$12,0))/10</f>
        <v>3.3555908015325451</v>
      </c>
      <c r="F19" s="31">
        <f>INDEX([2]SourceEnergy!$U$20:$V$45,MATCH($B19,[2]SourceEnergy!$R$20:$R$45,0),MATCH(F$7,[2]SourceEnergy!$U$12:$V$12,0))/10</f>
        <v>3.2552785256403789</v>
      </c>
      <c r="G19" s="31"/>
      <c r="H19" s="51"/>
    </row>
    <row r="20" spans="1:14" x14ac:dyDescent="0.2">
      <c r="A20" s="29"/>
      <c r="B20" s="30">
        <f t="shared" si="0"/>
        <v>2035</v>
      </c>
      <c r="C20" s="31">
        <f>INDEX([2]SourceEnergy!$S$20:$T$45,MATCH($B20,[2]SourceEnergy!$R$20:$R$45,0),MATCH(C$7,[2]SourceEnergy!$S$12:$T$12,0))/10</f>
        <v>3.1386817463843362</v>
      </c>
      <c r="D20" s="31">
        <f>INDEX([2]SourceEnergy!$S$20:$T$45,MATCH($B20,[2]SourceEnergy!$R$20:$R$45,0),MATCH(D$7,[2]SourceEnergy!$S$12:$T$12,0))/10</f>
        <v>3.0859835286401509</v>
      </c>
      <c r="E20" s="31">
        <f>INDEX([2]SourceEnergy!$U$20:$V$45,MATCH($B20,[2]SourceEnergy!$R$20:$R$45,0),MATCH(E$7,[2]SourceEnergy!$U$12:$V$12,0))/10</f>
        <v>3.4486320388000777</v>
      </c>
      <c r="F20" s="31">
        <f>INDEX([2]SourceEnergy!$U$20:$V$45,MATCH($B20,[2]SourceEnergy!$R$20:$R$45,0),MATCH(F$7,[2]SourceEnergy!$U$12:$V$12,0))/10</f>
        <v>3.4116202597874183</v>
      </c>
      <c r="G20" s="31"/>
      <c r="H20" s="51"/>
    </row>
    <row r="21" spans="1:14" x14ac:dyDescent="0.2">
      <c r="A21" s="29"/>
      <c r="B21" s="30">
        <f t="shared" si="0"/>
        <v>2036</v>
      </c>
      <c r="C21" s="31">
        <f>INDEX([2]SourceEnergy!$S$20:$T$45,MATCH($B21,[2]SourceEnergy!$R$20:$R$45,0),MATCH(C$7,[2]SourceEnergy!$S$12:$T$12,0))/10</f>
        <v>1.8599803588582549</v>
      </c>
      <c r="D21" s="31">
        <f>INDEX([2]SourceEnergy!$S$20:$T$45,MATCH($B21,[2]SourceEnergy!$R$20:$R$45,0),MATCH(D$7,[2]SourceEnergy!$S$12:$T$12,0))/10</f>
        <v>1.7352419744165293</v>
      </c>
      <c r="E21" s="31">
        <f>INDEX([2]SourceEnergy!$U$20:$V$45,MATCH($B21,[2]SourceEnergy!$R$20:$R$45,0),MATCH(E$7,[2]SourceEnergy!$U$12:$V$12,0))/10</f>
        <v>1.9594398089506779</v>
      </c>
      <c r="F21" s="31">
        <f>INDEX([2]SourceEnergy!$U$20:$V$45,MATCH($B21,[2]SourceEnergy!$R$20:$R$45,0),MATCH(F$7,[2]SourceEnergy!$U$12:$V$12,0))/10</f>
        <v>1.9003399413297892</v>
      </c>
      <c r="G21" s="31"/>
      <c r="H21" s="51"/>
    </row>
    <row r="22" spans="1:14" x14ac:dyDescent="0.2">
      <c r="A22" s="29"/>
      <c r="B22" s="30">
        <f t="shared" si="0"/>
        <v>2037</v>
      </c>
      <c r="C22" s="31">
        <f>INDEX([2]SourceEnergy!$S$20:$T$45,MATCH($B22,[2]SourceEnergy!$R$20:$R$45,0),MATCH(C$7,[2]SourceEnergy!$S$12:$T$12,0))/10</f>
        <v>2.273612623649687</v>
      </c>
      <c r="D22" s="31">
        <f>INDEX([2]SourceEnergy!$S$20:$T$45,MATCH($B22,[2]SourceEnergy!$R$20:$R$45,0),MATCH(D$7,[2]SourceEnergy!$S$12:$T$12,0))/10</f>
        <v>2.1051731406078646</v>
      </c>
      <c r="E22" s="31">
        <f>INDEX([2]SourceEnergy!$U$20:$V$45,MATCH($B22,[2]SourceEnergy!$R$20:$R$45,0),MATCH(E$7,[2]SourceEnergy!$U$12:$V$12,0))/10</f>
        <v>2.3089511864454977</v>
      </c>
      <c r="F22" s="31">
        <f>INDEX([2]SourceEnergy!$U$20:$V$45,MATCH($B22,[2]SourceEnergy!$R$20:$R$45,0),MATCH(F$7,[2]SourceEnergy!$U$12:$V$12,0))/10</f>
        <v>2.2647197868855784</v>
      </c>
      <c r="G22" s="31"/>
      <c r="H22" s="51"/>
    </row>
    <row r="23" spans="1:14" x14ac:dyDescent="0.2">
      <c r="A23" s="29"/>
      <c r="B23" s="30">
        <f t="shared" si="0"/>
        <v>2038</v>
      </c>
      <c r="C23" s="31">
        <f>INDEX([2]SourceEnergy!$S$20:$T$45,MATCH($B23,[2]SourceEnergy!$R$20:$R$45,0),MATCH(C$7,[2]SourceEnergy!$S$12:$T$12,0))/10</f>
        <v>2.4459617589643377</v>
      </c>
      <c r="D23" s="31">
        <f>INDEX([2]SourceEnergy!$S$20:$T$45,MATCH($B23,[2]SourceEnergy!$R$20:$R$45,0),MATCH(D$7,[2]SourceEnergy!$S$12:$T$12,0))/10</f>
        <v>2.2768932445265029</v>
      </c>
      <c r="E23" s="31">
        <f>INDEX([2]SourceEnergy!$U$20:$V$45,MATCH($B23,[2]SourceEnergy!$R$20:$R$45,0),MATCH(E$7,[2]SourceEnergy!$U$12:$V$12,0))/10</f>
        <v>2.4606261695063862</v>
      </c>
      <c r="F23" s="31">
        <f>INDEX([2]SourceEnergy!$U$20:$V$45,MATCH($B23,[2]SourceEnergy!$R$20:$R$45,0),MATCH(F$7,[2]SourceEnergy!$U$12:$V$12,0))/10</f>
        <v>2.2602359721802605</v>
      </c>
      <c r="G23" s="31"/>
      <c r="H23" s="51"/>
    </row>
    <row r="24" spans="1:14" x14ac:dyDescent="0.2">
      <c r="A24" s="29"/>
      <c r="B24" s="30">
        <f t="shared" si="0"/>
        <v>2039</v>
      </c>
      <c r="C24" s="31">
        <f>INDEX([2]SourceEnergy!$S$20:$T$45,MATCH($B24,[2]SourceEnergy!$R$20:$R$45,0),MATCH(C$7,[2]SourceEnergy!$S$12:$T$12,0))/10</f>
        <v>2.6588020787685909</v>
      </c>
      <c r="D24" s="31">
        <f>INDEX([2]SourceEnergy!$S$20:$T$45,MATCH($B24,[2]SourceEnergy!$R$20:$R$45,0),MATCH(D$7,[2]SourceEnergy!$S$12:$T$12,0))/10</f>
        <v>2.4945283768601638</v>
      </c>
      <c r="E24" s="31">
        <f>INDEX([2]SourceEnergy!$U$20:$V$45,MATCH($B24,[2]SourceEnergy!$R$20:$R$45,0),MATCH(E$7,[2]SourceEnergy!$U$12:$V$12,0))/10</f>
        <v>2.7380144299666758</v>
      </c>
      <c r="F24" s="31">
        <f>INDEX([2]SourceEnergy!$U$20:$V$45,MATCH($B24,[2]SourceEnergy!$R$20:$R$45,0),MATCH(F$7,[2]SourceEnergy!$U$12:$V$12,0))/10</f>
        <v>2.4798989180379367</v>
      </c>
      <c r="G24" s="31"/>
      <c r="H24" s="51"/>
    </row>
    <row r="25" spans="1:14" x14ac:dyDescent="0.2">
      <c r="A25" s="29"/>
      <c r="B25" s="30">
        <f t="shared" si="0"/>
        <v>2040</v>
      </c>
      <c r="C25" s="31">
        <f>INDEX([2]SourceEnergy!$S$20:$T$45,MATCH($B25,[2]SourceEnergy!$R$20:$R$45,0),MATCH(C$7,[2]SourceEnergy!$S$12:$T$12,0))/10</f>
        <v>2.8926944079547114</v>
      </c>
      <c r="D25" s="31">
        <f>INDEX([2]SourceEnergy!$S$20:$T$45,MATCH($B25,[2]SourceEnergy!$R$20:$R$45,0),MATCH(D$7,[2]SourceEnergy!$S$12:$T$12,0))/10</f>
        <v>2.7831819243145501</v>
      </c>
      <c r="E25" s="31">
        <f>INDEX([2]SourceEnergy!$U$20:$V$45,MATCH($B25,[2]SourceEnergy!$R$20:$R$45,0),MATCH(E$7,[2]SourceEnergy!$U$12:$V$12,0))/10</f>
        <v>3.0677397118764089</v>
      </c>
      <c r="F25" s="31">
        <f>INDEX([2]SourceEnergy!$U$20:$V$45,MATCH($B25,[2]SourceEnergy!$R$20:$R$45,0),MATCH(F$7,[2]SourceEnergy!$U$12:$V$12,0))/10</f>
        <v>2.7135678301781399</v>
      </c>
      <c r="G25" s="31"/>
      <c r="H25" s="51"/>
    </row>
    <row r="26" spans="1:14" x14ac:dyDescent="0.2">
      <c r="A26" s="29"/>
      <c r="B26" s="30">
        <f t="shared" si="0"/>
        <v>2041</v>
      </c>
      <c r="C26" s="31">
        <f>INDEX([2]SourceEnergy!$S$20:$T$45,MATCH($B26,[2]SourceEnergy!$R$20:$R$45,0),MATCH(C$7,[2]SourceEnergy!$S$12:$T$12,0))/10</f>
        <v>3.411207083483665</v>
      </c>
      <c r="D26" s="31">
        <f>INDEX([2]SourceEnergy!$S$20:$T$45,MATCH($B26,[2]SourceEnergy!$R$20:$R$45,0),MATCH(D$7,[2]SourceEnergy!$S$12:$T$12,0))/10</f>
        <v>3.2167965756599357</v>
      </c>
      <c r="E26" s="31">
        <f>INDEX([2]SourceEnergy!$U$20:$V$45,MATCH($B26,[2]SourceEnergy!$R$20:$R$45,0),MATCH(E$7,[2]SourceEnergy!$U$12:$V$12,0))/10</f>
        <v>3.4583480300917424</v>
      </c>
      <c r="F26" s="31">
        <f>INDEX([2]SourceEnergy!$U$20:$V$45,MATCH($B26,[2]SourceEnergy!$R$20:$R$45,0),MATCH(F$7,[2]SourceEnergy!$U$12:$V$12,0))/10</f>
        <v>3.1812341313234818</v>
      </c>
      <c r="G26" s="31"/>
      <c r="H26" s="51"/>
    </row>
    <row r="27" spans="1:14" x14ac:dyDescent="0.2">
      <c r="A27" s="29"/>
      <c r="B27" s="30">
        <f t="shared" si="0"/>
        <v>2042</v>
      </c>
      <c r="C27" s="31">
        <f>INDEX([2]SourceEnergy!$S$20:$T$45,MATCH($B27,[2]SourceEnergy!$R$20:$R$45,0),MATCH(C$7,[2]SourceEnergy!$S$12:$T$12,0))/10</f>
        <v>4.2365060941198625</v>
      </c>
      <c r="D27" s="31">
        <f>INDEX([2]SourceEnergy!$S$20:$T$45,MATCH($B27,[2]SourceEnergy!$R$20:$R$45,0),MATCH(D$7,[2]SourceEnergy!$S$12:$T$12,0))/10</f>
        <v>3.9439438101401381</v>
      </c>
      <c r="E27" s="31">
        <f>INDEX([2]SourceEnergy!$U$20:$V$45,MATCH($B27,[2]SourceEnergy!$R$20:$R$45,0),MATCH(E$7,[2]SourceEnergy!$U$12:$V$12,0))/10</f>
        <v>4.0429007232567571</v>
      </c>
      <c r="F27" s="31">
        <f>INDEX([2]SourceEnergy!$U$20:$V$45,MATCH($B27,[2]SourceEnergy!$R$20:$R$45,0),MATCH(F$7,[2]SourceEnergy!$U$12:$V$12,0))/10</f>
        <v>3.7827119347229017</v>
      </c>
      <c r="G27" s="31"/>
      <c r="H27" s="51"/>
    </row>
    <row r="28" spans="1:14" x14ac:dyDescent="0.2">
      <c r="A28" s="29"/>
      <c r="B28" s="30">
        <f t="shared" si="0"/>
        <v>2043</v>
      </c>
      <c r="C28" s="31">
        <f>INDEX([2]SourceEnergy!$S$20:$T$45,MATCH($B28,[2]SourceEnergy!$R$20:$R$45,0),MATCH(C$7,[2]SourceEnergy!$S$12:$T$12,0))/10</f>
        <v>4.4165776865648967</v>
      </c>
      <c r="D28" s="31">
        <f>INDEX([2]SourceEnergy!$S$20:$T$45,MATCH($B28,[2]SourceEnergy!$R$20:$R$45,0),MATCH(D$7,[2]SourceEnergy!$S$12:$T$12,0))/10</f>
        <v>4.0536225594158548</v>
      </c>
      <c r="E28" s="31">
        <f>INDEX([2]SourceEnergy!$U$20:$V$45,MATCH($B28,[2]SourceEnergy!$R$20:$R$45,0),MATCH(E$7,[2]SourceEnergy!$U$12:$V$12,0))/10</f>
        <v>4.1805223250709957</v>
      </c>
      <c r="F28" s="31">
        <f>INDEX([2]SourceEnergy!$U$20:$V$45,MATCH($B28,[2]SourceEnergy!$R$20:$R$45,0),MATCH(F$7,[2]SourceEnergy!$U$12:$V$12,0))/10</f>
        <v>4.0052450652463163</v>
      </c>
      <c r="G28" s="31"/>
      <c r="H28" s="51"/>
    </row>
    <row r="29" spans="1:14" x14ac:dyDescent="0.2">
      <c r="A29" s="29"/>
      <c r="B29" s="30">
        <f t="shared" si="0"/>
        <v>2044</v>
      </c>
      <c r="C29" s="31">
        <f>INDEX([2]SourceEnergy!$S$20:$T$45,MATCH($B29,[2]SourceEnergy!$R$20:$R$45,0),MATCH(C$7,[2]SourceEnergy!$S$12:$T$12,0))/10</f>
        <v>4.2860343493216773</v>
      </c>
      <c r="D29" s="31">
        <f>INDEX([2]SourceEnergy!$S$20:$T$45,MATCH($B29,[2]SourceEnergy!$R$20:$R$45,0),MATCH(D$7,[2]SourceEnergy!$S$12:$T$12,0))/10</f>
        <v>3.8783376867202128</v>
      </c>
      <c r="E29" s="31">
        <f>INDEX([2]SourceEnergy!$U$20:$V$45,MATCH($B29,[2]SourceEnergy!$R$20:$R$45,0),MATCH(E$7,[2]SourceEnergy!$U$12:$V$12,0))/10</f>
        <v>4.3204643959963587</v>
      </c>
      <c r="F29" s="31">
        <f>INDEX([2]SourceEnergy!$U$20:$V$45,MATCH($B29,[2]SourceEnergy!$R$20:$R$45,0),MATCH(F$7,[2]SourceEnergy!$U$12:$V$12,0))/10</f>
        <v>3.784448621043603</v>
      </c>
      <c r="G29" s="31"/>
      <c r="H29" s="51"/>
    </row>
    <row r="30" spans="1:14" hidden="1" x14ac:dyDescent="0.2">
      <c r="A30" s="29"/>
      <c r="B30" s="30">
        <f t="shared" si="0"/>
        <v>2045</v>
      </c>
      <c r="C30" s="31">
        <f>INDEX([2]SourceEnergy!$S$20:$T$45,MATCH($B30,[2]SourceEnergy!$R$20:$R$45,0),MATCH(C$7,[2]SourceEnergy!$S$12:$T$12,0))/10</f>
        <v>0</v>
      </c>
      <c r="D30" s="31">
        <f>INDEX([2]SourceEnergy!$S$20:$T$45,MATCH($B30,[2]SourceEnergy!$R$20:$R$45,0),MATCH(D$7,[2]SourceEnergy!$S$12:$T$12,0))/10</f>
        <v>0</v>
      </c>
      <c r="E30" s="31">
        <f>INDEX([2]SourceEnergy!$U$20:$V$45,MATCH($B30,[2]SourceEnergy!$R$20:$R$45,0),MATCH(E$7,[2]SourceEnergy!$U$12:$V$12,0))/10</f>
        <v>0</v>
      </c>
      <c r="F30" s="31">
        <f>INDEX([2]SourceEnergy!$U$20:$V$45,MATCH($B30,[2]SourceEnergy!$R$20:$R$45,0),MATCH(F$7,[2]SourceEnergy!$U$12:$V$12,0))/10</f>
        <v>0</v>
      </c>
      <c r="G30" s="31"/>
      <c r="H30" s="51"/>
    </row>
    <row r="31" spans="1:14" x14ac:dyDescent="0.2">
      <c r="A31" s="29"/>
      <c r="B31" s="30"/>
      <c r="C31" s="29"/>
      <c r="D31" s="29"/>
      <c r="E31" s="29"/>
      <c r="F31" s="29"/>
      <c r="G31" s="29"/>
      <c r="H31" s="51"/>
      <c r="I31" s="30"/>
      <c r="J31" s="30"/>
      <c r="K31" s="30"/>
      <c r="L31" s="115"/>
      <c r="M31" s="115"/>
      <c r="N31" s="115"/>
    </row>
    <row r="32" spans="1:14" x14ac:dyDescent="0.2">
      <c r="A32" s="29"/>
      <c r="C32" s="27" t="s">
        <v>94</v>
      </c>
      <c r="D32" s="27"/>
      <c r="E32" s="45" t="s">
        <v>25</v>
      </c>
      <c r="F32" s="45"/>
      <c r="G32" s="27"/>
      <c r="H32" s="51"/>
      <c r="I32" s="30"/>
      <c r="J32" s="30"/>
      <c r="K32" s="30"/>
      <c r="M32" s="115"/>
      <c r="N32" s="29"/>
    </row>
    <row r="33" spans="1:14" ht="14.25" x14ac:dyDescent="0.35">
      <c r="A33" s="29"/>
      <c r="B33" s="34"/>
      <c r="C33" s="28" t="s">
        <v>7</v>
      </c>
      <c r="D33" s="28" t="s">
        <v>8</v>
      </c>
      <c r="E33" s="28" t="s">
        <v>7</v>
      </c>
      <c r="F33" s="28" t="s">
        <v>8</v>
      </c>
      <c r="G33" s="28"/>
      <c r="H33" s="51"/>
      <c r="L33" s="115"/>
      <c r="M33" s="115"/>
      <c r="N33" s="29"/>
    </row>
    <row r="34" spans="1:14" ht="36" customHeight="1" x14ac:dyDescent="0.2">
      <c r="B34" s="35" t="str">
        <f ca="1">"15-year ("&amp;INDEX($B:$B,MID(_xlfn.FORMULATEXT(C34),FIND("(C",_xlfn.FORMULATEXT(C34))+2,2),1)&amp;"-"&amp;INDEX($B:$B,MID(_xlfn.FORMULATEXT(C34),FIND("),",_xlfn.FORMULATEXT(C34))-2,2),1)&amp;") Nominal Levelized"</f>
        <v>15-year (2026-2040) Nominal Levelized</v>
      </c>
      <c r="C34" s="36">
        <f>-PMT('Table 4 Comparison'!$P$37,COUNT(C11:C25),NPV('Table 4 Comparison'!$P$37,C11:C25))</f>
        <v>2.8144019519773149</v>
      </c>
      <c r="D34" s="36">
        <f>-PMT('Table 4 Comparison'!$P$37,COUNT(D11:D25),NPV('Table 4 Comparison'!$P$37,D11:D25))</f>
        <v>3.4554134540092578</v>
      </c>
      <c r="E34" s="36">
        <f>-PMT('Table 4 Comparison'!$P$37,COUNT(E11:E25),NPV('Table 4 Comparison'!$P$37,E11:E25))</f>
        <v>3.1298534973468883</v>
      </c>
      <c r="F34" s="36">
        <f>-PMT('Table 4 Comparison'!$P$37,COUNT(F11:F25),NPV('Table 4 Comparison'!$P$37,F11:F25))</f>
        <v>3.2650898019957135</v>
      </c>
      <c r="G34" s="36"/>
    </row>
    <row r="35" spans="1:14" ht="28.5" customHeight="1" x14ac:dyDescent="0.2">
      <c r="A35" s="34"/>
      <c r="B35" s="35" t="str">
        <f ca="1">"15-year ("&amp;INDEX($B:$B,MID(_xlfn.FORMULATEXT(C35),FIND("(C",_xlfn.FORMULATEXT(C35))+2,2),1)&amp;"-"&amp;INDEX($B:$B,MID(_xlfn.FORMULATEXT(C35),FIND("),",_xlfn.FORMULATEXT(C35))-2,2),1)&amp;") Nominal Levelized"</f>
        <v>15-year (2027-2041) Nominal Levelized</v>
      </c>
      <c r="C35" s="36">
        <f>-PMT('Table 4 Comparison'!$P$37,COUNT(C12:C26),NPV('Table 4 Comparison'!$P$37,C12:C26))</f>
        <v>2.8909606740839999</v>
      </c>
      <c r="D35" s="36">
        <f>-PMT('Table 4 Comparison'!$P$37,COUNT(D12:D26),NPV('Table 4 Comparison'!$P$37,D12:D26))</f>
        <v>3.3391844819998613</v>
      </c>
      <c r="E35" s="36">
        <f>-PMT('Table 4 Comparison'!$P$37,COUNT(E12:E26),NPV('Table 4 Comparison'!$P$37,E12:E26))</f>
        <v>3.1712267438449593</v>
      </c>
      <c r="F35" s="36">
        <f>-PMT('Table 4 Comparison'!$P$37,COUNT(F12:F26),NPV('Table 4 Comparison'!$P$37,F12:F26))</f>
        <v>3.251752504596138</v>
      </c>
    </row>
    <row r="36" spans="1:14" ht="24.75" customHeight="1" x14ac:dyDescent="0.2">
      <c r="A36" s="38"/>
      <c r="B36" s="35" t="str">
        <f ca="1">"15-year ("&amp;INDEX($B:$B,MID(_xlfn.FORMULATEXT(C36),FIND("(C",_xlfn.FORMULATEXT(C36))+2,2),1)&amp;"-"&amp;INDEX($B:$B,MID(_xlfn.FORMULATEXT(C36),FIND("),",_xlfn.FORMULATEXT(C36))-2,2),1)&amp;") Nominal Levelized"</f>
        <v>15-year (2028-2042) Nominal Levelized</v>
      </c>
      <c r="C36" s="36">
        <f>-PMT('Table 4 Comparison'!$P$37,COUNT(C13:C27),NPV('Table 4 Comparison'!$P$37,C13:C27))</f>
        <v>3.0305214731377652</v>
      </c>
      <c r="D36" s="36">
        <f>-PMT('Table 4 Comparison'!$P$37,COUNT(D13:D27),NPV('Table 4 Comparison'!$P$37,D13:D27))</f>
        <v>3.2866042070743666</v>
      </c>
      <c r="E36" s="36">
        <f>-PMT('Table 4 Comparison'!$P$37,COUNT(E13:E27),NPV('Table 4 Comparison'!$P$37,E13:E27))</f>
        <v>3.2564673940608535</v>
      </c>
      <c r="F36" s="36">
        <f>-PMT('Table 4 Comparison'!$P$37,COUNT(F13:F27),NPV('Table 4 Comparison'!$P$37,F13:F27))</f>
        <v>3.2715071637701723</v>
      </c>
    </row>
    <row r="37" spans="1:14" ht="12.75" x14ac:dyDescent="0.2">
      <c r="A37" s="38"/>
      <c r="B37"/>
      <c r="C37"/>
      <c r="D37"/>
      <c r="E37"/>
      <c r="F37" s="39"/>
      <c r="G37" s="39"/>
      <c r="I37" s="26"/>
      <c r="J37" s="26"/>
      <c r="K37" s="26"/>
      <c r="M37" s="38"/>
      <c r="N37" s="38"/>
    </row>
    <row r="38" spans="1:14" ht="12.75" x14ac:dyDescent="0.2">
      <c r="A38" s="38"/>
      <c r="B38"/>
      <c r="C38"/>
      <c r="D38" s="41"/>
      <c r="E38" s="41"/>
      <c r="F38" s="39"/>
      <c r="G38" s="39"/>
      <c r="I38" s="26"/>
      <c r="J38" s="26"/>
      <c r="K38" s="26"/>
      <c r="M38" s="38"/>
      <c r="N38" s="38"/>
    </row>
    <row r="39" spans="1:14" ht="12.75" x14ac:dyDescent="0.2">
      <c r="A39" s="29"/>
      <c r="B39"/>
      <c r="C39"/>
      <c r="D39" s="41"/>
      <c r="E39" s="41"/>
      <c r="F39" s="29"/>
      <c r="G39" s="29"/>
      <c r="I39" s="34"/>
      <c r="J39" s="34"/>
      <c r="K39" s="34"/>
      <c r="L39" s="29"/>
      <c r="M39" s="29"/>
      <c r="N39" s="29"/>
    </row>
    <row r="40" spans="1:14" ht="12.75" x14ac:dyDescent="0.2">
      <c r="A40" s="37"/>
      <c r="B40"/>
      <c r="C40"/>
      <c r="D40" s="41"/>
      <c r="E40" s="41"/>
      <c r="L40" s="115"/>
      <c r="N40" s="37"/>
    </row>
    <row r="41" spans="1:14" ht="12.75" x14ac:dyDescent="0.2">
      <c r="A41" s="37"/>
      <c r="B41"/>
      <c r="C41"/>
      <c r="D41" s="41"/>
      <c r="E41" s="41"/>
      <c r="N41" s="37"/>
    </row>
  </sheetData>
  <printOptions horizontalCentered="1"/>
  <pageMargins left="0.25" right="0.25" top="0.75" bottom="0.75" header="0.3" footer="0.3"/>
  <pageSetup scale="62" orientation="landscape" copies="3" r:id="rId1"/>
  <headerFooter alignWithMargins="0">
    <oddFooter>&amp;L&amp;8NPC Group - &amp;F   ( &amp;A )&amp;C &amp;R &amp;8&amp;D 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4</vt:i4>
      </vt:variant>
    </vt:vector>
  </HeadingPairs>
  <TitlesOfParts>
    <vt:vector size="17" baseType="lpstr">
      <vt:lpstr>Table 1 Portfolio UIWC Summary</vt:lpstr>
      <vt:lpstr>Table 2 Detailed Portfolio</vt:lpstr>
      <vt:lpstr>Table 3 QF Signed Queue</vt:lpstr>
      <vt:lpstr>Table 4 Comparison</vt:lpstr>
      <vt:lpstr>Table 5 Gas Price</vt:lpstr>
      <vt:lpstr> Table 6 Electric Price</vt:lpstr>
      <vt:lpstr>Table7 Integration</vt:lpstr>
      <vt:lpstr>--- Do Not Print ---&gt;</vt:lpstr>
      <vt:lpstr>Tariff Page</vt:lpstr>
      <vt:lpstr>Tariff Page Solar Fixed</vt:lpstr>
      <vt:lpstr>Tariff Page Solar Tracking</vt:lpstr>
      <vt:lpstr>Tariff Page Wind</vt:lpstr>
      <vt:lpstr>OFPC Source</vt:lpstr>
      <vt:lpstr>'OFPC Source'!Print_Area</vt:lpstr>
      <vt:lpstr>'Table 3 QF Signed Queue'!Print_Area</vt:lpstr>
      <vt:lpstr>'Tariff Page Solar Fixed'!Print_Area</vt:lpstr>
      <vt:lpstr>'Tariff Page Solar Tracking'!Print_Area</vt:lpstr>
    </vt:vector>
  </TitlesOfParts>
  <Company>PacifiCorp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PacifiCorp</dc:creator>
  <cp:lastModifiedBy>Meyer, Carrie (PacifiCorp)</cp:lastModifiedBy>
  <cp:lastPrinted>2025-04-23T17:42:59Z</cp:lastPrinted>
  <dcterms:created xsi:type="dcterms:W3CDTF">2001-03-19T15:45:46Z</dcterms:created>
  <dcterms:modified xsi:type="dcterms:W3CDTF">2025-04-23T17:43:32Z</dcterms:modified>
</cp:coreProperties>
</file>