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Websites\Pscweb\utilities\electric\25docs\25035T10\"/>
    </mc:Choice>
  </mc:AlternateContent>
  <xr:revisionPtr revIDLastSave="0" documentId="8_{DE6C6817-C17E-49F5-82E2-919D59599F3B}" xr6:coauthVersionLast="47" xr6:coauthVersionMax="47" xr10:uidLastSave="{00000000-0000-0000-0000-000000000000}"/>
  <bookViews>
    <workbookView xWindow="375" yWindow="1035" windowWidth="28560" windowHeight="19875" xr2:uid="{023DB6E4-88C1-416F-BD4A-10ED6E5D83B0}"/>
  </bookViews>
  <sheets>
    <sheet name="Exhibit A(Rate Impact)" sheetId="1" r:id="rId1"/>
    <sheet name="Exhibit B(Rate Spread)" sheetId="2" r:id="rId2"/>
    <sheet name="Exhibit C(Rate Design)" sheetId="3" r:id="rId3"/>
    <sheet name="Exhibit D(Sch31-32 Rate)" sheetId="4" r:id="rId4"/>
    <sheet name="No exhibit&gt;&gt;" sheetId="6" r:id="rId5"/>
    <sheet name="Order(Exhibit B)" sheetId="5" r:id="rId6"/>
  </sheets>
  <definedNames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#REF!</definedName>
    <definedName name="__123Graph_A" localSheetId="1" hidden="1">#REF!</definedName>
    <definedName name="__123Graph_A" localSheetId="2" hidden="1">'Exhibit C(Rate Design)'!$C$111:$C$122</definedName>
    <definedName name="__123Graph_A" localSheetId="5" hidden="1">'Order(Exhibit B)'!$C$111:$C$122</definedName>
    <definedName name="__123Graph_A" hidden="1">#REF!</definedName>
    <definedName name="__123Graph_AGRAPH1" localSheetId="2" hidden="1">'Exhibit C(Rate Design)'!$C$1049:$C$1049</definedName>
    <definedName name="__123Graph_AGRAPH1" localSheetId="5" hidden="1">'Order(Exhibit B)'!$C$1049:$C$1049</definedName>
    <definedName name="__123Graph_B" localSheetId="0" hidden="1">#REF!</definedName>
    <definedName name="__123Graph_B" localSheetId="1" hidden="1">#REF!</definedName>
    <definedName name="__123Graph_B" localSheetId="2" hidden="1">'Exhibit C(Rate Design)'!#REF!</definedName>
    <definedName name="__123Graph_B" localSheetId="5" hidden="1">'Order(Exhibit B)'!#REF!</definedName>
    <definedName name="__123Graph_B" hidden="1">#REF!</definedName>
    <definedName name="__123Graph_C" localSheetId="2" hidden="1">'Exhibit C(Rate Design)'!#REF!</definedName>
    <definedName name="__123Graph_C" localSheetId="5" hidden="1">'Order(Exhibit B)'!#REF!</definedName>
    <definedName name="__123Graph_D" localSheetId="0" hidden="1">#REF!</definedName>
    <definedName name="__123Graph_D" localSheetId="1" hidden="1">#REF!</definedName>
    <definedName name="__123Graph_D" localSheetId="2" hidden="1">'Exhibit C(Rate Design)'!#REF!</definedName>
    <definedName name="__123Graph_D" localSheetId="5" hidden="1">'Order(Exhibit B)'!#REF!</definedName>
    <definedName name="__123Graph_D" hidden="1">#REF!</definedName>
    <definedName name="__123Graph_E" localSheetId="0" hidden="1">#REF!</definedName>
    <definedName name="__123Graph_E" localSheetId="1" hidden="1">#REF!</definedName>
    <definedName name="__123Graph_E" localSheetId="2" hidden="1">'Exhibit C(Rate Design)'!#REF!</definedName>
    <definedName name="__123Graph_E" localSheetId="5" hidden="1">'Order(Exhibit B)'!#REF!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'Exhibit C(Rate Design)'!#REF!</definedName>
    <definedName name="__123Graph_F" localSheetId="5" hidden="1">'Order(Exhibit B)'!#REF!</definedName>
    <definedName name="__123Graph_F" hidden="1">#REF!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ist_Values" localSheetId="2" hidden="1">'Exhibit C(Rate Design)'!#REF!</definedName>
    <definedName name="_Dist_Values" localSheetId="5" hidden="1">'Order(Exhibit B)'!#REF!</definedName>
    <definedName name="_Fill" localSheetId="0" hidden="1">#REF!</definedName>
    <definedName name="_Fill" localSheetId="1" hidden="1">#REF!</definedName>
    <definedName name="_Fill" localSheetId="2" hidden="1">'Exhibit C(Rate Design)'!#REF!</definedName>
    <definedName name="_Fill" localSheetId="5" hidden="1">'Order(Exhibit B)'!#REF!</definedName>
    <definedName name="_Fill" hidden="1">#REF!</definedName>
    <definedName name="_xlnm._FilterDatabase" localSheetId="0" hidden="1">#REF!</definedName>
    <definedName name="_xlnm._FilterDatabase" localSheetId="1" hidden="1">#REF!</definedName>
    <definedName name="_xlnm._FilterDatabase" localSheetId="2" hidden="1">'Exhibit C(Rate Design)'!$K$11:$T$1320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5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0" hidden="1">255</definedName>
    <definedName name="_Order1" localSheetId="1" hidden="1">255</definedName>
    <definedName name="_Order1" hidden="1">255</definedName>
    <definedName name="_Order2" localSheetId="0" hidden="1">255</definedName>
    <definedName name="_Order2" localSheetId="1" hidden="1">255</definedName>
    <definedName name="_Order2" hidden="1">255</definedName>
    <definedName name="_Regression_Out" localSheetId="0" hidden="1">#REF!</definedName>
    <definedName name="_Regression_Out" localSheetId="1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hidden="1">#REF!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localSheetId="1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localSheetId="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localSheetId="1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localSheetId="1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localSheetId="1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0" hidden="1">#REF!</definedName>
    <definedName name="a" localSheetId="1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lkjslkj" localSheetId="0" hidden="1">{0,#N/A,TRUE,0;0,#N/A,TRUE,0;0,#N/A,TRUE,0;0,#N/A,TRUE,0;0,#N/A,TRUE,0;0,#N/A,TRUE,0;0,#N/A,TRUE,0;0,#N/A,TRUE,0}</definedName>
    <definedName name="alkjslkj" localSheetId="1" hidden="1">{0,#N/A,TRUE,0;0,#N/A,TRUE,0;0,#N/A,TRUE,0;0,#N/A,TRUE,0;0,#N/A,TRUE,0;0,#N/A,TRUE,0;0,#N/A,TRUE,0;0,#N/A,TRUE,0}</definedName>
    <definedName name="alkjslkj" hidden="1">{0,#N/A,TRUE,0;0,#N/A,TRUE,0;0,#N/A,TRUE,0;0,#N/A,TRUE,0;0,#N/A,TRUE,0;0,#N/A,TRUE,0;0,#N/A,TRUE,0;0,#N/A,TRUE,0}</definedName>
    <definedName name="anscount" hidden="1">1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asdf" hidden="1">#REF!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0" hidden="1">{"YTD-Total",#N/A,TRUE,"Provision";"YTD-Utility",#N/A,TRUE,"Prov Utility";"YTD-NonUtility",#N/A,TRUE,"Prov NonUtility"}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localSheetId="1" hidden="1">#REF!</definedName>
    <definedName name="copy" hidden="1">#REF!</definedName>
    <definedName name="dana" localSheetId="0" hidden="1">{#N/A,#N/A,FALSE,"Summary EPS";#N/A,#N/A,FALSE,"1st Qtr Electric";#N/A,#N/A,FALSE,"1st Qtr Australia";#N/A,#N/A,FALSE,"1st Qtr Telecom";#N/A,#N/A,FALSE,"1st QTR Other"}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0" hidden="1">{#N/A,#N/A,FALSE,"Summary 1";#N/A,#N/A,FALSE,"Domestic";#N/A,#N/A,FALSE,"Australia";#N/A,#N/A,FALSE,"Other"}</definedName>
    <definedName name="dana1" localSheetId="1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sd" localSheetId="0" hidden="1">#REF!</definedName>
    <definedName name="dsd" localSheetId="1" hidden="1">#REF!</definedName>
    <definedName name="dsd" hidden="1">#REF!</definedName>
    <definedName name="DUDE" localSheetId="0" hidden="1">#REF!</definedName>
    <definedName name="DUDE" localSheetId="1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t" hidden="1">#REF!</definedName>
    <definedName name="extra2" localSheetId="0" hidden="1">{#N/A,#N/A,FALSE,"Loans";#N/A,#N/A,FALSE,"Program Costs";#N/A,#N/A,FALSE,"Measures";#N/A,#N/A,FALSE,"Net Lost Rev";#N/A,#N/A,FALSE,"Incentive"}</definedName>
    <definedName name="extra2" localSheetId="1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dgfas" hidden="1">#REF!</definedName>
    <definedName name="fhfjhke" localSheetId="0" hidden="1">{0,#N/A,TRUE,0;0,#N/A,TRUE,0;0,#N/A,TRUE,0;0,#N/A,TRUE,0;0,#N/A,TRUE,0;0,#N/A,TRUE,0;0,#N/A,TRUE,0;0,#N/A,TRUE,0}</definedName>
    <definedName name="fhfjhke" localSheetId="1" hidden="1">{0,#N/A,TRUE,0;0,#N/A,TRUE,0;0,#N/A,TRUE,0;0,#N/A,TRUE,0;0,#N/A,TRUE,0;0,#N/A,TRUE,0;0,#N/A,TRUE,0;0,#N/A,TRUE,0}</definedName>
    <definedName name="fhfjhke" hidden="1">{0,#N/A,TRUE,0;0,#N/A,TRUE,0;0,#N/A,TRUE,0;0,#N/A,TRUE,0;0,#N/A,TRUE,0;0,#N/A,TRUE,0;0,#N/A,TRUE,0;0,#N/A,TRUE,0}</definedName>
    <definedName name="fjljelj" localSheetId="0" hidden="1">{0,#N/A,TRUE,0;0,#N/A,TRUE,0;0,#N/A,TRUE,0;0,#N/A,TRUE,0;0,#N/A,TRUE,0;0,#N/A,TRUE,0;0,#N/A,TRUE,0;0,#N/A,TRUE,0}</definedName>
    <definedName name="fjljelj" localSheetId="1" hidden="1">{0,#N/A,TRUE,0;0,#N/A,TRUE,0;0,#N/A,TRUE,0;0,#N/A,TRUE,0;0,#N/A,TRUE,0;0,#N/A,TRUE,0;0,#N/A,TRUE,0;0,#N/A,TRUE,0}</definedName>
    <definedName name="fjljelj" hidden="1">{0,#N/A,TRUE,0;0,#N/A,TRUE,0;0,#N/A,TRUE,0;0,#N/A,TRUE,0;0,#N/A,TRUE,0;0,#N/A,TRUE,0;0,#N/A,TRUE,0;0,#N/A,TRUE,0}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j" hidden="1">#REF!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jfkejflj" localSheetId="0" hidden="1">{0,#N/A,TRUE,0;0,#N/A,TRUE,0;0,#N/A,TRUE,0;0,#N/A,TRUE,0;0,#N/A,TRUE,0;0,#N/A,TRUE,0;0,#N/A,TRUE,0;0,#N/A,TRUE,0}</definedName>
    <definedName name="jfkejflj" localSheetId="1" hidden="1">{0,#N/A,TRUE,0;0,#N/A,TRUE,0;0,#N/A,TRUE,0;0,#N/A,TRUE,0;0,#N/A,TRUE,0;0,#N/A,TRUE,0;0,#N/A,TRUE,0;0,#N/A,TRUE,0}</definedName>
    <definedName name="jfkejflj" hidden="1">{0,#N/A,TRUE,0;0,#N/A,TRUE,0;0,#N/A,TRUE,0;0,#N/A,TRUE,0;0,#N/A,TRUE,0;0,#N/A,TRUE,0;0,#N/A,TRUE,0;0,#N/A,TRUE,0}</definedName>
    <definedName name="jfkjlllje" localSheetId="0" hidden="1">{0,#N/A,TRUE,0;0,#N/A,TRUE,0;0,#N/A,TRUE,0;0,#N/A,TRUE,0;0,#N/A,TRUE,0;0,#N/A,TRUE,0;0,#N/A,TRUE,0;0,#N/A,TRUE,0}</definedName>
    <definedName name="jfkjlllje" localSheetId="1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0" hidden="1">{#N/A,#N/A,FALSE,"Actual";#N/A,#N/A,FALSE,"Normalized";#N/A,#N/A,FALSE,"Electric Actual";#N/A,#N/A,FALSE,"Electric Normalized"}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#REF!</definedName>
    <definedName name="PricingInfo" localSheetId="1" hidden="1">#REF!</definedName>
    <definedName name="PricingInfo" hidden="1">#REF!</definedName>
    <definedName name="_xlnm.Print_Area" localSheetId="0">'Exhibit A(Rate Impact)'!$A$1:$AA$49</definedName>
    <definedName name="_xlnm.Print_Area" localSheetId="1">'Exhibit B(Rate Spread)'!$A$1:$V$69</definedName>
    <definedName name="_xlnm.Print_Area" localSheetId="2">'Exhibit C(Rate Design)'!$A$1:$M$1320</definedName>
    <definedName name="_xlnm.Print_Area" localSheetId="3">'Exhibit D(Sch31-32 Rate)'!$A$1:$L$112</definedName>
    <definedName name="_xlnm.Print_Area" localSheetId="5">'Order(Exhibit B)'!$A$1:$M$1320</definedName>
    <definedName name="qw" hidden="1">#REF!</definedName>
    <definedName name="retail" localSheetId="0" hidden="1">{#N/A,#N/A,FALSE,"Loans";#N/A,#N/A,FALSE,"Program Costs";#N/A,#N/A,FALSE,"Measures";#N/A,#N/A,FALSE,"Net Lost Rev";#N/A,#N/A,FALSE,"Incentive"}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olver_adj" localSheetId="2" hidden="1">'Exhibit C(Rate Design)'!#REF!</definedName>
    <definedName name="solver_adj" localSheetId="5" hidden="1">'Order(Exhibit B)'!#REF!</definedName>
    <definedName name="solver_cvg" localSheetId="2" hidden="1">0.001</definedName>
    <definedName name="solver_cvg" localSheetId="5" hidden="1">0.001</definedName>
    <definedName name="solver_drv" localSheetId="2" hidden="1">1</definedName>
    <definedName name="solver_drv" localSheetId="5" hidden="1">1</definedName>
    <definedName name="solver_est" localSheetId="2" hidden="1">1</definedName>
    <definedName name="solver_est" localSheetId="5" hidden="1">1</definedName>
    <definedName name="solver_itr" localSheetId="2" hidden="1">100</definedName>
    <definedName name="solver_itr" localSheetId="5" hidden="1">100</definedName>
    <definedName name="solver_lin" localSheetId="2" hidden="1">2</definedName>
    <definedName name="solver_lin" localSheetId="5" hidden="1">2</definedName>
    <definedName name="solver_neg" localSheetId="2" hidden="1">2</definedName>
    <definedName name="solver_neg" localSheetId="5" hidden="1">2</definedName>
    <definedName name="solver_num" localSheetId="2" hidden="1">0</definedName>
    <definedName name="solver_num" localSheetId="5" hidden="1">0</definedName>
    <definedName name="solver_nwt" localSheetId="2" hidden="1">1</definedName>
    <definedName name="solver_nwt" localSheetId="5" hidden="1">1</definedName>
    <definedName name="solver_opt" localSheetId="2" hidden="1">'Exhibit C(Rate Design)'!#REF!</definedName>
    <definedName name="solver_opt" localSheetId="5" hidden="1">'Order(Exhibit B)'!#REF!</definedName>
    <definedName name="solver_pre" localSheetId="2" hidden="1">0.000001</definedName>
    <definedName name="solver_pre" localSheetId="5" hidden="1">0.000001</definedName>
    <definedName name="solver_scl" localSheetId="2" hidden="1">2</definedName>
    <definedName name="solver_scl" localSheetId="5" hidden="1">2</definedName>
    <definedName name="solver_sho" localSheetId="2" hidden="1">2</definedName>
    <definedName name="solver_sho" localSheetId="5" hidden="1">2</definedName>
    <definedName name="solver_tim" localSheetId="2" hidden="1">100</definedName>
    <definedName name="solver_tim" localSheetId="5" hidden="1">100</definedName>
    <definedName name="solver_tol" localSheetId="2" hidden="1">0.05</definedName>
    <definedName name="solver_tol" localSheetId="5" hidden="1">0.05</definedName>
    <definedName name="solver_typ" localSheetId="2" hidden="1">2</definedName>
    <definedName name="solver_typ" localSheetId="5" hidden="1">2</definedName>
    <definedName name="solver_val" localSheetId="2" hidden="1">0</definedName>
    <definedName name="solver_val" localSheetId="5" hidden="1">0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0" hidden="1">{#N/A,#N/A,FALSE,"Actual";#N/A,#N/A,FALSE,"Normalized";#N/A,#N/A,FALSE,"Electric Actual";#N/A,#N/A,FALSE,"Electric Normalized"}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0" hidden="1">{"PRINT",#N/A,TRUE,"APPA";"PRINT",#N/A,TRUE,"APS";"PRINT",#N/A,TRUE,"BHPL";"PRINT",#N/A,TRUE,"BHPL2";"PRINT",#N/A,TRUE,"CDWR";"PRINT",#N/A,TRUE,"EWEB";"PRINT",#N/A,TRUE,"LADWP";"PRINT",#N/A,TRUE,"NEVBASE"}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0" hidden="1">{"YTD-Total",#N/A,FALSE,"Provision"}</definedName>
    <definedName name="standard1" localSheetId="1" hidden="1">{"YTD-Total",#N/A,FALSE,"Provision"}</definedName>
    <definedName name="standard1" hidden="1">{"YTD-Total",#N/A,FALSE,"Provision"}</definedName>
    <definedName name="temp" hidden="1">{#N/A,#N/A,FALSE,"Summary";#N/A,#N/A,FALSE,"SmPlants";#N/A,#N/A,FALSE,"Utah";#N/A,#N/A,FALSE,"Idaho";#N/A,#N/A,FALSE,"Lewis River";#N/A,#N/A,FALSE,"NrthUmpq";#N/A,#N/A,FALSE,"KlamRog"}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#REF!</definedName>
    <definedName name="w" localSheetId="1" hidden="1">#REF!</definedName>
    <definedName name="w" hidden="1">#REF!</definedName>
    <definedName name="we" hidden="1">#REF!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localSheetId="0" hidden="1">{#N/A,#N/A,FALSE,"June 01 Mapping";#N/A,#N/A,FALSE,"June 01 conv";#N/A,#N/A,FALSE,"reclass";#N/A,#N/A,FALSE,"US FV";#N/A,#N/A,FALSE,"UK FV";#N/A,#N/A,FALSE,"UK GAAP"}</definedName>
    <definedName name="wrn.All._.but._.Syn._.and._.JE." localSheetId="1" hidden="1">{#N/A,#N/A,FALSE,"June 01 Mapping";#N/A,#N/A,FALSE,"June 01 conv";#N/A,#N/A,FALSE,"reclass";#N/A,#N/A,FALSE,"US FV";#N/A,#N/A,FALSE,"UK FV";#N/A,#N/A,FALSE,"UK GAAP"}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sheet";#N/A,#N/A,FALSE,"Adj backup";#N/A,#N/A,FALSE,"t Accounts"}</definedName>
    <definedName name="wrn.All._.Pages." localSheetId="1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Allocation._.factor." localSheetId="0" hidden="1">{#N/A,#N/A,TRUE,"11.1";#N/A,#N/A,TRUE,"11.2";#N/A,#N/A,TRUE,"11.3-.4";#N/A,#N/A,TRUE,"11.5-11.6";#N/A,#N/A,TRUE,"11.7-.10";#N/A,#N/A,TRUE,"11.11-11.22";#N/A,#N/A,TRUE,"11.23_ECD"}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0" hidden="1">{#N/A,#N/A,FALSE,"Output Ass";#N/A,#N/A,FALSE,"Sum Tot";#N/A,#N/A,FALSE,"Ex Sum Year";#N/A,#N/A,FALSE,"Sum Qtr"}</definedName>
    <definedName name="wrn.Exec._.Summary." localSheetId="1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0" hidden="1">{"FullView",#N/A,FALSE,"Consltd-For contngcy"}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0" hidden="1">{#N/A,#N/A,TRUE,"Filing Back-Up Pages_4.8.4-7";#N/A,#N/A,TRUE,"GI Back-up Page_4.8.8"}</definedName>
    <definedName name="wrn.new." localSheetId="1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0" hidden="1">{"Open issues Only",#N/A,FALSE,"TIMELINE"}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0" hidden="1">{#N/A,#N/A,TRUE,"10.1_Historical Cover Sheet";#N/A,#N/A,TRUE,"10.2-10.3_Historical";#N/A,#N/A,TRUE,"10.4_Historical";#N/A,#N/A,TRUE,"10.4.1_Historical";#N/A,#N/A,TRUE,"10.7-10.17_Historical"}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0" hidden="1">{#N/A,#N/A,FALSE,"Consltd-For contngcy";"PaymentView",#N/A,FALSE,"Consltd-For contngcy"}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0" hidden="1">{"DATA_SET",#N/A,FALSE,"HOURLY SPREAD"}</definedName>
    <definedName name="wrn.PRINT._.SOURCE._.DATA." localSheetId="1" hidden="1">{"DATA_SET",#N/A,FALSE,"HOURLY SPREAD"}</definedName>
    <definedName name="wrn.PRINT._.SOURCE._.DATA." hidden="1">{"DATA_SET",#N/A,FALSE,"HOURLY SPREAD"}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" localSheetId="0" hidden="1">{#N/A,#N/A,FALSE,"Sum Qtr";#N/A,#N/A,FALSE,"Oper Sum";#N/A,#N/A,FALSE,"Land Sales";#N/A,#N/A,FALSE,"Finance";#N/A,#N/A,FALSE,"Oper Ass"}</definedName>
    <definedName name="wrn.Summary." localSheetId="1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0" hidden="1">{#N/A,#N/A,FALSE,"Consltd-For contngcy"}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test." localSheetId="0" hidden="1">{#N/A,#N/A,TRUE,"10.1_Historical Cover Sheet";#N/A,#N/A,TRUE,"10.2-10.3_Historical"}</definedName>
    <definedName name="wrn.test." localSheetId="1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localSheetId="1" hidden="1">#REF!</definedName>
    <definedName name="y" hidden="1">#REF!</definedName>
    <definedName name="z" localSheetId="0" hidden="1">#REF!</definedName>
    <definedName name="z" localSheetId="1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03" i="3" l="1"/>
  <c r="K24" i="3"/>
  <c r="S24" i="3" s="1"/>
  <c r="M1317" i="5"/>
  <c r="M1316" i="5"/>
  <c r="M1315" i="5"/>
  <c r="M1314" i="5"/>
  <c r="H1318" i="5"/>
  <c r="M1313" i="5"/>
  <c r="D1310" i="5"/>
  <c r="D1306" i="5"/>
  <c r="M1306" i="5" s="1"/>
  <c r="C1310" i="5"/>
  <c r="H1306" i="5"/>
  <c r="C1293" i="5"/>
  <c r="D1302" i="5"/>
  <c r="C1302" i="5"/>
  <c r="D1297" i="5"/>
  <c r="C1289" i="5"/>
  <c r="H1289" i="5" s="1"/>
  <c r="D1293" i="5"/>
  <c r="C1292" i="5"/>
  <c r="I1286" i="5"/>
  <c r="H1286" i="5"/>
  <c r="D1286" i="5"/>
  <c r="C1286" i="5"/>
  <c r="M1285" i="5"/>
  <c r="M1283" i="5"/>
  <c r="M1286" i="5" s="1"/>
  <c r="C1280" i="5"/>
  <c r="H1279" i="5"/>
  <c r="H1278" i="5"/>
  <c r="H1277" i="5"/>
  <c r="H1276" i="5"/>
  <c r="M1276" i="5"/>
  <c r="H1275" i="5"/>
  <c r="H1274" i="5"/>
  <c r="H1273" i="5"/>
  <c r="D1273" i="5"/>
  <c r="H1272" i="5"/>
  <c r="M1272" i="5"/>
  <c r="C1269" i="5"/>
  <c r="H1268" i="5"/>
  <c r="M1267" i="5"/>
  <c r="I1267" i="5"/>
  <c r="H1267" i="5"/>
  <c r="H1266" i="5"/>
  <c r="I1265" i="5"/>
  <c r="H1265" i="5"/>
  <c r="H1264" i="5"/>
  <c r="D1264" i="5"/>
  <c r="I1264" i="5" s="1"/>
  <c r="H1263" i="5"/>
  <c r="D1263" i="5"/>
  <c r="H1262" i="5"/>
  <c r="D1262" i="5"/>
  <c r="I1262" i="5" s="1"/>
  <c r="I1261" i="5"/>
  <c r="H1261" i="5"/>
  <c r="H1269" i="5" s="1"/>
  <c r="M1261" i="5"/>
  <c r="M1258" i="5"/>
  <c r="D1253" i="5"/>
  <c r="C1253" i="5"/>
  <c r="D1252" i="5" s="1"/>
  <c r="H1252" i="5"/>
  <c r="M1251" i="5"/>
  <c r="I1251" i="5"/>
  <c r="H1251" i="5"/>
  <c r="M1250" i="5"/>
  <c r="I1250" i="5"/>
  <c r="H1250" i="5"/>
  <c r="M1249" i="5"/>
  <c r="I1249" i="5"/>
  <c r="H1249" i="5"/>
  <c r="M1248" i="5"/>
  <c r="I1248" i="5"/>
  <c r="H1248" i="5"/>
  <c r="H1247" i="5"/>
  <c r="H1246" i="5"/>
  <c r="D1242" i="5"/>
  <c r="C1242" i="5"/>
  <c r="M1240" i="5"/>
  <c r="I1240" i="5"/>
  <c r="H1240" i="5"/>
  <c r="M1239" i="5"/>
  <c r="I1239" i="5"/>
  <c r="H1239" i="5"/>
  <c r="H1237" i="5"/>
  <c r="H1236" i="5"/>
  <c r="M1234" i="5"/>
  <c r="I1234" i="5"/>
  <c r="H1234" i="5"/>
  <c r="M1233" i="5"/>
  <c r="I1233" i="5"/>
  <c r="H1233" i="5"/>
  <c r="M1231" i="5"/>
  <c r="I1231" i="5"/>
  <c r="H1231" i="5"/>
  <c r="M1230" i="5"/>
  <c r="I1230" i="5"/>
  <c r="H1230" i="5"/>
  <c r="M1228" i="5"/>
  <c r="I1228" i="5"/>
  <c r="H1228" i="5"/>
  <c r="M1227" i="5"/>
  <c r="I1227" i="5"/>
  <c r="H1227" i="5"/>
  <c r="M1224" i="5"/>
  <c r="I1224" i="5"/>
  <c r="H1224" i="5"/>
  <c r="H1223" i="5"/>
  <c r="M1222" i="5"/>
  <c r="I1222" i="5"/>
  <c r="H1222" i="5"/>
  <c r="M1221" i="5"/>
  <c r="I1221" i="5"/>
  <c r="H1221" i="5"/>
  <c r="M1220" i="5"/>
  <c r="I1220" i="5"/>
  <c r="H1220" i="5"/>
  <c r="H1218" i="5"/>
  <c r="H1217" i="5"/>
  <c r="H1216" i="5"/>
  <c r="M1214" i="5"/>
  <c r="I1214" i="5"/>
  <c r="H1214" i="5"/>
  <c r="H1213" i="5"/>
  <c r="M1212" i="5"/>
  <c r="I1212" i="5"/>
  <c r="H1212" i="5"/>
  <c r="H1242" i="5" s="1"/>
  <c r="I1205" i="5"/>
  <c r="D1205" i="5"/>
  <c r="D1206" i="5" s="1"/>
  <c r="H1205" i="5"/>
  <c r="M1203" i="5"/>
  <c r="I1203" i="5"/>
  <c r="H1203" i="5"/>
  <c r="M1202" i="5"/>
  <c r="I1202" i="5"/>
  <c r="H1201" i="5"/>
  <c r="H1200" i="5"/>
  <c r="H1199" i="5"/>
  <c r="D1196" i="5"/>
  <c r="C1196" i="5"/>
  <c r="M1194" i="5"/>
  <c r="I1194" i="5"/>
  <c r="H1194" i="5"/>
  <c r="M1193" i="5"/>
  <c r="I1193" i="5"/>
  <c r="H1193" i="5"/>
  <c r="M1191" i="5"/>
  <c r="I1191" i="5"/>
  <c r="H1191" i="5"/>
  <c r="M1190" i="5"/>
  <c r="I1190" i="5"/>
  <c r="H1190" i="5"/>
  <c r="M1188" i="5"/>
  <c r="I1188" i="5"/>
  <c r="H1188" i="5"/>
  <c r="M1187" i="5"/>
  <c r="I1187" i="5"/>
  <c r="H1187" i="5"/>
  <c r="M1185" i="5"/>
  <c r="I1185" i="5"/>
  <c r="H1185" i="5"/>
  <c r="M1184" i="5"/>
  <c r="I1184" i="5"/>
  <c r="H1184" i="5"/>
  <c r="H1182" i="5"/>
  <c r="H1181" i="5"/>
  <c r="M1178" i="5"/>
  <c r="I1178" i="5"/>
  <c r="H1178" i="5"/>
  <c r="M1177" i="5"/>
  <c r="I1177" i="5"/>
  <c r="H1177" i="5"/>
  <c r="M1176" i="5"/>
  <c r="I1176" i="5"/>
  <c r="H1176" i="5"/>
  <c r="M1175" i="5"/>
  <c r="I1175" i="5"/>
  <c r="H1175" i="5"/>
  <c r="H1174" i="5"/>
  <c r="H1172" i="5"/>
  <c r="H1171" i="5"/>
  <c r="H1170" i="5"/>
  <c r="D1170" i="5"/>
  <c r="M1170" i="5" s="1"/>
  <c r="M1168" i="5"/>
  <c r="I1168" i="5"/>
  <c r="H1168" i="5"/>
  <c r="M1167" i="5"/>
  <c r="I1167" i="5"/>
  <c r="H1167" i="5"/>
  <c r="M1166" i="5"/>
  <c r="D1171" i="5"/>
  <c r="H1166" i="5"/>
  <c r="H1159" i="5"/>
  <c r="H1158" i="5"/>
  <c r="H1156" i="5"/>
  <c r="H1155" i="5"/>
  <c r="H1154" i="5"/>
  <c r="C1150" i="5"/>
  <c r="D1148" i="5"/>
  <c r="D1150" i="5" s="1"/>
  <c r="H1146" i="5"/>
  <c r="M1144" i="5"/>
  <c r="I1144" i="5"/>
  <c r="H1144" i="5"/>
  <c r="M1143" i="5"/>
  <c r="I1143" i="5"/>
  <c r="H1143" i="5"/>
  <c r="M1141" i="5"/>
  <c r="I1141" i="5"/>
  <c r="H1141" i="5"/>
  <c r="M1140" i="5"/>
  <c r="I1140" i="5"/>
  <c r="H1140" i="5"/>
  <c r="M1138" i="5"/>
  <c r="I1138" i="5"/>
  <c r="H1138" i="5"/>
  <c r="M1137" i="5"/>
  <c r="I1137" i="5"/>
  <c r="H1137" i="5"/>
  <c r="M1135" i="5"/>
  <c r="I1135" i="5"/>
  <c r="H1135" i="5"/>
  <c r="M1134" i="5"/>
  <c r="I1134" i="5"/>
  <c r="H1134" i="5"/>
  <c r="H1131" i="5"/>
  <c r="M1130" i="5"/>
  <c r="I1130" i="5"/>
  <c r="H1130" i="5"/>
  <c r="M1129" i="5"/>
  <c r="I1129" i="5"/>
  <c r="H1129" i="5"/>
  <c r="M1128" i="5"/>
  <c r="I1128" i="5"/>
  <c r="H1128" i="5"/>
  <c r="M1127" i="5"/>
  <c r="I1127" i="5"/>
  <c r="H1127" i="5"/>
  <c r="H1125" i="5"/>
  <c r="H1123" i="5"/>
  <c r="H1121" i="5"/>
  <c r="M1120" i="5"/>
  <c r="I1120" i="5"/>
  <c r="H1120" i="5"/>
  <c r="M1119" i="5"/>
  <c r="I1119" i="5"/>
  <c r="H1119" i="5"/>
  <c r="H1111" i="5"/>
  <c r="H1110" i="5"/>
  <c r="H1109" i="5"/>
  <c r="H1108" i="5"/>
  <c r="H1107" i="5"/>
  <c r="M1104" i="5"/>
  <c r="I1104" i="5"/>
  <c r="H1104" i="5"/>
  <c r="M1103" i="5"/>
  <c r="I1103" i="5"/>
  <c r="H1103" i="5"/>
  <c r="M1102" i="5"/>
  <c r="I1102" i="5"/>
  <c r="H1102" i="5"/>
  <c r="M1101" i="5"/>
  <c r="I1101" i="5"/>
  <c r="H1101" i="5"/>
  <c r="M1100" i="5"/>
  <c r="I1100" i="5"/>
  <c r="C1115" i="5"/>
  <c r="D1111" i="5" s="1"/>
  <c r="M1099" i="5"/>
  <c r="I1099" i="5"/>
  <c r="H1099" i="5"/>
  <c r="M1098" i="5"/>
  <c r="I1098" i="5"/>
  <c r="H1098" i="5"/>
  <c r="M1097" i="5"/>
  <c r="I1097" i="5"/>
  <c r="H1097" i="5"/>
  <c r="H1093" i="5"/>
  <c r="D1092" i="5"/>
  <c r="I1092" i="5" s="1"/>
  <c r="H1092" i="5"/>
  <c r="H1090" i="5"/>
  <c r="H1089" i="5"/>
  <c r="D1089" i="5"/>
  <c r="H1087" i="5"/>
  <c r="D1086" i="5"/>
  <c r="I1086" i="5" s="1"/>
  <c r="H1086" i="5"/>
  <c r="H1083" i="5"/>
  <c r="D1083" i="5"/>
  <c r="M1083" i="5" s="1"/>
  <c r="H1082" i="5"/>
  <c r="H1081" i="5"/>
  <c r="M1079" i="5"/>
  <c r="I1079" i="5"/>
  <c r="H1079" i="5"/>
  <c r="M1078" i="5"/>
  <c r="I1078" i="5"/>
  <c r="H1078" i="5"/>
  <c r="M1076" i="5"/>
  <c r="I1076" i="5"/>
  <c r="H1076" i="5"/>
  <c r="M1075" i="5"/>
  <c r="I1075" i="5"/>
  <c r="H1075" i="5"/>
  <c r="M1073" i="5"/>
  <c r="I1073" i="5"/>
  <c r="H1073" i="5"/>
  <c r="M1072" i="5"/>
  <c r="I1072" i="5"/>
  <c r="H1072" i="5"/>
  <c r="M1069" i="5"/>
  <c r="I1069" i="5"/>
  <c r="H1069" i="5"/>
  <c r="M1068" i="5"/>
  <c r="I1068" i="5"/>
  <c r="H1068" i="5"/>
  <c r="M1067" i="5"/>
  <c r="I1067" i="5"/>
  <c r="H1067" i="5"/>
  <c r="M1065" i="5"/>
  <c r="I1065" i="5"/>
  <c r="H1065" i="5"/>
  <c r="M1064" i="5"/>
  <c r="I1064" i="5"/>
  <c r="H1064" i="5"/>
  <c r="M1062" i="5"/>
  <c r="I1062" i="5"/>
  <c r="H1062" i="5"/>
  <c r="M1061" i="5"/>
  <c r="I1061" i="5"/>
  <c r="H1061" i="5"/>
  <c r="M1059" i="5"/>
  <c r="I1059" i="5"/>
  <c r="H1059" i="5"/>
  <c r="M1058" i="5"/>
  <c r="I1058" i="5"/>
  <c r="H1058" i="5"/>
  <c r="M1055" i="5"/>
  <c r="I1055" i="5"/>
  <c r="H1055" i="5"/>
  <c r="M1054" i="5"/>
  <c r="I1054" i="5"/>
  <c r="H1054" i="5"/>
  <c r="M1053" i="5"/>
  <c r="I1053" i="5"/>
  <c r="H1053" i="5"/>
  <c r="H1046" i="5"/>
  <c r="H1045" i="5"/>
  <c r="H1044" i="5"/>
  <c r="H1042" i="5"/>
  <c r="H1041" i="5"/>
  <c r="H1040" i="5"/>
  <c r="H1038" i="5"/>
  <c r="H1037" i="5"/>
  <c r="H1036" i="5"/>
  <c r="C969" i="5"/>
  <c r="H969" i="5" s="1"/>
  <c r="C1049" i="5"/>
  <c r="H1033" i="5"/>
  <c r="H1032" i="5"/>
  <c r="H1027" i="5"/>
  <c r="H1026" i="5"/>
  <c r="H1024" i="5"/>
  <c r="D1024" i="5"/>
  <c r="H1021" i="5"/>
  <c r="H1020" i="5"/>
  <c r="H1016" i="5"/>
  <c r="H1015" i="5"/>
  <c r="H1013" i="5"/>
  <c r="H1010" i="5"/>
  <c r="H1009" i="5"/>
  <c r="H1007" i="5"/>
  <c r="H1003" i="5"/>
  <c r="H1002" i="5"/>
  <c r="H1001" i="5"/>
  <c r="H998" i="5"/>
  <c r="H996" i="5"/>
  <c r="H995" i="5"/>
  <c r="H992" i="5"/>
  <c r="H989" i="5"/>
  <c r="H988" i="5"/>
  <c r="D983" i="5"/>
  <c r="H982" i="5"/>
  <c r="C982" i="5"/>
  <c r="C980" i="5"/>
  <c r="H980" i="5" s="1"/>
  <c r="C979" i="5"/>
  <c r="H979" i="5" s="1"/>
  <c r="C978" i="5"/>
  <c r="H978" i="5" s="1"/>
  <c r="C977" i="5"/>
  <c r="H977" i="5" s="1"/>
  <c r="C976" i="5"/>
  <c r="H976" i="5" s="1"/>
  <c r="C975" i="5"/>
  <c r="H975" i="5" s="1"/>
  <c r="C974" i="5"/>
  <c r="H974" i="5" s="1"/>
  <c r="C972" i="5"/>
  <c r="H972" i="5" s="1"/>
  <c r="C971" i="5"/>
  <c r="H971" i="5" s="1"/>
  <c r="C970" i="5"/>
  <c r="H970" i="5" s="1"/>
  <c r="C968" i="5"/>
  <c r="H968" i="5" s="1"/>
  <c r="C967" i="5"/>
  <c r="H967" i="5" s="1"/>
  <c r="C966" i="5"/>
  <c r="H966" i="5" s="1"/>
  <c r="C965" i="5"/>
  <c r="H965" i="5" s="1"/>
  <c r="C961" i="5"/>
  <c r="H961" i="5" s="1"/>
  <c r="C960" i="5"/>
  <c r="H960" i="5" s="1"/>
  <c r="C958" i="5"/>
  <c r="H958" i="5" s="1"/>
  <c r="C957" i="5"/>
  <c r="H957" i="5" s="1"/>
  <c r="C955" i="5"/>
  <c r="H955" i="5" s="1"/>
  <c r="C954" i="5"/>
  <c r="H954" i="5" s="1"/>
  <c r="H950" i="5"/>
  <c r="C950" i="5"/>
  <c r="C949" i="5"/>
  <c r="H949" i="5" s="1"/>
  <c r="C947" i="5"/>
  <c r="H947" i="5" s="1"/>
  <c r="C946" i="5"/>
  <c r="H946" i="5" s="1"/>
  <c r="C944" i="5"/>
  <c r="H944" i="5" s="1"/>
  <c r="C943" i="5"/>
  <c r="H943" i="5" s="1"/>
  <c r="C941" i="5"/>
  <c r="H941" i="5" s="1"/>
  <c r="C937" i="5"/>
  <c r="H937" i="5" s="1"/>
  <c r="C936" i="5"/>
  <c r="H936" i="5" s="1"/>
  <c r="C935" i="5"/>
  <c r="H935" i="5" s="1"/>
  <c r="C932" i="5"/>
  <c r="H932" i="5" s="1"/>
  <c r="C930" i="5"/>
  <c r="H930" i="5" s="1"/>
  <c r="C929" i="5"/>
  <c r="H929" i="5" s="1"/>
  <c r="C926" i="5"/>
  <c r="H926" i="5" s="1"/>
  <c r="C923" i="5"/>
  <c r="H923" i="5" s="1"/>
  <c r="C922" i="5"/>
  <c r="H922" i="5" s="1"/>
  <c r="H914" i="5"/>
  <c r="H912" i="5"/>
  <c r="H910" i="5"/>
  <c r="M907" i="5"/>
  <c r="H906" i="5"/>
  <c r="D906" i="5"/>
  <c r="I906" i="5" s="1"/>
  <c r="M904" i="5"/>
  <c r="H904" i="5"/>
  <c r="I904" i="5"/>
  <c r="H913" i="5"/>
  <c r="H868" i="5"/>
  <c r="H891" i="5"/>
  <c r="M875" i="5"/>
  <c r="D869" i="5"/>
  <c r="C868" i="5"/>
  <c r="H847" i="5"/>
  <c r="H843" i="5"/>
  <c r="I840" i="5"/>
  <c r="I843" i="5"/>
  <c r="M824" i="5"/>
  <c r="I824" i="5"/>
  <c r="H824" i="5"/>
  <c r="H835" i="5"/>
  <c r="H804" i="5"/>
  <c r="C804" i="5"/>
  <c r="H817" i="5"/>
  <c r="H816" i="5"/>
  <c r="H812" i="5"/>
  <c r="H810" i="5"/>
  <c r="H808" i="5"/>
  <c r="D792" i="5"/>
  <c r="M785" i="5"/>
  <c r="I785" i="5"/>
  <c r="M786" i="5"/>
  <c r="M778" i="5"/>
  <c r="I778" i="5"/>
  <c r="M779" i="5"/>
  <c r="H778" i="5"/>
  <c r="H767" i="5"/>
  <c r="M771" i="5"/>
  <c r="I771" i="5"/>
  <c r="M772" i="5"/>
  <c r="D765" i="5"/>
  <c r="D764" i="5"/>
  <c r="M764" i="5" s="1"/>
  <c r="M759" i="5"/>
  <c r="I759" i="5"/>
  <c r="M757" i="5"/>
  <c r="I757" i="5"/>
  <c r="H755" i="5"/>
  <c r="H758" i="5"/>
  <c r="I750" i="5"/>
  <c r="D752" i="5"/>
  <c r="D730" i="5"/>
  <c r="M741" i="5"/>
  <c r="I739" i="5"/>
  <c r="M739" i="5"/>
  <c r="H737" i="5"/>
  <c r="H740" i="5"/>
  <c r="H733" i="5"/>
  <c r="C733" i="5"/>
  <c r="C724" i="5"/>
  <c r="C722" i="5"/>
  <c r="H717" i="5"/>
  <c r="D717" i="5"/>
  <c r="H716" i="5"/>
  <c r="H715" i="5"/>
  <c r="H714" i="5"/>
  <c r="H712" i="5"/>
  <c r="H711" i="5"/>
  <c r="H710" i="5"/>
  <c r="H709" i="5"/>
  <c r="H708" i="5"/>
  <c r="H706" i="5"/>
  <c r="H705" i="5"/>
  <c r="H703" i="5"/>
  <c r="D703" i="5"/>
  <c r="H702" i="5"/>
  <c r="D694" i="5"/>
  <c r="H696" i="5"/>
  <c r="H694" i="5"/>
  <c r="H693" i="5"/>
  <c r="H692" i="5"/>
  <c r="H691" i="5"/>
  <c r="D690" i="5"/>
  <c r="M690" i="5" s="1"/>
  <c r="H690" i="5"/>
  <c r="H689" i="5"/>
  <c r="D689" i="5"/>
  <c r="D688" i="5"/>
  <c r="M688" i="5" s="1"/>
  <c r="H688" i="5"/>
  <c r="H686" i="5"/>
  <c r="D686" i="5"/>
  <c r="D685" i="5"/>
  <c r="M685" i="5" s="1"/>
  <c r="H685" i="5"/>
  <c r="H684" i="5"/>
  <c r="D684" i="5"/>
  <c r="D683" i="5"/>
  <c r="M683" i="5" s="1"/>
  <c r="H683" i="5"/>
  <c r="H682" i="5"/>
  <c r="H681" i="5"/>
  <c r="H680" i="5"/>
  <c r="H679" i="5"/>
  <c r="H678" i="5"/>
  <c r="H677" i="5"/>
  <c r="D675" i="5"/>
  <c r="M675" i="5" s="1"/>
  <c r="H675" i="5"/>
  <c r="H674" i="5"/>
  <c r="D674" i="5"/>
  <c r="D673" i="5"/>
  <c r="M673" i="5" s="1"/>
  <c r="H673" i="5"/>
  <c r="H671" i="5"/>
  <c r="D671" i="5"/>
  <c r="D670" i="5"/>
  <c r="M670" i="5" s="1"/>
  <c r="H670" i="5"/>
  <c r="D724" i="5"/>
  <c r="D723" i="5"/>
  <c r="D725" i="5" s="1"/>
  <c r="H722" i="5"/>
  <c r="H663" i="5"/>
  <c r="H662" i="5"/>
  <c r="H661" i="5"/>
  <c r="H660" i="5"/>
  <c r="H659" i="5"/>
  <c r="H656" i="5"/>
  <c r="H655" i="5"/>
  <c r="H654" i="5"/>
  <c r="H646" i="5"/>
  <c r="H643" i="5"/>
  <c r="H642" i="5"/>
  <c r="H641" i="5"/>
  <c r="H640" i="5"/>
  <c r="H639" i="5"/>
  <c r="H637" i="5"/>
  <c r="H635" i="5"/>
  <c r="H634" i="5"/>
  <c r="H633" i="5"/>
  <c r="H631" i="5"/>
  <c r="H630" i="5"/>
  <c r="D628" i="5"/>
  <c r="C648" i="5"/>
  <c r="D633" i="5" s="1"/>
  <c r="H610" i="5"/>
  <c r="H608" i="5"/>
  <c r="H606" i="5"/>
  <c r="H604" i="5"/>
  <c r="H615" i="5"/>
  <c r="H613" i="5"/>
  <c r="H600" i="5"/>
  <c r="H616" i="5"/>
  <c r="H588" i="5"/>
  <c r="H586" i="5"/>
  <c r="H585" i="5"/>
  <c r="H584" i="5"/>
  <c r="H583" i="5"/>
  <c r="H582" i="5"/>
  <c r="H581" i="5"/>
  <c r="H573" i="5"/>
  <c r="H572" i="5"/>
  <c r="M566" i="5"/>
  <c r="I566" i="5"/>
  <c r="M565" i="5"/>
  <c r="I565" i="5"/>
  <c r="H560" i="5"/>
  <c r="H554" i="5"/>
  <c r="M552" i="5"/>
  <c r="I552" i="5"/>
  <c r="D549" i="5"/>
  <c r="H548" i="5"/>
  <c r="D548" i="5"/>
  <c r="C548" i="5"/>
  <c r="D539" i="5"/>
  <c r="M525" i="5"/>
  <c r="I525" i="5"/>
  <c r="C507" i="5"/>
  <c r="H519" i="5"/>
  <c r="H515" i="5"/>
  <c r="H512" i="5"/>
  <c r="M511" i="5"/>
  <c r="D508" i="5"/>
  <c r="H507" i="5"/>
  <c r="D497" i="5"/>
  <c r="M497" i="5" s="1"/>
  <c r="H484" i="5"/>
  <c r="C480" i="5"/>
  <c r="D474" i="5" s="1"/>
  <c r="H475" i="5"/>
  <c r="H474" i="5"/>
  <c r="D473" i="5"/>
  <c r="H473" i="5"/>
  <c r="H470" i="5"/>
  <c r="M469" i="5"/>
  <c r="I469" i="5"/>
  <c r="H469" i="5"/>
  <c r="H476" i="5"/>
  <c r="I456" i="5"/>
  <c r="H456" i="5"/>
  <c r="I455" i="5"/>
  <c r="M456" i="5"/>
  <c r="H455" i="5"/>
  <c r="H437" i="5"/>
  <c r="I442" i="5"/>
  <c r="M442" i="5"/>
  <c r="M441" i="5"/>
  <c r="I441" i="5"/>
  <c r="D438" i="5"/>
  <c r="C437" i="5"/>
  <c r="I427" i="5"/>
  <c r="D427" i="5"/>
  <c r="M427" i="5" s="1"/>
  <c r="H421" i="5"/>
  <c r="H420" i="5"/>
  <c r="C424" i="5"/>
  <c r="H412" i="5"/>
  <c r="H411" i="5"/>
  <c r="C415" i="5"/>
  <c r="D412" i="5" s="1"/>
  <c r="D401" i="5"/>
  <c r="H403" i="5"/>
  <c r="H402" i="5"/>
  <c r="D402" i="5"/>
  <c r="C406" i="5"/>
  <c r="C397" i="5" s="1"/>
  <c r="C391" i="5"/>
  <c r="H396" i="5"/>
  <c r="C396" i="5"/>
  <c r="C393" i="5"/>
  <c r="H393" i="5" s="1"/>
  <c r="C392" i="5"/>
  <c r="D391" i="5"/>
  <c r="H385" i="5"/>
  <c r="H384" i="5"/>
  <c r="H381" i="5"/>
  <c r="H380" i="5"/>
  <c r="H372" i="5"/>
  <c r="D371" i="5"/>
  <c r="H371" i="5"/>
  <c r="H370" i="5"/>
  <c r="M370" i="5"/>
  <c r="H383" i="5"/>
  <c r="H364" i="5"/>
  <c r="H363" i="5"/>
  <c r="H360" i="5"/>
  <c r="H359" i="5"/>
  <c r="H351" i="5"/>
  <c r="D350" i="5"/>
  <c r="H350" i="5"/>
  <c r="H349" i="5"/>
  <c r="M349" i="5"/>
  <c r="H362" i="5"/>
  <c r="H343" i="5"/>
  <c r="H342" i="5"/>
  <c r="H339" i="5"/>
  <c r="H338" i="5"/>
  <c r="H330" i="5"/>
  <c r="D329" i="5"/>
  <c r="H328" i="5"/>
  <c r="D325" i="5"/>
  <c r="H324" i="5"/>
  <c r="C324" i="5"/>
  <c r="C323" i="5"/>
  <c r="H323" i="5" s="1"/>
  <c r="C322" i="5"/>
  <c r="H322" i="5" s="1"/>
  <c r="C321" i="5"/>
  <c r="H321" i="5" s="1"/>
  <c r="C319" i="5"/>
  <c r="H319" i="5" s="1"/>
  <c r="C318" i="5"/>
  <c r="H318" i="5" s="1"/>
  <c r="C317" i="5"/>
  <c r="H317" i="5" s="1"/>
  <c r="D315" i="5"/>
  <c r="D314" i="5"/>
  <c r="D313" i="5"/>
  <c r="D312" i="5"/>
  <c r="D311" i="5"/>
  <c r="D310" i="5"/>
  <c r="C309" i="5"/>
  <c r="H309" i="5" s="1"/>
  <c r="C307" i="5"/>
  <c r="H307" i="5" s="1"/>
  <c r="M286" i="5"/>
  <c r="H299" i="5"/>
  <c r="M267" i="5"/>
  <c r="M265" i="5"/>
  <c r="H246" i="5"/>
  <c r="M244" i="5"/>
  <c r="D241" i="5"/>
  <c r="H240" i="5"/>
  <c r="C240" i="5"/>
  <c r="D223" i="5"/>
  <c r="I223" i="5" s="1"/>
  <c r="M218" i="5"/>
  <c r="I218" i="5"/>
  <c r="H218" i="5"/>
  <c r="H217" i="5"/>
  <c r="H215" i="5"/>
  <c r="H214" i="5"/>
  <c r="H213" i="5"/>
  <c r="H211" i="5"/>
  <c r="H210" i="5"/>
  <c r="M209" i="5"/>
  <c r="H209" i="5"/>
  <c r="H216" i="5"/>
  <c r="M204" i="5"/>
  <c r="I204" i="5"/>
  <c r="M201" i="5"/>
  <c r="M197" i="5"/>
  <c r="M195" i="5"/>
  <c r="I195" i="5"/>
  <c r="H202" i="5"/>
  <c r="C177" i="5"/>
  <c r="M190" i="5"/>
  <c r="I190" i="5"/>
  <c r="H190" i="5"/>
  <c r="H189" i="5"/>
  <c r="H187" i="5"/>
  <c r="H186" i="5"/>
  <c r="H185" i="5"/>
  <c r="H183" i="5"/>
  <c r="H182" i="5"/>
  <c r="M181" i="5"/>
  <c r="H181" i="5"/>
  <c r="D178" i="5"/>
  <c r="H177" i="5"/>
  <c r="D176" i="5"/>
  <c r="M176" i="5" s="1"/>
  <c r="H162" i="5"/>
  <c r="H158" i="5"/>
  <c r="H155" i="5"/>
  <c r="H154" i="5"/>
  <c r="M153" i="5"/>
  <c r="H148" i="5"/>
  <c r="H147" i="5"/>
  <c r="H145" i="5"/>
  <c r="H144" i="5"/>
  <c r="H141" i="5"/>
  <c r="H140" i="5"/>
  <c r="M139" i="5"/>
  <c r="H139" i="5"/>
  <c r="M125" i="5"/>
  <c r="I125" i="5"/>
  <c r="H125" i="5"/>
  <c r="H121" i="5"/>
  <c r="C121" i="5"/>
  <c r="M111" i="5"/>
  <c r="D111" i="5"/>
  <c r="I111" i="5" s="1"/>
  <c r="H98" i="5"/>
  <c r="H97" i="5"/>
  <c r="H94" i="5"/>
  <c r="H93" i="5"/>
  <c r="H92" i="5"/>
  <c r="H91" i="5"/>
  <c r="M79" i="5"/>
  <c r="I79" i="5"/>
  <c r="M64" i="5"/>
  <c r="I64" i="5"/>
  <c r="H53" i="5"/>
  <c r="H52" i="5"/>
  <c r="M45" i="5"/>
  <c r="I45" i="5"/>
  <c r="H36" i="5"/>
  <c r="I36" i="5"/>
  <c r="H45" i="5"/>
  <c r="H17" i="5"/>
  <c r="J42" i="4"/>
  <c r="J43" i="4" s="1"/>
  <c r="J44" i="4" s="1"/>
  <c r="J45" i="4" s="1"/>
  <c r="J46" i="4" s="1"/>
  <c r="J47" i="4" s="1"/>
  <c r="S1320" i="3"/>
  <c r="T1319" i="3"/>
  <c r="S1319" i="3"/>
  <c r="S1318" i="3"/>
  <c r="H1318" i="3"/>
  <c r="S1317" i="3"/>
  <c r="M1317" i="3"/>
  <c r="T1317" i="3" s="1"/>
  <c r="S1316" i="3"/>
  <c r="M1316" i="3"/>
  <c r="T1316" i="3" s="1"/>
  <c r="S1315" i="3"/>
  <c r="M1315" i="3"/>
  <c r="T1315" i="3" s="1"/>
  <c r="S1314" i="3"/>
  <c r="M1314" i="3"/>
  <c r="T1314" i="3" s="1"/>
  <c r="S1313" i="3"/>
  <c r="T1312" i="3"/>
  <c r="S1312" i="3"/>
  <c r="T1311" i="3"/>
  <c r="S1311" i="3"/>
  <c r="S1310" i="3"/>
  <c r="T1309" i="3"/>
  <c r="S1309" i="3"/>
  <c r="D1293" i="3"/>
  <c r="T1308" i="3"/>
  <c r="S1308" i="3"/>
  <c r="D1292" i="3"/>
  <c r="C1310" i="3"/>
  <c r="S1307" i="3"/>
  <c r="T1304" i="3"/>
  <c r="S1304" i="3"/>
  <c r="T1303" i="3"/>
  <c r="S1303" i="3"/>
  <c r="S1302" i="3"/>
  <c r="T1301" i="3"/>
  <c r="S1301" i="3"/>
  <c r="C1293" i="3"/>
  <c r="T1300" i="3"/>
  <c r="S1300" i="3"/>
  <c r="D1302" i="3"/>
  <c r="C1292" i="3"/>
  <c r="S1299" i="3"/>
  <c r="H1298" i="3"/>
  <c r="H1297" i="3"/>
  <c r="T1296" i="3"/>
  <c r="S1296" i="3"/>
  <c r="T1295" i="3"/>
  <c r="S1295" i="3"/>
  <c r="S1294" i="3"/>
  <c r="T1293" i="3"/>
  <c r="S1293" i="3"/>
  <c r="T1292" i="3"/>
  <c r="S1292" i="3"/>
  <c r="S1291" i="3"/>
  <c r="K1290" i="3"/>
  <c r="K1298" i="3" s="1"/>
  <c r="K1289" i="3"/>
  <c r="K1297" i="3" s="1"/>
  <c r="S1297" i="3" s="1"/>
  <c r="T1288" i="3"/>
  <c r="S1288" i="3"/>
  <c r="T1287" i="3"/>
  <c r="S1287" i="3"/>
  <c r="S1286" i="3"/>
  <c r="I1286" i="3"/>
  <c r="H1286" i="3"/>
  <c r="D1286" i="3"/>
  <c r="I36" i="2" s="1"/>
  <c r="C1286" i="3"/>
  <c r="S1285" i="3"/>
  <c r="M1285" i="3"/>
  <c r="T1285" i="3" s="1"/>
  <c r="T1284" i="3"/>
  <c r="S1284" i="3"/>
  <c r="S1283" i="3"/>
  <c r="M1283" i="3"/>
  <c r="T1283" i="3" s="1"/>
  <c r="T1282" i="3"/>
  <c r="S1282" i="3"/>
  <c r="T1281" i="3"/>
  <c r="S1281" i="3"/>
  <c r="S1280" i="3"/>
  <c r="C1280" i="3"/>
  <c r="D1274" i="3" s="1"/>
  <c r="I1274" i="3" s="1"/>
  <c r="H1279" i="3"/>
  <c r="H1278" i="3"/>
  <c r="I1278" i="3"/>
  <c r="H1277" i="3"/>
  <c r="H1276" i="3"/>
  <c r="H1275" i="3"/>
  <c r="H1274" i="3"/>
  <c r="H1273" i="3"/>
  <c r="H1272" i="3"/>
  <c r="I1272" i="3"/>
  <c r="T1271" i="3"/>
  <c r="S1271" i="3"/>
  <c r="T1270" i="3"/>
  <c r="S1270" i="3"/>
  <c r="S1269" i="3"/>
  <c r="C1269" i="3"/>
  <c r="D1264" i="3" s="1"/>
  <c r="I1264" i="3" s="1"/>
  <c r="H1268" i="3"/>
  <c r="I1267" i="3"/>
  <c r="H1267" i="3"/>
  <c r="Q1266" i="3"/>
  <c r="P1266" i="3"/>
  <c r="H1266" i="3"/>
  <c r="I1265" i="3"/>
  <c r="H1265" i="3"/>
  <c r="H1264" i="3"/>
  <c r="H1263" i="3"/>
  <c r="H1262" i="3"/>
  <c r="S1261" i="3"/>
  <c r="I1261" i="3"/>
  <c r="H1261" i="3"/>
  <c r="M1261" i="3"/>
  <c r="T1260" i="3"/>
  <c r="S1260" i="3"/>
  <c r="T1259" i="3"/>
  <c r="S1259" i="3"/>
  <c r="S1258" i="3"/>
  <c r="P1258" i="3"/>
  <c r="M1258" i="3"/>
  <c r="T1258" i="3" s="1"/>
  <c r="T1257" i="3"/>
  <c r="S1257" i="3"/>
  <c r="T1256" i="3"/>
  <c r="S1256" i="3"/>
  <c r="S1255" i="3"/>
  <c r="T1254" i="3"/>
  <c r="S1254" i="3"/>
  <c r="S1253" i="3"/>
  <c r="D1253" i="3"/>
  <c r="H1252" i="3"/>
  <c r="I1251" i="3"/>
  <c r="H1251" i="3"/>
  <c r="I1250" i="3"/>
  <c r="H1250" i="3"/>
  <c r="I1249" i="3"/>
  <c r="H1249" i="3"/>
  <c r="I1248" i="3"/>
  <c r="H1248" i="3"/>
  <c r="H1247" i="3"/>
  <c r="H1246" i="3"/>
  <c r="H1245" i="3"/>
  <c r="T1244" i="3"/>
  <c r="S1244" i="3"/>
  <c r="T1243" i="3"/>
  <c r="S1243" i="3"/>
  <c r="S1242" i="3"/>
  <c r="D1242" i="3"/>
  <c r="C1242" i="3"/>
  <c r="T1241" i="3"/>
  <c r="S1241" i="3"/>
  <c r="I1240" i="3"/>
  <c r="H1240" i="3"/>
  <c r="I1239" i="3"/>
  <c r="H1239" i="3"/>
  <c r="T1238" i="3"/>
  <c r="S1238" i="3"/>
  <c r="H1237" i="3"/>
  <c r="H1236" i="3"/>
  <c r="T1235" i="3"/>
  <c r="S1235" i="3"/>
  <c r="I1234" i="3"/>
  <c r="H1234" i="3"/>
  <c r="I1233" i="3"/>
  <c r="H1233" i="3"/>
  <c r="T1232" i="3"/>
  <c r="S1232" i="3"/>
  <c r="I1231" i="3"/>
  <c r="H1231" i="3"/>
  <c r="I1230" i="3"/>
  <c r="H1230" i="3"/>
  <c r="T1229" i="3"/>
  <c r="S1229" i="3"/>
  <c r="I1228" i="3"/>
  <c r="H1228" i="3"/>
  <c r="I1227" i="3"/>
  <c r="H1227" i="3"/>
  <c r="T1226" i="3"/>
  <c r="S1226" i="3"/>
  <c r="T1225" i="3"/>
  <c r="S1225" i="3"/>
  <c r="I1224" i="3"/>
  <c r="H1224" i="3"/>
  <c r="H1223" i="3"/>
  <c r="I1222" i="3"/>
  <c r="H1222" i="3"/>
  <c r="I1221" i="3"/>
  <c r="H1221" i="3"/>
  <c r="I1220" i="3"/>
  <c r="H1220" i="3"/>
  <c r="T1219" i="3"/>
  <c r="S1219" i="3"/>
  <c r="H1218" i="3"/>
  <c r="H1217" i="3"/>
  <c r="H1216" i="3"/>
  <c r="T1215" i="3"/>
  <c r="S1215" i="3"/>
  <c r="I1214" i="3"/>
  <c r="H1214" i="3"/>
  <c r="H1213" i="3"/>
  <c r="I1212" i="3"/>
  <c r="H1212" i="3"/>
  <c r="T1211" i="3"/>
  <c r="S1211" i="3"/>
  <c r="T1210" i="3"/>
  <c r="S1210" i="3"/>
  <c r="T1209" i="3"/>
  <c r="S1209" i="3"/>
  <c r="S1208" i="3"/>
  <c r="T1207" i="3"/>
  <c r="S1207" i="3"/>
  <c r="S1206" i="3"/>
  <c r="I1203" i="3"/>
  <c r="H1203" i="3"/>
  <c r="I1202" i="3"/>
  <c r="H1202" i="3"/>
  <c r="H1201" i="3"/>
  <c r="H1200" i="3"/>
  <c r="H1199" i="3"/>
  <c r="T1198" i="3"/>
  <c r="S1198" i="3"/>
  <c r="T1197" i="3"/>
  <c r="S1197" i="3"/>
  <c r="S1196" i="3"/>
  <c r="D1196" i="3"/>
  <c r="C1196" i="3"/>
  <c r="T1195" i="3"/>
  <c r="S1195" i="3"/>
  <c r="I1194" i="3"/>
  <c r="H1194" i="3"/>
  <c r="I1193" i="3"/>
  <c r="H1193" i="3"/>
  <c r="T1192" i="3"/>
  <c r="S1192" i="3"/>
  <c r="I1191" i="3"/>
  <c r="H1191" i="3"/>
  <c r="I1190" i="3"/>
  <c r="H1190" i="3"/>
  <c r="T1189" i="3"/>
  <c r="S1189" i="3"/>
  <c r="I1188" i="3"/>
  <c r="H1188" i="3"/>
  <c r="I1187" i="3"/>
  <c r="H1187" i="3"/>
  <c r="T1186" i="3"/>
  <c r="S1186" i="3"/>
  <c r="I1185" i="3"/>
  <c r="H1185" i="3"/>
  <c r="I1184" i="3"/>
  <c r="H1184" i="3"/>
  <c r="T1183" i="3"/>
  <c r="S1183" i="3"/>
  <c r="H1182" i="3"/>
  <c r="H1181" i="3"/>
  <c r="T1180" i="3"/>
  <c r="S1180" i="3"/>
  <c r="T1179" i="3"/>
  <c r="S1179" i="3"/>
  <c r="I1178" i="3"/>
  <c r="H1178" i="3"/>
  <c r="I1177" i="3"/>
  <c r="H1177" i="3"/>
  <c r="I1176" i="3"/>
  <c r="H1176" i="3"/>
  <c r="I1175" i="3"/>
  <c r="H1175" i="3"/>
  <c r="H1174" i="3"/>
  <c r="T1173" i="3"/>
  <c r="S1173" i="3"/>
  <c r="H1172" i="3"/>
  <c r="H1171" i="3"/>
  <c r="H1170" i="3"/>
  <c r="T1169" i="3"/>
  <c r="S1169" i="3"/>
  <c r="I1168" i="3"/>
  <c r="H1168" i="3"/>
  <c r="I1167" i="3"/>
  <c r="H1167" i="3"/>
  <c r="I1166" i="3"/>
  <c r="H1166" i="3"/>
  <c r="H1196" i="3" s="1"/>
  <c r="I1172" i="3"/>
  <c r="T1165" i="3"/>
  <c r="S1165" i="3"/>
  <c r="T1164" i="3"/>
  <c r="S1164" i="3"/>
  <c r="T1163" i="3"/>
  <c r="S1163" i="3"/>
  <c r="S1162" i="3"/>
  <c r="T1161" i="3"/>
  <c r="S1161" i="3"/>
  <c r="S1160" i="3"/>
  <c r="H1159" i="3"/>
  <c r="H1158" i="3"/>
  <c r="H1157" i="3"/>
  <c r="H1156" i="3"/>
  <c r="H1155" i="3"/>
  <c r="H1154" i="3"/>
  <c r="H1153" i="3"/>
  <c r="T1152" i="3"/>
  <c r="S1152" i="3"/>
  <c r="T1151" i="3"/>
  <c r="S1151" i="3"/>
  <c r="S1150" i="3"/>
  <c r="T1149" i="3"/>
  <c r="S1149" i="3"/>
  <c r="T1148" i="3"/>
  <c r="S1148" i="3"/>
  <c r="T1145" i="3"/>
  <c r="S1145" i="3"/>
  <c r="I1144" i="3"/>
  <c r="H1144" i="3"/>
  <c r="I1143" i="3"/>
  <c r="H1143" i="3"/>
  <c r="T1142" i="3"/>
  <c r="S1142" i="3"/>
  <c r="I1141" i="3"/>
  <c r="H1141" i="3"/>
  <c r="I1140" i="3"/>
  <c r="H1140" i="3"/>
  <c r="T1139" i="3"/>
  <c r="S1139" i="3"/>
  <c r="I1138" i="3"/>
  <c r="H1138" i="3"/>
  <c r="I1137" i="3"/>
  <c r="H1137" i="3"/>
  <c r="T1136" i="3"/>
  <c r="S1136" i="3"/>
  <c r="I1135" i="3"/>
  <c r="H1135" i="3"/>
  <c r="I1134" i="3"/>
  <c r="H1134" i="3"/>
  <c r="T1133" i="3"/>
  <c r="S1133" i="3"/>
  <c r="T1132" i="3"/>
  <c r="S1132" i="3"/>
  <c r="I1130" i="3"/>
  <c r="H1130" i="3"/>
  <c r="I1129" i="3"/>
  <c r="H1129" i="3"/>
  <c r="I1128" i="3"/>
  <c r="H1128" i="3"/>
  <c r="I1127" i="3"/>
  <c r="H1127" i="3"/>
  <c r="T1126" i="3"/>
  <c r="S1126" i="3"/>
  <c r="K1125" i="3"/>
  <c r="S1125" i="3" s="1"/>
  <c r="H1125" i="3"/>
  <c r="H1124" i="3"/>
  <c r="D1124" i="3"/>
  <c r="I1124" i="3" s="1"/>
  <c r="H1123" i="3"/>
  <c r="T1122" i="3"/>
  <c r="S1122" i="3"/>
  <c r="I1121" i="3"/>
  <c r="I1125" i="3"/>
  <c r="H1121" i="3"/>
  <c r="I1120" i="3"/>
  <c r="H1120" i="3"/>
  <c r="I1119" i="3"/>
  <c r="H1119" i="3"/>
  <c r="T1118" i="3"/>
  <c r="S1118" i="3"/>
  <c r="T1117" i="3"/>
  <c r="S1117" i="3"/>
  <c r="T1116" i="3"/>
  <c r="S1116" i="3"/>
  <c r="S1115" i="3"/>
  <c r="T1114" i="3"/>
  <c r="S1114" i="3"/>
  <c r="S1113" i="3"/>
  <c r="H1112" i="3"/>
  <c r="H1111" i="3"/>
  <c r="H1110" i="3"/>
  <c r="H1109" i="3"/>
  <c r="H1108" i="3"/>
  <c r="H1107" i="3"/>
  <c r="T1105" i="3"/>
  <c r="S1105" i="3"/>
  <c r="I1104" i="3"/>
  <c r="H1104" i="3"/>
  <c r="I1103" i="3"/>
  <c r="H1103" i="3"/>
  <c r="I1102" i="3"/>
  <c r="H1102" i="3"/>
  <c r="I1101" i="3"/>
  <c r="H1101" i="3"/>
  <c r="I1100" i="3"/>
  <c r="H1100" i="3"/>
  <c r="I1099" i="3"/>
  <c r="H1099" i="3"/>
  <c r="I1098" i="3"/>
  <c r="H1098" i="3"/>
  <c r="I1097" i="3"/>
  <c r="H1097" i="3"/>
  <c r="T1096" i="3"/>
  <c r="S1096" i="3"/>
  <c r="T1095" i="3"/>
  <c r="S1095" i="3"/>
  <c r="S1094" i="3"/>
  <c r="T1091" i="3"/>
  <c r="S1091" i="3"/>
  <c r="H1090" i="3"/>
  <c r="H1089" i="3"/>
  <c r="T1088" i="3"/>
  <c r="S1088" i="3"/>
  <c r="T1085" i="3"/>
  <c r="S1085" i="3"/>
  <c r="T1084" i="3"/>
  <c r="S1084" i="3"/>
  <c r="H1082" i="3"/>
  <c r="I1082" i="3"/>
  <c r="H1081" i="3"/>
  <c r="T1080" i="3"/>
  <c r="S1080" i="3"/>
  <c r="I1079" i="3"/>
  <c r="H1079" i="3"/>
  <c r="I1078" i="3"/>
  <c r="H1078" i="3"/>
  <c r="T1077" i="3"/>
  <c r="S1077" i="3"/>
  <c r="I1076" i="3"/>
  <c r="H1076" i="3"/>
  <c r="I1075" i="3"/>
  <c r="H1075" i="3"/>
  <c r="T1074" i="3"/>
  <c r="S1074" i="3"/>
  <c r="I1073" i="3"/>
  <c r="H1073" i="3"/>
  <c r="I1072" i="3"/>
  <c r="H1072" i="3"/>
  <c r="T1071" i="3"/>
  <c r="S1071" i="3"/>
  <c r="T1070" i="3"/>
  <c r="S1070" i="3"/>
  <c r="I1069" i="3"/>
  <c r="H1069" i="3"/>
  <c r="I1068" i="3"/>
  <c r="H1068" i="3"/>
  <c r="I1067" i="3"/>
  <c r="H1067" i="3"/>
  <c r="T1066" i="3"/>
  <c r="S1066" i="3"/>
  <c r="I1065" i="3"/>
  <c r="H1065" i="3"/>
  <c r="I1064" i="3"/>
  <c r="H1064" i="3"/>
  <c r="T1063" i="3"/>
  <c r="S1063" i="3"/>
  <c r="I1062" i="3"/>
  <c r="H1062" i="3"/>
  <c r="I1061" i="3"/>
  <c r="H1061" i="3"/>
  <c r="T1060" i="3"/>
  <c r="S1060" i="3"/>
  <c r="I1059" i="3"/>
  <c r="H1059" i="3"/>
  <c r="I1058" i="3"/>
  <c r="H1058" i="3"/>
  <c r="T1057" i="3"/>
  <c r="S1057" i="3"/>
  <c r="T1056" i="3"/>
  <c r="S1056" i="3"/>
  <c r="I1055" i="3"/>
  <c r="H1055" i="3"/>
  <c r="I1054" i="3"/>
  <c r="H1054" i="3"/>
  <c r="I1053" i="3"/>
  <c r="H1053" i="3"/>
  <c r="T1052" i="3"/>
  <c r="S1052" i="3"/>
  <c r="T1051" i="3"/>
  <c r="S1051" i="3"/>
  <c r="T1050" i="3"/>
  <c r="S1050" i="3"/>
  <c r="S1049" i="3"/>
  <c r="T1048" i="3"/>
  <c r="S1048" i="3"/>
  <c r="S1047" i="3"/>
  <c r="H1046" i="3"/>
  <c r="H1045" i="3"/>
  <c r="H1044" i="3"/>
  <c r="H1043" i="3"/>
  <c r="H1042" i="3"/>
  <c r="H1041" i="3"/>
  <c r="H1040" i="3"/>
  <c r="T1039" i="3"/>
  <c r="S1039" i="3"/>
  <c r="H1038" i="3"/>
  <c r="H1037" i="3"/>
  <c r="H1036" i="3"/>
  <c r="H1035" i="3"/>
  <c r="T1030" i="3"/>
  <c r="S1030" i="3"/>
  <c r="T1029" i="3"/>
  <c r="S1029" i="3"/>
  <c r="S1028" i="3"/>
  <c r="H1027" i="3"/>
  <c r="H1026" i="3"/>
  <c r="T1025" i="3"/>
  <c r="S1025" i="3"/>
  <c r="T1022" i="3"/>
  <c r="S1022" i="3"/>
  <c r="H1021" i="3"/>
  <c r="H1020" i="3"/>
  <c r="T1019" i="3"/>
  <c r="S1019" i="3"/>
  <c r="T1018" i="3"/>
  <c r="S1018" i="3"/>
  <c r="H1017" i="3"/>
  <c r="H1016" i="3"/>
  <c r="H1015" i="3"/>
  <c r="T1014" i="3"/>
  <c r="S1014" i="3"/>
  <c r="H1013" i="3"/>
  <c r="H1012" i="3"/>
  <c r="T1011" i="3"/>
  <c r="S1011" i="3"/>
  <c r="H1010" i="3"/>
  <c r="H1009" i="3"/>
  <c r="T1008" i="3"/>
  <c r="S1008" i="3"/>
  <c r="H1007" i="3"/>
  <c r="H1006" i="3"/>
  <c r="T1005" i="3"/>
  <c r="S1005" i="3"/>
  <c r="T1004" i="3"/>
  <c r="S1004" i="3"/>
  <c r="H1003" i="3"/>
  <c r="H1002" i="3"/>
  <c r="H1001" i="3"/>
  <c r="T1000" i="3"/>
  <c r="S1000" i="3"/>
  <c r="H999" i="3"/>
  <c r="H998" i="3"/>
  <c r="T997" i="3"/>
  <c r="S997" i="3"/>
  <c r="H996" i="3"/>
  <c r="H995" i="3"/>
  <c r="T994" i="3"/>
  <c r="S994" i="3"/>
  <c r="H993" i="3"/>
  <c r="H992" i="3"/>
  <c r="T991" i="3"/>
  <c r="S991" i="3"/>
  <c r="T990" i="3"/>
  <c r="S990" i="3"/>
  <c r="H989" i="3"/>
  <c r="H988" i="3"/>
  <c r="H987" i="3"/>
  <c r="I987" i="3"/>
  <c r="T986" i="3"/>
  <c r="S986" i="3"/>
  <c r="T985" i="3"/>
  <c r="S985" i="3"/>
  <c r="T984" i="3"/>
  <c r="S984" i="3"/>
  <c r="S983" i="3"/>
  <c r="D983" i="3"/>
  <c r="T982" i="3"/>
  <c r="S982" i="3"/>
  <c r="H982" i="3"/>
  <c r="C982" i="3"/>
  <c r="S981" i="3"/>
  <c r="C980" i="3"/>
  <c r="H980" i="3" s="1"/>
  <c r="C979" i="3"/>
  <c r="H979" i="3" s="1"/>
  <c r="C978" i="3"/>
  <c r="H978" i="3" s="1"/>
  <c r="H977" i="3"/>
  <c r="C977" i="3"/>
  <c r="C976" i="3"/>
  <c r="H976" i="3" s="1"/>
  <c r="H975" i="3"/>
  <c r="C975" i="3"/>
  <c r="C974" i="3"/>
  <c r="H974" i="3" s="1"/>
  <c r="T973" i="3"/>
  <c r="S973" i="3"/>
  <c r="C972" i="3"/>
  <c r="H972" i="3" s="1"/>
  <c r="C971" i="3"/>
  <c r="H971" i="3" s="1"/>
  <c r="C970" i="3"/>
  <c r="H970" i="3" s="1"/>
  <c r="C969" i="3"/>
  <c r="H969" i="3" s="1"/>
  <c r="C968" i="3"/>
  <c r="H968" i="3" s="1"/>
  <c r="C967" i="3"/>
  <c r="H967" i="3" s="1"/>
  <c r="C966" i="3"/>
  <c r="H966" i="3" s="1"/>
  <c r="C965" i="3"/>
  <c r="H965" i="3" s="1"/>
  <c r="T964" i="3"/>
  <c r="S964" i="3"/>
  <c r="T963" i="3"/>
  <c r="S963" i="3"/>
  <c r="S962" i="3"/>
  <c r="C961" i="3"/>
  <c r="H961" i="3" s="1"/>
  <c r="C960" i="3"/>
  <c r="H960" i="3" s="1"/>
  <c r="T959" i="3"/>
  <c r="S959" i="3"/>
  <c r="C958" i="3"/>
  <c r="H958" i="3" s="1"/>
  <c r="C957" i="3"/>
  <c r="H957" i="3" s="1"/>
  <c r="T956" i="3"/>
  <c r="S956" i="3"/>
  <c r="C955" i="3"/>
  <c r="H955" i="3" s="1"/>
  <c r="H954" i="3"/>
  <c r="C954" i="3"/>
  <c r="T953" i="3"/>
  <c r="S953" i="3"/>
  <c r="T952" i="3"/>
  <c r="S952" i="3"/>
  <c r="C951" i="3"/>
  <c r="H951" i="3" s="1"/>
  <c r="S950" i="3"/>
  <c r="K950" i="3"/>
  <c r="K1016" i="3" s="1"/>
  <c r="C950" i="3"/>
  <c r="H950" i="3" s="1"/>
  <c r="C949" i="3"/>
  <c r="H949" i="3" s="1"/>
  <c r="T948" i="3"/>
  <c r="S948" i="3"/>
  <c r="C947" i="3"/>
  <c r="H947" i="3" s="1"/>
  <c r="C946" i="3"/>
  <c r="H946" i="3" s="1"/>
  <c r="T945" i="3"/>
  <c r="S945" i="3"/>
  <c r="C944" i="3"/>
  <c r="H944" i="3" s="1"/>
  <c r="C943" i="3"/>
  <c r="H943" i="3" s="1"/>
  <c r="T942" i="3"/>
  <c r="S942" i="3"/>
  <c r="C941" i="3"/>
  <c r="H941" i="3" s="1"/>
  <c r="C940" i="3"/>
  <c r="H940" i="3" s="1"/>
  <c r="T939" i="3"/>
  <c r="S939" i="3"/>
  <c r="T938" i="3"/>
  <c r="S938" i="3"/>
  <c r="C937" i="3"/>
  <c r="H937" i="3" s="1"/>
  <c r="K936" i="3"/>
  <c r="C936" i="3"/>
  <c r="H936" i="3" s="1"/>
  <c r="C935" i="3"/>
  <c r="H935" i="3" s="1"/>
  <c r="T934" i="3"/>
  <c r="S934" i="3"/>
  <c r="C933" i="3"/>
  <c r="H933" i="3" s="1"/>
  <c r="C932" i="3"/>
  <c r="H932" i="3" s="1"/>
  <c r="T931" i="3"/>
  <c r="S931" i="3"/>
  <c r="C930" i="3"/>
  <c r="H930" i="3" s="1"/>
  <c r="C929" i="3"/>
  <c r="H929" i="3" s="1"/>
  <c r="T928" i="3"/>
  <c r="S928" i="3"/>
  <c r="H927" i="3"/>
  <c r="C927" i="3"/>
  <c r="C926" i="3"/>
  <c r="H926" i="3" s="1"/>
  <c r="T925" i="3"/>
  <c r="S925" i="3"/>
  <c r="T924" i="3"/>
  <c r="S924" i="3"/>
  <c r="H923" i="3"/>
  <c r="C923" i="3"/>
  <c r="K922" i="3"/>
  <c r="K1054" i="3" s="1"/>
  <c r="C922" i="3"/>
  <c r="H922" i="3" s="1"/>
  <c r="D921" i="3"/>
  <c r="I921" i="3" s="1"/>
  <c r="C921" i="3"/>
  <c r="H921" i="3" s="1"/>
  <c r="T920" i="3"/>
  <c r="S920" i="3"/>
  <c r="T919" i="3"/>
  <c r="S919" i="3"/>
  <c r="T918" i="3"/>
  <c r="S918" i="3"/>
  <c r="S917" i="3"/>
  <c r="T916" i="3"/>
  <c r="S916" i="3"/>
  <c r="K915" i="3"/>
  <c r="S915" i="3" s="1"/>
  <c r="I907" i="3"/>
  <c r="T903" i="3"/>
  <c r="S903" i="3"/>
  <c r="T902" i="3"/>
  <c r="S902" i="3"/>
  <c r="S901" i="3"/>
  <c r="T900" i="3"/>
  <c r="S900" i="3"/>
  <c r="K899" i="3"/>
  <c r="S899" i="3" s="1"/>
  <c r="I888" i="3"/>
  <c r="T887" i="3"/>
  <c r="S887" i="3"/>
  <c r="T886" i="3"/>
  <c r="S886" i="3"/>
  <c r="S885" i="3"/>
  <c r="T884" i="3"/>
  <c r="S884" i="3"/>
  <c r="K883" i="3"/>
  <c r="S883" i="3" s="1"/>
  <c r="I875" i="3"/>
  <c r="T871" i="3"/>
  <c r="S871" i="3"/>
  <c r="T870" i="3"/>
  <c r="S870" i="3"/>
  <c r="S869" i="3"/>
  <c r="D869" i="3"/>
  <c r="T868" i="3"/>
  <c r="S868" i="3"/>
  <c r="H868" i="3"/>
  <c r="C868" i="3"/>
  <c r="K867" i="3"/>
  <c r="S867" i="3" s="1"/>
  <c r="Q859" i="3"/>
  <c r="P859" i="3"/>
  <c r="I859" i="3"/>
  <c r="Q858" i="3"/>
  <c r="Q857" i="3" s="1"/>
  <c r="D856" i="3"/>
  <c r="I856" i="3" s="1"/>
  <c r="T855" i="3"/>
  <c r="S855" i="3"/>
  <c r="T854" i="3"/>
  <c r="S854" i="3"/>
  <c r="S853" i="3"/>
  <c r="T852" i="3"/>
  <c r="S852" i="3"/>
  <c r="K851" i="3"/>
  <c r="S851" i="3" s="1"/>
  <c r="I840" i="3"/>
  <c r="I843" i="3"/>
  <c r="T839" i="3"/>
  <c r="S839" i="3"/>
  <c r="T838" i="3"/>
  <c r="S838" i="3"/>
  <c r="S837" i="3"/>
  <c r="T836" i="3"/>
  <c r="S836" i="3"/>
  <c r="K835" i="3"/>
  <c r="S835" i="3" s="1"/>
  <c r="H835" i="3"/>
  <c r="H834" i="3"/>
  <c r="H833" i="3"/>
  <c r="H832" i="3"/>
  <c r="H831" i="3"/>
  <c r="C837" i="3"/>
  <c r="H829" i="3"/>
  <c r="H828" i="3"/>
  <c r="H827" i="3"/>
  <c r="H826" i="3"/>
  <c r="H825" i="3"/>
  <c r="I824" i="3"/>
  <c r="I827" i="3"/>
  <c r="H824" i="3"/>
  <c r="T823" i="3"/>
  <c r="S823" i="3"/>
  <c r="T822" i="3"/>
  <c r="S822" i="3"/>
  <c r="S821" i="3"/>
  <c r="D805" i="3"/>
  <c r="T820" i="3"/>
  <c r="S820" i="3"/>
  <c r="H804" i="3"/>
  <c r="C804" i="3"/>
  <c r="K819" i="3"/>
  <c r="S819" i="3" s="1"/>
  <c r="Q810" i="3"/>
  <c r="P810" i="3"/>
  <c r="Q809" i="3"/>
  <c r="I811" i="3"/>
  <c r="T807" i="3"/>
  <c r="S807" i="3"/>
  <c r="T806" i="3"/>
  <c r="S806" i="3"/>
  <c r="S805" i="3"/>
  <c r="T804" i="3"/>
  <c r="S804" i="3"/>
  <c r="P804" i="3"/>
  <c r="S803" i="3"/>
  <c r="S802" i="3"/>
  <c r="K802" i="3"/>
  <c r="K866" i="3" s="1"/>
  <c r="Q800" i="3"/>
  <c r="P800" i="3"/>
  <c r="K795" i="3"/>
  <c r="S795" i="3" s="1"/>
  <c r="K794" i="3"/>
  <c r="K842" i="3" s="1"/>
  <c r="T791" i="3"/>
  <c r="S791" i="3"/>
  <c r="T790" i="3"/>
  <c r="S790" i="3"/>
  <c r="S789" i="3"/>
  <c r="T788" i="3"/>
  <c r="S788" i="3"/>
  <c r="I787" i="3"/>
  <c r="D789" i="3"/>
  <c r="C789" i="3"/>
  <c r="H786" i="3"/>
  <c r="I785" i="3"/>
  <c r="I786" i="3"/>
  <c r="H785" i="3"/>
  <c r="T784" i="3"/>
  <c r="S784" i="3"/>
  <c r="T783" i="3"/>
  <c r="S783" i="3"/>
  <c r="S782" i="3"/>
  <c r="T781" i="3"/>
  <c r="S781" i="3"/>
  <c r="D782" i="3"/>
  <c r="T777" i="3"/>
  <c r="S777" i="3"/>
  <c r="T776" i="3"/>
  <c r="S776" i="3"/>
  <c r="S775" i="3"/>
  <c r="T774" i="3"/>
  <c r="S774" i="3"/>
  <c r="H767" i="3"/>
  <c r="D775" i="3"/>
  <c r="T770" i="3"/>
  <c r="S770" i="3"/>
  <c r="T769" i="3"/>
  <c r="S769" i="3"/>
  <c r="S768" i="3"/>
  <c r="T767" i="3"/>
  <c r="S767" i="3"/>
  <c r="C767" i="3"/>
  <c r="D766" i="3"/>
  <c r="K765" i="3"/>
  <c r="K772" i="3" s="1"/>
  <c r="T763" i="3"/>
  <c r="S763" i="3"/>
  <c r="T762" i="3"/>
  <c r="S762" i="3"/>
  <c r="S761" i="3"/>
  <c r="T760" i="3"/>
  <c r="S760" i="3"/>
  <c r="I759" i="3"/>
  <c r="D761" i="3"/>
  <c r="I757" i="3"/>
  <c r="I758" i="3"/>
  <c r="T754" i="3"/>
  <c r="S754" i="3"/>
  <c r="T753" i="3"/>
  <c r="S753" i="3"/>
  <c r="S752" i="3"/>
  <c r="T751" i="3"/>
  <c r="S751" i="3"/>
  <c r="I750" i="3"/>
  <c r="D752" i="3"/>
  <c r="C752" i="3"/>
  <c r="H749" i="3"/>
  <c r="I748" i="3"/>
  <c r="I749" i="3"/>
  <c r="H748" i="3"/>
  <c r="H747" i="3"/>
  <c r="H746" i="3"/>
  <c r="T745" i="3"/>
  <c r="S745" i="3"/>
  <c r="T744" i="3"/>
  <c r="S744" i="3"/>
  <c r="S743" i="3"/>
  <c r="T742" i="3"/>
  <c r="S742" i="3"/>
  <c r="H733" i="3"/>
  <c r="C733" i="3"/>
  <c r="D743" i="3"/>
  <c r="T736" i="3"/>
  <c r="S736" i="3"/>
  <c r="T735" i="3"/>
  <c r="S735" i="3"/>
  <c r="S734" i="3"/>
  <c r="T733" i="3"/>
  <c r="S733" i="3"/>
  <c r="K731" i="3"/>
  <c r="K749" i="3" s="1"/>
  <c r="D730" i="3"/>
  <c r="G43" i="2" s="1"/>
  <c r="T727" i="3"/>
  <c r="S727" i="3"/>
  <c r="T726" i="3"/>
  <c r="S726" i="3"/>
  <c r="S725" i="3"/>
  <c r="T724" i="3"/>
  <c r="S724" i="3"/>
  <c r="T723" i="3"/>
  <c r="S723" i="3"/>
  <c r="T722" i="3"/>
  <c r="S722" i="3"/>
  <c r="T721" i="3"/>
  <c r="S721" i="3"/>
  <c r="T720" i="3"/>
  <c r="S720" i="3"/>
  <c r="S719" i="3"/>
  <c r="T718" i="3"/>
  <c r="S718" i="3"/>
  <c r="H717" i="3"/>
  <c r="H716" i="3"/>
  <c r="H715" i="3"/>
  <c r="H714" i="3"/>
  <c r="D714" i="3"/>
  <c r="T713" i="3"/>
  <c r="S713" i="3"/>
  <c r="H712" i="3"/>
  <c r="H711" i="3"/>
  <c r="D711" i="3"/>
  <c r="H710" i="3"/>
  <c r="H709" i="3"/>
  <c r="H708" i="3"/>
  <c r="T707" i="3"/>
  <c r="S707" i="3"/>
  <c r="H706" i="3"/>
  <c r="H705" i="3"/>
  <c r="T704" i="3"/>
  <c r="S704" i="3"/>
  <c r="H703" i="3"/>
  <c r="H702" i="3"/>
  <c r="T701" i="3"/>
  <c r="S701" i="3"/>
  <c r="T700" i="3"/>
  <c r="S700" i="3"/>
  <c r="T699" i="3"/>
  <c r="S699" i="3"/>
  <c r="S698" i="3"/>
  <c r="T697" i="3"/>
  <c r="S697" i="3"/>
  <c r="H696" i="3"/>
  <c r="T695" i="3"/>
  <c r="S695" i="3"/>
  <c r="H694" i="3"/>
  <c r="H693" i="3"/>
  <c r="H692" i="3"/>
  <c r="H691" i="3"/>
  <c r="H690" i="3"/>
  <c r="D690" i="3"/>
  <c r="H689" i="3"/>
  <c r="H688" i="3"/>
  <c r="T687" i="3"/>
  <c r="S687" i="3"/>
  <c r="H686" i="3"/>
  <c r="H685" i="3"/>
  <c r="H684" i="3"/>
  <c r="H683" i="3"/>
  <c r="D683" i="3"/>
  <c r="H682" i="3"/>
  <c r="H681" i="3"/>
  <c r="H680" i="3"/>
  <c r="H679" i="3"/>
  <c r="H678" i="3"/>
  <c r="T676" i="3"/>
  <c r="S676" i="3"/>
  <c r="H675" i="3"/>
  <c r="H674" i="3"/>
  <c r="D674" i="3"/>
  <c r="T672" i="3"/>
  <c r="S672" i="3"/>
  <c r="H671" i="3"/>
  <c r="T669" i="3"/>
  <c r="S669" i="3"/>
  <c r="T668" i="3"/>
  <c r="S668" i="3"/>
  <c r="T667" i="3"/>
  <c r="S667" i="3"/>
  <c r="D724" i="3"/>
  <c r="C724" i="3"/>
  <c r="S666" i="3"/>
  <c r="D723" i="3"/>
  <c r="D725" i="3" s="1"/>
  <c r="T665" i="3"/>
  <c r="S665" i="3"/>
  <c r="H722" i="3"/>
  <c r="C722" i="3"/>
  <c r="T664" i="3"/>
  <c r="S664" i="3"/>
  <c r="H663" i="3"/>
  <c r="H661" i="3"/>
  <c r="H660" i="3"/>
  <c r="H659" i="3"/>
  <c r="T658" i="3"/>
  <c r="S658" i="3"/>
  <c r="H657" i="3"/>
  <c r="H656" i="3"/>
  <c r="H655" i="3"/>
  <c r="H654" i="3"/>
  <c r="H653" i="3"/>
  <c r="T652" i="3"/>
  <c r="S652" i="3"/>
  <c r="T651" i="3"/>
  <c r="S651" i="3"/>
  <c r="T650" i="3"/>
  <c r="S650" i="3"/>
  <c r="T649" i="3"/>
  <c r="S649" i="3"/>
  <c r="S648" i="3"/>
  <c r="T647" i="3"/>
  <c r="S647" i="3"/>
  <c r="C648" i="3"/>
  <c r="D632" i="3" s="1"/>
  <c r="I632" i="3" s="1"/>
  <c r="H646" i="3"/>
  <c r="T645" i="3"/>
  <c r="S645" i="3"/>
  <c r="H643" i="3"/>
  <c r="H642" i="3"/>
  <c r="H641" i="3"/>
  <c r="H640" i="3"/>
  <c r="T638" i="3"/>
  <c r="S638" i="3"/>
  <c r="H637" i="3"/>
  <c r="T636" i="3"/>
  <c r="S636" i="3"/>
  <c r="H635" i="3"/>
  <c r="H634" i="3"/>
  <c r="H632" i="3"/>
  <c r="H631" i="3"/>
  <c r="H630" i="3"/>
  <c r="D630" i="3"/>
  <c r="I630" i="3" s="1"/>
  <c r="T629" i="3"/>
  <c r="S629" i="3"/>
  <c r="T628" i="3"/>
  <c r="S628" i="3"/>
  <c r="D628" i="3"/>
  <c r="T627" i="3"/>
  <c r="S627" i="3"/>
  <c r="T626" i="3"/>
  <c r="S626" i="3"/>
  <c r="T625" i="3"/>
  <c r="S625" i="3"/>
  <c r="S624" i="3"/>
  <c r="T621" i="3"/>
  <c r="S621" i="3"/>
  <c r="T620" i="3"/>
  <c r="S620" i="3"/>
  <c r="S619" i="3"/>
  <c r="T618" i="3"/>
  <c r="S618" i="3"/>
  <c r="S617" i="3"/>
  <c r="T612" i="3"/>
  <c r="S612" i="3"/>
  <c r="S611" i="3"/>
  <c r="T599" i="3"/>
  <c r="S599" i="3"/>
  <c r="T598" i="3"/>
  <c r="S598" i="3"/>
  <c r="S597" i="3"/>
  <c r="T596" i="3"/>
  <c r="S596" i="3"/>
  <c r="S595" i="3"/>
  <c r="K593" i="3"/>
  <c r="K615" i="3" s="1"/>
  <c r="T590" i="3"/>
  <c r="S590" i="3"/>
  <c r="S589" i="3"/>
  <c r="K584" i="3"/>
  <c r="K582" i="3"/>
  <c r="S582" i="3" s="1"/>
  <c r="K581" i="3"/>
  <c r="K603" i="3" s="1"/>
  <c r="S603" i="3" s="1"/>
  <c r="T577" i="3"/>
  <c r="S577" i="3"/>
  <c r="T576" i="3"/>
  <c r="S576" i="3"/>
  <c r="S575" i="3"/>
  <c r="T574" i="3"/>
  <c r="S574" i="3"/>
  <c r="I565" i="3"/>
  <c r="I566" i="3"/>
  <c r="T564" i="3"/>
  <c r="S564" i="3"/>
  <c r="T563" i="3"/>
  <c r="S563" i="3"/>
  <c r="S562" i="3"/>
  <c r="T561" i="3"/>
  <c r="S561" i="3"/>
  <c r="C548" i="3"/>
  <c r="H560" i="3"/>
  <c r="H559" i="3"/>
  <c r="H558" i="3"/>
  <c r="H557" i="3"/>
  <c r="H556" i="3"/>
  <c r="H555" i="3"/>
  <c r="H554" i="3"/>
  <c r="H553" i="3"/>
  <c r="I552" i="3"/>
  <c r="D540" i="3"/>
  <c r="I540" i="3" s="1"/>
  <c r="H552" i="3"/>
  <c r="T551" i="3"/>
  <c r="S551" i="3"/>
  <c r="T550" i="3"/>
  <c r="S550" i="3"/>
  <c r="S549" i="3"/>
  <c r="D549" i="3"/>
  <c r="I25" i="2" s="1"/>
  <c r="T548" i="3"/>
  <c r="S548" i="3"/>
  <c r="H548" i="3"/>
  <c r="D548" i="3"/>
  <c r="D539" i="3"/>
  <c r="I539" i="3" s="1"/>
  <c r="T538" i="3"/>
  <c r="S538" i="3"/>
  <c r="T537" i="3"/>
  <c r="S537" i="3"/>
  <c r="S536" i="3"/>
  <c r="T535" i="3"/>
  <c r="S535" i="3"/>
  <c r="I526" i="3"/>
  <c r="I525" i="3"/>
  <c r="T524" i="3"/>
  <c r="S524" i="3"/>
  <c r="T523" i="3"/>
  <c r="S523" i="3"/>
  <c r="S522" i="3"/>
  <c r="T521" i="3"/>
  <c r="S521" i="3"/>
  <c r="I511" i="3"/>
  <c r="T510" i="3"/>
  <c r="S510" i="3"/>
  <c r="T509" i="3"/>
  <c r="S509" i="3"/>
  <c r="S508" i="3"/>
  <c r="D508" i="3"/>
  <c r="I23" i="2" s="1"/>
  <c r="T507" i="3"/>
  <c r="S507" i="3"/>
  <c r="H507" i="3"/>
  <c r="C507" i="3"/>
  <c r="K499" i="3"/>
  <c r="K498" i="3"/>
  <c r="K540" i="3" s="1"/>
  <c r="K497" i="3"/>
  <c r="M497" i="3" s="1"/>
  <c r="D497" i="3"/>
  <c r="I497" i="3" s="1"/>
  <c r="T496" i="3"/>
  <c r="S496" i="3"/>
  <c r="T495" i="3"/>
  <c r="S495" i="3"/>
  <c r="S494" i="3"/>
  <c r="T493" i="3"/>
  <c r="S493" i="3"/>
  <c r="I483" i="3"/>
  <c r="T482" i="3"/>
  <c r="S482" i="3"/>
  <c r="T481" i="3"/>
  <c r="S481" i="3"/>
  <c r="S480" i="3"/>
  <c r="T479" i="3"/>
  <c r="S479" i="3"/>
  <c r="I469" i="3"/>
  <c r="I470" i="3"/>
  <c r="T468" i="3"/>
  <c r="S468" i="3"/>
  <c r="H478" i="3"/>
  <c r="T467" i="3"/>
  <c r="S467" i="3"/>
  <c r="S466" i="3"/>
  <c r="T465" i="3"/>
  <c r="S465" i="3"/>
  <c r="H464" i="3"/>
  <c r="H463" i="3"/>
  <c r="H462" i="3"/>
  <c r="H461" i="3"/>
  <c r="H460" i="3"/>
  <c r="H459" i="3"/>
  <c r="H458" i="3"/>
  <c r="H457" i="3"/>
  <c r="H456" i="3"/>
  <c r="I455" i="3"/>
  <c r="I456" i="3"/>
  <c r="H455" i="3"/>
  <c r="T454" i="3"/>
  <c r="S454" i="3"/>
  <c r="T453" i="3"/>
  <c r="S453" i="3"/>
  <c r="S452" i="3"/>
  <c r="T451" i="3"/>
  <c r="S451" i="3"/>
  <c r="H437" i="3"/>
  <c r="C437" i="3"/>
  <c r="C452" i="3"/>
  <c r="H442" i="3"/>
  <c r="I441" i="3"/>
  <c r="T440" i="3"/>
  <c r="S440" i="3"/>
  <c r="T439" i="3"/>
  <c r="S439" i="3"/>
  <c r="S438" i="3"/>
  <c r="D438" i="3"/>
  <c r="I22" i="2" s="1"/>
  <c r="T437" i="3"/>
  <c r="S437" i="3"/>
  <c r="K436" i="3"/>
  <c r="K450" i="3" s="1"/>
  <c r="K428" i="3"/>
  <c r="K442" i="3" s="1"/>
  <c r="D427" i="3"/>
  <c r="I427" i="3" s="1"/>
  <c r="T426" i="3"/>
  <c r="S426" i="3"/>
  <c r="T425" i="3"/>
  <c r="S425" i="3"/>
  <c r="S424" i="3"/>
  <c r="D397" i="3"/>
  <c r="T423" i="3"/>
  <c r="S423" i="3"/>
  <c r="H396" i="3"/>
  <c r="T419" i="3"/>
  <c r="S419" i="3"/>
  <c r="T418" i="3"/>
  <c r="S418" i="3"/>
  <c r="D391" i="3"/>
  <c r="T417" i="3"/>
  <c r="S417" i="3"/>
  <c r="T416" i="3"/>
  <c r="S416" i="3"/>
  <c r="S415" i="3"/>
  <c r="T414" i="3"/>
  <c r="S414" i="3"/>
  <c r="T410" i="3"/>
  <c r="S410" i="3"/>
  <c r="D410" i="3"/>
  <c r="T409" i="3"/>
  <c r="S409" i="3"/>
  <c r="T408" i="3"/>
  <c r="S408" i="3"/>
  <c r="T407" i="3"/>
  <c r="S407" i="3"/>
  <c r="S406" i="3"/>
  <c r="T405" i="3"/>
  <c r="S405" i="3"/>
  <c r="H404" i="3"/>
  <c r="H403" i="3"/>
  <c r="H402" i="3"/>
  <c r="T401" i="3"/>
  <c r="S401" i="3"/>
  <c r="D401" i="3"/>
  <c r="C406" i="3"/>
  <c r="T400" i="3"/>
  <c r="S400" i="3"/>
  <c r="T399" i="3"/>
  <c r="S399" i="3"/>
  <c r="T398" i="3"/>
  <c r="S398" i="3"/>
  <c r="S397" i="3"/>
  <c r="T396" i="3"/>
  <c r="S396" i="3"/>
  <c r="C396" i="3"/>
  <c r="T392" i="3"/>
  <c r="S392" i="3"/>
  <c r="T391" i="3"/>
  <c r="S391" i="3"/>
  <c r="T390" i="3"/>
  <c r="S390" i="3"/>
  <c r="T389" i="3"/>
  <c r="S389" i="3"/>
  <c r="S388" i="3"/>
  <c r="D325" i="3"/>
  <c r="T387" i="3"/>
  <c r="S387" i="3"/>
  <c r="H324" i="3"/>
  <c r="T378" i="3"/>
  <c r="S378" i="3"/>
  <c r="T377" i="3"/>
  <c r="S377" i="3"/>
  <c r="T376" i="3"/>
  <c r="S376" i="3"/>
  <c r="T375" i="3"/>
  <c r="S375" i="3"/>
  <c r="T374" i="3"/>
  <c r="S374" i="3"/>
  <c r="T373" i="3"/>
  <c r="S373" i="3"/>
  <c r="T369" i="3"/>
  <c r="S369" i="3"/>
  <c r="T368" i="3"/>
  <c r="S368" i="3"/>
  <c r="S367" i="3"/>
  <c r="T366" i="3"/>
  <c r="S366" i="3"/>
  <c r="H365" i="3"/>
  <c r="T357" i="3"/>
  <c r="S357" i="3"/>
  <c r="T356" i="3"/>
  <c r="S356" i="3"/>
  <c r="T355" i="3"/>
  <c r="S355" i="3"/>
  <c r="T354" i="3"/>
  <c r="S354" i="3"/>
  <c r="T353" i="3"/>
  <c r="S353" i="3"/>
  <c r="T352" i="3"/>
  <c r="S352" i="3"/>
  <c r="I349" i="3"/>
  <c r="I351" i="3"/>
  <c r="T348" i="3"/>
  <c r="S348" i="3"/>
  <c r="T347" i="3"/>
  <c r="S347" i="3"/>
  <c r="S346" i="3"/>
  <c r="T345" i="3"/>
  <c r="S345" i="3"/>
  <c r="H344" i="3"/>
  <c r="H343" i="3"/>
  <c r="H342" i="3"/>
  <c r="H341" i="3"/>
  <c r="H340" i="3"/>
  <c r="H339" i="3"/>
  <c r="H338" i="3"/>
  <c r="H337" i="3"/>
  <c r="T336" i="3"/>
  <c r="S336" i="3"/>
  <c r="T335" i="3"/>
  <c r="S335" i="3"/>
  <c r="T334" i="3"/>
  <c r="S334" i="3"/>
  <c r="T333" i="3"/>
  <c r="S333" i="3"/>
  <c r="T332" i="3"/>
  <c r="S332" i="3"/>
  <c r="T331" i="3"/>
  <c r="S331" i="3"/>
  <c r="H330" i="3"/>
  <c r="H329" i="3"/>
  <c r="I328" i="3"/>
  <c r="I330" i="3"/>
  <c r="H328" i="3"/>
  <c r="T327" i="3"/>
  <c r="S327" i="3"/>
  <c r="T326" i="3"/>
  <c r="S326" i="3"/>
  <c r="S325" i="3"/>
  <c r="T324" i="3"/>
  <c r="S324" i="3"/>
  <c r="C324" i="3"/>
  <c r="T315" i="3"/>
  <c r="S315" i="3"/>
  <c r="D315" i="3"/>
  <c r="T314" i="3"/>
  <c r="S314" i="3"/>
  <c r="D314" i="3"/>
  <c r="T313" i="3"/>
  <c r="S313" i="3"/>
  <c r="D313" i="3"/>
  <c r="T312" i="3"/>
  <c r="S312" i="3"/>
  <c r="D312" i="3"/>
  <c r="T311" i="3"/>
  <c r="S311" i="3"/>
  <c r="D311" i="3"/>
  <c r="T310" i="3"/>
  <c r="S310" i="3"/>
  <c r="D310" i="3"/>
  <c r="T306" i="3"/>
  <c r="S306" i="3"/>
  <c r="T305" i="3"/>
  <c r="S305" i="3"/>
  <c r="S304" i="3"/>
  <c r="T303" i="3"/>
  <c r="S303" i="3"/>
  <c r="T294" i="3"/>
  <c r="S294" i="3"/>
  <c r="T293" i="3"/>
  <c r="S293" i="3"/>
  <c r="T292" i="3"/>
  <c r="S292" i="3"/>
  <c r="T291" i="3"/>
  <c r="S291" i="3"/>
  <c r="T290" i="3"/>
  <c r="S290" i="3"/>
  <c r="T289" i="3"/>
  <c r="S289" i="3"/>
  <c r="I288" i="3"/>
  <c r="I286" i="3"/>
  <c r="T285" i="3"/>
  <c r="S285" i="3"/>
  <c r="T284" i="3"/>
  <c r="S284" i="3"/>
  <c r="S283" i="3"/>
  <c r="T282" i="3"/>
  <c r="S282" i="3"/>
  <c r="H278" i="3"/>
  <c r="H275" i="3"/>
  <c r="T273" i="3"/>
  <c r="S273" i="3"/>
  <c r="T272" i="3"/>
  <c r="S272" i="3"/>
  <c r="T271" i="3"/>
  <c r="S271" i="3"/>
  <c r="T270" i="3"/>
  <c r="S270" i="3"/>
  <c r="T269" i="3"/>
  <c r="S269" i="3"/>
  <c r="T268" i="3"/>
  <c r="S268" i="3"/>
  <c r="H267" i="3"/>
  <c r="I265" i="3"/>
  <c r="I267" i="3"/>
  <c r="H265" i="3"/>
  <c r="T264" i="3"/>
  <c r="S264" i="3"/>
  <c r="T263" i="3"/>
  <c r="S263" i="3"/>
  <c r="S262" i="3"/>
  <c r="D241" i="3"/>
  <c r="I20" i="1" s="1"/>
  <c r="T261" i="3"/>
  <c r="S261" i="3"/>
  <c r="H240" i="3"/>
  <c r="C240" i="3"/>
  <c r="T252" i="3"/>
  <c r="S252" i="3"/>
  <c r="T251" i="3"/>
  <c r="S251" i="3"/>
  <c r="T250" i="3"/>
  <c r="S250" i="3"/>
  <c r="T249" i="3"/>
  <c r="S249" i="3"/>
  <c r="T248" i="3"/>
  <c r="S248" i="3"/>
  <c r="T247" i="3"/>
  <c r="S247" i="3"/>
  <c r="I244" i="3"/>
  <c r="T243" i="3"/>
  <c r="S243" i="3"/>
  <c r="T242" i="3"/>
  <c r="S242" i="3"/>
  <c r="S241" i="3"/>
  <c r="T240" i="3"/>
  <c r="S240" i="3"/>
  <c r="K239" i="3"/>
  <c r="K281" i="3" s="1"/>
  <c r="K238" i="3"/>
  <c r="K322" i="3" s="1"/>
  <c r="P237" i="3"/>
  <c r="P235" i="3"/>
  <c r="K225" i="3"/>
  <c r="S225" i="3" s="1"/>
  <c r="K224" i="3"/>
  <c r="K245" i="3" s="1"/>
  <c r="D223" i="3"/>
  <c r="I223" i="3" s="1"/>
  <c r="T222" i="3"/>
  <c r="S222" i="3"/>
  <c r="T221" i="3"/>
  <c r="S221" i="3"/>
  <c r="S220" i="3"/>
  <c r="T219" i="3"/>
  <c r="S219" i="3"/>
  <c r="I218" i="3"/>
  <c r="I215" i="3"/>
  <c r="I209" i="3"/>
  <c r="T208" i="3"/>
  <c r="S208" i="3"/>
  <c r="H218" i="3"/>
  <c r="T207" i="3"/>
  <c r="S207" i="3"/>
  <c r="S206" i="3"/>
  <c r="T205" i="3"/>
  <c r="S205" i="3"/>
  <c r="I204" i="3"/>
  <c r="I201" i="3"/>
  <c r="I195" i="3"/>
  <c r="T194" i="3"/>
  <c r="S194" i="3"/>
  <c r="H204" i="3"/>
  <c r="T193" i="3"/>
  <c r="S193" i="3"/>
  <c r="S192" i="3"/>
  <c r="T191" i="3"/>
  <c r="S191" i="3"/>
  <c r="H177" i="3"/>
  <c r="I190" i="3"/>
  <c r="I187" i="3"/>
  <c r="I181" i="3"/>
  <c r="T180" i="3"/>
  <c r="S180" i="3"/>
  <c r="T179" i="3"/>
  <c r="S179" i="3"/>
  <c r="S178" i="3"/>
  <c r="D178" i="3"/>
  <c r="T177" i="3"/>
  <c r="S177" i="3"/>
  <c r="C177" i="3"/>
  <c r="D176" i="3"/>
  <c r="I176" i="3" s="1"/>
  <c r="D173" i="3"/>
  <c r="I173" i="3" s="1"/>
  <c r="D167" i="3"/>
  <c r="I167" i="3" s="1"/>
  <c r="T166" i="3"/>
  <c r="S166" i="3"/>
  <c r="T165" i="3"/>
  <c r="S165" i="3"/>
  <c r="S164" i="3"/>
  <c r="T163" i="3"/>
  <c r="S163" i="3"/>
  <c r="R163" i="3"/>
  <c r="H154" i="3"/>
  <c r="I155" i="3"/>
  <c r="T152" i="3"/>
  <c r="S152" i="3"/>
  <c r="R152" i="3"/>
  <c r="T151" i="3"/>
  <c r="S151" i="3"/>
  <c r="R151" i="3"/>
  <c r="S150" i="3"/>
  <c r="T149" i="3"/>
  <c r="S149" i="3"/>
  <c r="R149" i="3"/>
  <c r="I141" i="3"/>
  <c r="I139" i="3"/>
  <c r="T138" i="3"/>
  <c r="S138" i="3"/>
  <c r="R138" i="3"/>
  <c r="T137" i="3"/>
  <c r="S137" i="3"/>
  <c r="R137" i="3"/>
  <c r="S136" i="3"/>
  <c r="T135" i="3"/>
  <c r="S135" i="3"/>
  <c r="H132" i="3"/>
  <c r="H127" i="3"/>
  <c r="I125" i="3"/>
  <c r="T124" i="3"/>
  <c r="S124" i="3"/>
  <c r="R124" i="3"/>
  <c r="T123" i="3"/>
  <c r="S123" i="3"/>
  <c r="R123" i="3"/>
  <c r="S122" i="3"/>
  <c r="T121" i="3"/>
  <c r="S121" i="3"/>
  <c r="R121" i="3"/>
  <c r="C121" i="3"/>
  <c r="O120" i="3"/>
  <c r="K120" i="3"/>
  <c r="Q120" i="3" s="1"/>
  <c r="K119" i="3"/>
  <c r="K203" i="3" s="1"/>
  <c r="K113" i="3"/>
  <c r="K169" i="3" s="1"/>
  <c r="S169" i="3" s="1"/>
  <c r="K112" i="3"/>
  <c r="K168" i="3" s="1"/>
  <c r="S168" i="3" s="1"/>
  <c r="T110" i="3"/>
  <c r="S110" i="3"/>
  <c r="T109" i="3"/>
  <c r="S109" i="3"/>
  <c r="S108" i="3"/>
  <c r="T103" i="3"/>
  <c r="S103" i="3"/>
  <c r="T102" i="3"/>
  <c r="S102" i="3"/>
  <c r="S101" i="3"/>
  <c r="P97" i="3"/>
  <c r="T100" i="3"/>
  <c r="S100" i="3"/>
  <c r="O100" i="3"/>
  <c r="T99" i="3"/>
  <c r="S99" i="3"/>
  <c r="K98" i="3"/>
  <c r="S98" i="3" s="1"/>
  <c r="H98" i="3"/>
  <c r="I91" i="3"/>
  <c r="H87" i="3"/>
  <c r="H86" i="3"/>
  <c r="H85" i="3"/>
  <c r="T84" i="3"/>
  <c r="S84" i="3"/>
  <c r="T83" i="3"/>
  <c r="S83" i="3"/>
  <c r="T82" i="3"/>
  <c r="S82" i="3"/>
  <c r="S81" i="3"/>
  <c r="T80" i="3"/>
  <c r="S80" i="3"/>
  <c r="I79" i="3"/>
  <c r="T69" i="3"/>
  <c r="S69" i="3"/>
  <c r="T68" i="3"/>
  <c r="S68" i="3"/>
  <c r="T67" i="3"/>
  <c r="S67" i="3"/>
  <c r="S66" i="3"/>
  <c r="T65" i="3"/>
  <c r="S65" i="3"/>
  <c r="I64" i="3"/>
  <c r="H63" i="3"/>
  <c r="H62" i="3"/>
  <c r="H61" i="3"/>
  <c r="H59" i="3"/>
  <c r="H58" i="3"/>
  <c r="H57" i="3"/>
  <c r="H56" i="3"/>
  <c r="H55" i="3"/>
  <c r="H54" i="3"/>
  <c r="H53" i="3"/>
  <c r="H52" i="3"/>
  <c r="K51" i="3"/>
  <c r="S51" i="3" s="1"/>
  <c r="C50" i="3"/>
  <c r="T50" i="3"/>
  <c r="S50" i="3"/>
  <c r="T49" i="3"/>
  <c r="S49" i="3"/>
  <c r="H64" i="3"/>
  <c r="T48" i="3"/>
  <c r="S48" i="3"/>
  <c r="S47" i="3"/>
  <c r="P44" i="3"/>
  <c r="T46" i="3"/>
  <c r="S46" i="3"/>
  <c r="I45" i="3"/>
  <c r="Q32" i="3"/>
  <c r="Q30" i="3" s="1"/>
  <c r="P32" i="3"/>
  <c r="Q31" i="3"/>
  <c r="T29" i="3"/>
  <c r="S29" i="3"/>
  <c r="I36" i="3"/>
  <c r="T28" i="3"/>
  <c r="S28" i="3"/>
  <c r="T27" i="3"/>
  <c r="S27" i="3"/>
  <c r="S26" i="3"/>
  <c r="T25" i="3"/>
  <c r="S25" i="3"/>
  <c r="P23" i="3"/>
  <c r="H23" i="3"/>
  <c r="H22" i="3"/>
  <c r="R21" i="3"/>
  <c r="R20" i="3"/>
  <c r="H20" i="3"/>
  <c r="K19" i="3"/>
  <c r="K93" i="3" s="1"/>
  <c r="H19" i="3"/>
  <c r="K18" i="3"/>
  <c r="K92" i="3" s="1"/>
  <c r="K17" i="3"/>
  <c r="K76" i="3" s="1"/>
  <c r="H17" i="3"/>
  <c r="K16" i="3"/>
  <c r="K75" i="3" s="1"/>
  <c r="K15" i="3"/>
  <c r="K74" i="3" s="1"/>
  <c r="H14" i="3"/>
  <c r="K12" i="3"/>
  <c r="K71" i="3" s="1"/>
  <c r="H12" i="3"/>
  <c r="S11" i="3"/>
  <c r="K11" i="3"/>
  <c r="K70" i="3" s="1"/>
  <c r="H11" i="3"/>
  <c r="I17" i="3"/>
  <c r="N69" i="2"/>
  <c r="N68" i="2"/>
  <c r="N60" i="2"/>
  <c r="N57" i="2"/>
  <c r="T54" i="2"/>
  <c r="X53" i="2"/>
  <c r="M53" i="2"/>
  <c r="M52" i="2"/>
  <c r="M54" i="2" s="1"/>
  <c r="AC47" i="2"/>
  <c r="K47" i="2"/>
  <c r="N47" i="2" s="1"/>
  <c r="X47" i="2" s="1"/>
  <c r="AC46" i="2"/>
  <c r="G46" i="2"/>
  <c r="T44" i="2"/>
  <c r="T43" i="2"/>
  <c r="Q43" i="1" s="1"/>
  <c r="I42" i="2"/>
  <c r="G42" i="2"/>
  <c r="I41" i="2"/>
  <c r="G41" i="2"/>
  <c r="I40" i="2"/>
  <c r="G40" i="2"/>
  <c r="AC39" i="2"/>
  <c r="AC37" i="2"/>
  <c r="K37" i="2"/>
  <c r="N37" i="2" s="1"/>
  <c r="X37" i="2" s="1"/>
  <c r="AC36" i="2"/>
  <c r="K36" i="2"/>
  <c r="I35" i="2"/>
  <c r="G35" i="2"/>
  <c r="AC34" i="2"/>
  <c r="K34" i="2"/>
  <c r="N34" i="2" s="1"/>
  <c r="X34" i="2" s="1"/>
  <c r="I34" i="2"/>
  <c r="I32" i="2"/>
  <c r="G32" i="2"/>
  <c r="I31" i="2"/>
  <c r="G31" i="2"/>
  <c r="I30" i="2"/>
  <c r="G30" i="2"/>
  <c r="I29" i="2"/>
  <c r="T28" i="2"/>
  <c r="I28" i="2"/>
  <c r="T27" i="2"/>
  <c r="I27" i="2"/>
  <c r="T26" i="2"/>
  <c r="G25" i="2"/>
  <c r="I24" i="2"/>
  <c r="G24" i="2"/>
  <c r="G23" i="2"/>
  <c r="T22" i="2"/>
  <c r="G22" i="2"/>
  <c r="T21" i="2"/>
  <c r="I20" i="2"/>
  <c r="AC18" i="2"/>
  <c r="V49" i="2"/>
  <c r="AC16" i="2"/>
  <c r="K16" i="2"/>
  <c r="N16" i="2" s="1"/>
  <c r="X16" i="2" s="1"/>
  <c r="A15" i="2"/>
  <c r="G14" i="2"/>
  <c r="E11" i="2"/>
  <c r="Q47" i="1"/>
  <c r="K47" i="1"/>
  <c r="Q46" i="1"/>
  <c r="G46" i="1"/>
  <c r="G43" i="1"/>
  <c r="I42" i="1"/>
  <c r="G42" i="1"/>
  <c r="I41" i="1"/>
  <c r="G41" i="1"/>
  <c r="I40" i="1"/>
  <c r="G40" i="1"/>
  <c r="Q37" i="1"/>
  <c r="K37" i="1"/>
  <c r="Q36" i="1"/>
  <c r="K36" i="1"/>
  <c r="I35" i="1"/>
  <c r="G35" i="1"/>
  <c r="Q34" i="1"/>
  <c r="M34" i="1"/>
  <c r="K34" i="1"/>
  <c r="I34" i="1"/>
  <c r="I32" i="1"/>
  <c r="G32" i="1"/>
  <c r="I31" i="1"/>
  <c r="G31" i="1"/>
  <c r="I30" i="1"/>
  <c r="G30" i="1"/>
  <c r="I29" i="1"/>
  <c r="Q28" i="1"/>
  <c r="I28" i="1"/>
  <c r="I27" i="1"/>
  <c r="G25" i="1"/>
  <c r="I24" i="1"/>
  <c r="G24" i="1"/>
  <c r="G23" i="1"/>
  <c r="Q22" i="1"/>
  <c r="G22" i="1"/>
  <c r="Q16" i="1"/>
  <c r="K16" i="1"/>
  <c r="A16" i="1"/>
  <c r="A15" i="1"/>
  <c r="I14" i="1"/>
  <c r="G14" i="1"/>
  <c r="G11" i="1"/>
  <c r="E11" i="1"/>
  <c r="K79" i="3" l="1"/>
  <c r="S79" i="3" s="1"/>
  <c r="K45" i="3"/>
  <c r="K64" i="3"/>
  <c r="S64" i="3" s="1"/>
  <c r="I23" i="1"/>
  <c r="I26" i="1" s="1"/>
  <c r="I25" i="1"/>
  <c r="I33" i="1"/>
  <c r="G26" i="2"/>
  <c r="G33" i="2"/>
  <c r="M79" i="3"/>
  <c r="T79" i="3" s="1"/>
  <c r="S497" i="3"/>
  <c r="D1273" i="3"/>
  <c r="I1273" i="3" s="1"/>
  <c r="D1275" i="3"/>
  <c r="I1275" i="3" s="1"/>
  <c r="G33" i="1"/>
  <c r="H562" i="3"/>
  <c r="K834" i="3"/>
  <c r="S834" i="3" s="1"/>
  <c r="I22" i="1"/>
  <c r="S239" i="3"/>
  <c r="H1280" i="3"/>
  <c r="I36" i="1"/>
  <c r="AE36" i="1" s="1"/>
  <c r="S16" i="3"/>
  <c r="S18" i="3"/>
  <c r="S112" i="3"/>
  <c r="Q119" i="3"/>
  <c r="K147" i="3"/>
  <c r="S581" i="3"/>
  <c r="S593" i="3"/>
  <c r="Q808" i="3"/>
  <c r="S922" i="3"/>
  <c r="H981" i="3"/>
  <c r="H1242" i="3"/>
  <c r="S1289" i="3"/>
  <c r="M47" i="2"/>
  <c r="K56" i="3"/>
  <c r="S56" i="3" s="1"/>
  <c r="K827" i="3"/>
  <c r="S827" i="3" s="1"/>
  <c r="M37" i="1"/>
  <c r="U37" i="1" s="1"/>
  <c r="W37" i="1" s="1"/>
  <c r="I26" i="2"/>
  <c r="I33" i="2"/>
  <c r="K14" i="3"/>
  <c r="K73" i="3" s="1"/>
  <c r="S73" i="3" s="1"/>
  <c r="K52" i="3"/>
  <c r="S52" i="3" s="1"/>
  <c r="K55" i="3"/>
  <c r="S55" i="3" s="1"/>
  <c r="K57" i="3"/>
  <c r="S57" i="3" s="1"/>
  <c r="S436" i="3"/>
  <c r="K511" i="3"/>
  <c r="K604" i="3"/>
  <c r="S604" i="3" s="1"/>
  <c r="D635" i="3"/>
  <c r="I635" i="3" s="1"/>
  <c r="K826" i="3"/>
  <c r="S826" i="3" s="1"/>
  <c r="H1299" i="3"/>
  <c r="H1302" i="3" s="1"/>
  <c r="K1305" i="3"/>
  <c r="M34" i="2"/>
  <c r="Q34" i="2" s="1"/>
  <c r="K58" i="3"/>
  <c r="S58" i="3" s="1"/>
  <c r="K786" i="3"/>
  <c r="S786" i="3" s="1"/>
  <c r="H962" i="3"/>
  <c r="H983" i="3" s="1"/>
  <c r="M47" i="1"/>
  <c r="U47" i="1" s="1"/>
  <c r="W47" i="1" s="1"/>
  <c r="N36" i="2"/>
  <c r="X36" i="2" s="1"/>
  <c r="S113" i="3"/>
  <c r="K512" i="3"/>
  <c r="S512" i="3" s="1"/>
  <c r="D734" i="3"/>
  <c r="K779" i="3"/>
  <c r="S779" i="3" s="1"/>
  <c r="H1269" i="3"/>
  <c r="M1286" i="3"/>
  <c r="M36" i="1" s="1"/>
  <c r="U36" i="1" s="1"/>
  <c r="W36" i="1" s="1"/>
  <c r="S1290" i="3"/>
  <c r="K1306" i="3"/>
  <c r="M1306" i="3" s="1"/>
  <c r="T1306" i="3" s="1"/>
  <c r="AI14" i="1"/>
  <c r="G26" i="1"/>
  <c r="AE34" i="1"/>
  <c r="D1160" i="5"/>
  <c r="D1146" i="5"/>
  <c r="D1131" i="5"/>
  <c r="I176" i="5"/>
  <c r="M223" i="5"/>
  <c r="D1106" i="5"/>
  <c r="D1110" i="5"/>
  <c r="I497" i="5"/>
  <c r="I764" i="5"/>
  <c r="M1262" i="5"/>
  <c r="I1170" i="5"/>
  <c r="M1264" i="5"/>
  <c r="Z47" i="2"/>
  <c r="Q47" i="2"/>
  <c r="S74" i="3"/>
  <c r="Q27" i="1"/>
  <c r="Q44" i="1"/>
  <c r="H24" i="3"/>
  <c r="S70" i="3"/>
  <c r="S71" i="3"/>
  <c r="S75" i="3"/>
  <c r="S76" i="3"/>
  <c r="S93" i="3"/>
  <c r="C26" i="3"/>
  <c r="D24" i="3" s="1"/>
  <c r="H32" i="3"/>
  <c r="S92" i="3"/>
  <c r="C66" i="3"/>
  <c r="X54" i="2"/>
  <c r="H78" i="3"/>
  <c r="AC34" i="1"/>
  <c r="AF34" i="1" s="1"/>
  <c r="K59" i="3"/>
  <c r="U34" i="1"/>
  <c r="W34" i="1" s="1"/>
  <c r="S19" i="3"/>
  <c r="H128" i="3"/>
  <c r="C114" i="3"/>
  <c r="H114" i="3" s="1"/>
  <c r="I11" i="1"/>
  <c r="G11" i="2"/>
  <c r="I14" i="2"/>
  <c r="M16" i="2"/>
  <c r="M37" i="2"/>
  <c r="S12" i="3"/>
  <c r="S17" i="3"/>
  <c r="K30" i="3"/>
  <c r="K34" i="3"/>
  <c r="K35" i="3"/>
  <c r="H36" i="3"/>
  <c r="K36" i="3"/>
  <c r="K37" i="3"/>
  <c r="K38" i="3"/>
  <c r="M64" i="3"/>
  <c r="T64" i="3" s="1"/>
  <c r="K89" i="3"/>
  <c r="K90" i="3"/>
  <c r="K91" i="3"/>
  <c r="S203" i="3"/>
  <c r="R135" i="3"/>
  <c r="H121" i="3"/>
  <c r="H161" i="3"/>
  <c r="S245" i="3"/>
  <c r="H79" i="3"/>
  <c r="H131" i="3"/>
  <c r="H139" i="3"/>
  <c r="K11" i="1"/>
  <c r="I11" i="2"/>
  <c r="T17" i="2"/>
  <c r="H21" i="3"/>
  <c r="K31" i="3"/>
  <c r="H45" i="3"/>
  <c r="H51" i="3"/>
  <c r="H60" i="3"/>
  <c r="K85" i="3"/>
  <c r="K86" i="3"/>
  <c r="D113" i="3"/>
  <c r="I127" i="3"/>
  <c r="S147" i="3"/>
  <c r="S322" i="3"/>
  <c r="H260" i="3"/>
  <c r="C239" i="3"/>
  <c r="H239" i="3" s="1"/>
  <c r="S442" i="3"/>
  <c r="K54" i="3"/>
  <c r="K1205" i="3"/>
  <c r="K218" i="3"/>
  <c r="K204" i="3"/>
  <c r="K190" i="3"/>
  <c r="K176" i="3"/>
  <c r="K162" i="3"/>
  <c r="K134" i="3"/>
  <c r="S120" i="3"/>
  <c r="K148" i="3"/>
  <c r="C176" i="3"/>
  <c r="H176" i="3" s="1"/>
  <c r="H190" i="3"/>
  <c r="A17" i="1"/>
  <c r="K11" i="2"/>
  <c r="A16" i="2"/>
  <c r="K13" i="3"/>
  <c r="S14" i="3"/>
  <c r="S15" i="3"/>
  <c r="M17" i="3"/>
  <c r="H76" i="3"/>
  <c r="H91" i="3"/>
  <c r="D122" i="3"/>
  <c r="S281" i="3"/>
  <c r="D111" i="3"/>
  <c r="Q113" i="3"/>
  <c r="K133" i="3"/>
  <c r="K140" i="3"/>
  <c r="H155" i="3"/>
  <c r="K155" i="3"/>
  <c r="K161" i="3"/>
  <c r="K196" i="3"/>
  <c r="K197" i="3"/>
  <c r="H209" i="3"/>
  <c r="H211" i="3"/>
  <c r="H216" i="3"/>
  <c r="K372" i="3"/>
  <c r="K351" i="3"/>
  <c r="K309" i="3"/>
  <c r="K288" i="3"/>
  <c r="K330" i="3"/>
  <c r="C424" i="3"/>
  <c r="H441" i="3"/>
  <c r="S450" i="3"/>
  <c r="K566" i="3"/>
  <c r="K553" i="3"/>
  <c r="S540" i="3"/>
  <c r="H520" i="3"/>
  <c r="M540" i="3"/>
  <c r="C743" i="3"/>
  <c r="H741" i="3"/>
  <c r="C732" i="3"/>
  <c r="H732" i="3" s="1"/>
  <c r="S842" i="3"/>
  <c r="S866" i="3"/>
  <c r="Q112" i="3"/>
  <c r="D10" i="4"/>
  <c r="K1204" i="3"/>
  <c r="K175" i="3"/>
  <c r="S119" i="3"/>
  <c r="K126" i="3"/>
  <c r="K141" i="3"/>
  <c r="I153" i="3"/>
  <c r="D188" i="3"/>
  <c r="I211" i="3"/>
  <c r="D216" i="3"/>
  <c r="I216" i="3" s="1"/>
  <c r="K385" i="3"/>
  <c r="S238" i="3"/>
  <c r="K364" i="3"/>
  <c r="K301" i="3"/>
  <c r="K343" i="3"/>
  <c r="K266" i="3"/>
  <c r="K267" i="3"/>
  <c r="K280" i="3"/>
  <c r="D307" i="3"/>
  <c r="I370" i="3"/>
  <c r="I372" i="3"/>
  <c r="H406" i="3"/>
  <c r="H413" i="3"/>
  <c r="K484" i="3"/>
  <c r="S428" i="3"/>
  <c r="K470" i="3"/>
  <c r="K456" i="3"/>
  <c r="H443" i="3"/>
  <c r="D443" i="3"/>
  <c r="H445" i="3"/>
  <c r="D445" i="3"/>
  <c r="H447" i="3"/>
  <c r="D447" i="3"/>
  <c r="H449" i="3"/>
  <c r="D449" i="3"/>
  <c r="H484" i="3"/>
  <c r="H483" i="3"/>
  <c r="T497" i="3"/>
  <c r="S511" i="3"/>
  <c r="M511" i="3"/>
  <c r="I553" i="3"/>
  <c r="H580" i="3"/>
  <c r="H584" i="3"/>
  <c r="D640" i="3"/>
  <c r="D637" i="3"/>
  <c r="D641" i="3"/>
  <c r="D634" i="3"/>
  <c r="K127" i="3"/>
  <c r="H160" i="3"/>
  <c r="H153" i="3"/>
  <c r="K182" i="3"/>
  <c r="K183" i="3"/>
  <c r="K189" i="3"/>
  <c r="H195" i="3"/>
  <c r="H197" i="3"/>
  <c r="H202" i="3"/>
  <c r="K210" i="3"/>
  <c r="K211" i="3"/>
  <c r="K217" i="3"/>
  <c r="K386" i="3"/>
  <c r="K365" i="3"/>
  <c r="K302" i="3"/>
  <c r="K344" i="3"/>
  <c r="K246" i="3"/>
  <c r="K259" i="3"/>
  <c r="K260" i="3"/>
  <c r="K323" i="3"/>
  <c r="H346" i="3"/>
  <c r="H383" i="3"/>
  <c r="H380" i="3"/>
  <c r="H372" i="3"/>
  <c r="H370" i="3"/>
  <c r="D419" i="3"/>
  <c r="D392" i="3" s="1"/>
  <c r="H466" i="3"/>
  <c r="I484" i="3"/>
  <c r="H578" i="3"/>
  <c r="H582" i="3"/>
  <c r="K606" i="3"/>
  <c r="S584" i="3"/>
  <c r="H600" i="3"/>
  <c r="S615" i="3"/>
  <c r="D646" i="3"/>
  <c r="K154" i="3"/>
  <c r="I197" i="3"/>
  <c r="D202" i="3"/>
  <c r="I202" i="3" s="1"/>
  <c r="K371" i="3"/>
  <c r="S224" i="3"/>
  <c r="K350" i="3"/>
  <c r="K308" i="3"/>
  <c r="K287" i="3"/>
  <c r="K329" i="3"/>
  <c r="H266" i="3"/>
  <c r="D266" i="3"/>
  <c r="I266" i="3" s="1"/>
  <c r="H274" i="3"/>
  <c r="H276" i="3"/>
  <c r="H277" i="3"/>
  <c r="H279" i="3"/>
  <c r="H280" i="3"/>
  <c r="D280" i="3"/>
  <c r="I280" i="3" s="1"/>
  <c r="H281" i="3"/>
  <c r="C283" i="3"/>
  <c r="D281" i="3" s="1"/>
  <c r="H302" i="3"/>
  <c r="D309" i="3"/>
  <c r="I309" i="3" s="1"/>
  <c r="H444" i="3"/>
  <c r="D444" i="3"/>
  <c r="H446" i="3"/>
  <c r="D446" i="3"/>
  <c r="H448" i="3"/>
  <c r="D448" i="3"/>
  <c r="H450" i="3"/>
  <c r="D450" i="3"/>
  <c r="C436" i="3"/>
  <c r="H436" i="3" s="1"/>
  <c r="K527" i="3"/>
  <c r="S499" i="3"/>
  <c r="K513" i="3"/>
  <c r="H511" i="3"/>
  <c r="H526" i="3"/>
  <c r="H525" i="3"/>
  <c r="H573" i="3"/>
  <c r="C346" i="3"/>
  <c r="K1252" i="3"/>
  <c r="D18" i="4"/>
  <c r="K972" i="3"/>
  <c r="K464" i="3"/>
  <c r="C466" i="3"/>
  <c r="D457" i="3" s="1"/>
  <c r="I457" i="3" s="1"/>
  <c r="C562" i="3"/>
  <c r="D556" i="3" s="1"/>
  <c r="D633" i="3"/>
  <c r="H639" i="3"/>
  <c r="D639" i="3"/>
  <c r="H662" i="3"/>
  <c r="H666" i="3" s="1"/>
  <c r="H673" i="3"/>
  <c r="D673" i="3"/>
  <c r="I683" i="3"/>
  <c r="I690" i="3"/>
  <c r="D696" i="3"/>
  <c r="D693" i="3"/>
  <c r="D688" i="3"/>
  <c r="D685" i="3"/>
  <c r="D680" i="3"/>
  <c r="D692" i="3"/>
  <c r="D684" i="3"/>
  <c r="D679" i="3"/>
  <c r="D675" i="3"/>
  <c r="I711" i="3"/>
  <c r="I714" i="3"/>
  <c r="I789" i="3"/>
  <c r="H809" i="3"/>
  <c r="H286" i="3"/>
  <c r="H288" i="3"/>
  <c r="H296" i="3"/>
  <c r="H299" i="3"/>
  <c r="D329" i="3"/>
  <c r="D343" i="3"/>
  <c r="D344" i="3"/>
  <c r="H349" i="3"/>
  <c r="C308" i="3"/>
  <c r="H308" i="3" s="1"/>
  <c r="H351" i="3"/>
  <c r="D402" i="3"/>
  <c r="D403" i="3"/>
  <c r="D404" i="3"/>
  <c r="C391" i="3"/>
  <c r="C394" i="3"/>
  <c r="H394" i="3" s="1"/>
  <c r="D459" i="3"/>
  <c r="I459" i="3" s="1"/>
  <c r="D460" i="3"/>
  <c r="I460" i="3" s="1"/>
  <c r="D463" i="3"/>
  <c r="I463" i="3" s="1"/>
  <c r="D464" i="3"/>
  <c r="I464" i="3" s="1"/>
  <c r="H469" i="3"/>
  <c r="C429" i="3"/>
  <c r="H429" i="3" s="1"/>
  <c r="C433" i="3"/>
  <c r="H433" i="3" s="1"/>
  <c r="C434" i="3"/>
  <c r="H434" i="3" s="1"/>
  <c r="K478" i="3"/>
  <c r="S498" i="3"/>
  <c r="D559" i="3"/>
  <c r="H565" i="3"/>
  <c r="H566" i="3"/>
  <c r="D631" i="3"/>
  <c r="H633" i="3"/>
  <c r="D642" i="3"/>
  <c r="D643" i="3"/>
  <c r="H670" i="3"/>
  <c r="D670" i="3"/>
  <c r="D671" i="3"/>
  <c r="D716" i="3"/>
  <c r="D709" i="3"/>
  <c r="D705" i="3"/>
  <c r="D702" i="3"/>
  <c r="D715" i="3"/>
  <c r="D712" i="3"/>
  <c r="D708" i="3"/>
  <c r="S749" i="3"/>
  <c r="M749" i="3"/>
  <c r="D765" i="3"/>
  <c r="I772" i="3"/>
  <c r="M779" i="3"/>
  <c r="T779" i="3" s="1"/>
  <c r="I779" i="3"/>
  <c r="H851" i="3"/>
  <c r="C395" i="3"/>
  <c r="H395" i="3" s="1"/>
  <c r="K492" i="3"/>
  <c r="D23" i="4"/>
  <c r="F23" i="4" s="1"/>
  <c r="D33" i="4" s="1"/>
  <c r="F33" i="4" s="1"/>
  <c r="K949" i="3" s="1"/>
  <c r="K1272" i="3"/>
  <c r="K525" i="3"/>
  <c r="K526" i="3"/>
  <c r="K539" i="3"/>
  <c r="C540" i="3"/>
  <c r="H540" i="3" s="1"/>
  <c r="C541" i="3"/>
  <c r="H541" i="3" s="1"/>
  <c r="C542" i="3"/>
  <c r="H542" i="3" s="1"/>
  <c r="C543" i="3"/>
  <c r="H543" i="3" s="1"/>
  <c r="C544" i="3"/>
  <c r="H544" i="3" s="1"/>
  <c r="C545" i="3"/>
  <c r="H545" i="3" s="1"/>
  <c r="C546" i="3"/>
  <c r="H546" i="3" s="1"/>
  <c r="C547" i="3"/>
  <c r="H547" i="3" s="1"/>
  <c r="K592" i="3"/>
  <c r="H644" i="3"/>
  <c r="D644" i="3"/>
  <c r="I674" i="3"/>
  <c r="H677" i="3"/>
  <c r="D677" i="3"/>
  <c r="D678" i="3"/>
  <c r="D682" i="3"/>
  <c r="D691" i="3"/>
  <c r="H719" i="3"/>
  <c r="I740" i="3"/>
  <c r="D731" i="3"/>
  <c r="I731" i="3" s="1"/>
  <c r="H759" i="3"/>
  <c r="C761" i="3"/>
  <c r="S772" i="3"/>
  <c r="M772" i="3"/>
  <c r="T772" i="3" s="1"/>
  <c r="H773" i="3"/>
  <c r="C766" i="3"/>
  <c r="H766" i="3" s="1"/>
  <c r="C775" i="3"/>
  <c r="D768" i="3"/>
  <c r="C782" i="3"/>
  <c r="H780" i="3"/>
  <c r="H872" i="3"/>
  <c r="C666" i="3"/>
  <c r="D664" i="3" s="1"/>
  <c r="D681" i="3"/>
  <c r="D686" i="3"/>
  <c r="D689" i="3"/>
  <c r="D694" i="3"/>
  <c r="D703" i="3"/>
  <c r="D706" i="3"/>
  <c r="D710" i="3"/>
  <c r="D717" i="3"/>
  <c r="D746" i="3"/>
  <c r="D747" i="3"/>
  <c r="H757" i="3"/>
  <c r="H758" i="3"/>
  <c r="K758" i="3"/>
  <c r="S765" i="3"/>
  <c r="I771" i="3"/>
  <c r="I775" i="3" s="1"/>
  <c r="I773" i="3"/>
  <c r="M786" i="3"/>
  <c r="T786" i="3" s="1"/>
  <c r="D792" i="3"/>
  <c r="S794" i="3"/>
  <c r="K810" i="3"/>
  <c r="D825" i="3"/>
  <c r="I825" i="3" s="1"/>
  <c r="D826" i="3"/>
  <c r="I826" i="3" s="1"/>
  <c r="M827" i="3"/>
  <c r="D828" i="3"/>
  <c r="I828" i="3" s="1"/>
  <c r="D829" i="3"/>
  <c r="I829" i="3" s="1"/>
  <c r="I832" i="3"/>
  <c r="D834" i="3"/>
  <c r="I834" i="3" s="1"/>
  <c r="D835" i="3"/>
  <c r="M835" i="3" s="1"/>
  <c r="H840" i="3"/>
  <c r="H843" i="3"/>
  <c r="K843" i="3"/>
  <c r="H847" i="3"/>
  <c r="H849" i="3"/>
  <c r="K850" i="3"/>
  <c r="I872" i="3"/>
  <c r="S1016" i="3"/>
  <c r="D655" i="3"/>
  <c r="I730" i="3"/>
  <c r="D732" i="3"/>
  <c r="I739" i="3"/>
  <c r="I741" i="3"/>
  <c r="H750" i="3"/>
  <c r="H752" i="3" s="1"/>
  <c r="D764" i="3"/>
  <c r="I766" i="3"/>
  <c r="I778" i="3"/>
  <c r="I780" i="3"/>
  <c r="H787" i="3"/>
  <c r="H789" i="3" s="1"/>
  <c r="K874" i="3"/>
  <c r="K906" i="3"/>
  <c r="K890" i="3"/>
  <c r="K882" i="3"/>
  <c r="K914" i="3"/>
  <c r="K898" i="3"/>
  <c r="I808" i="3"/>
  <c r="H830" i="3"/>
  <c r="H837" i="3" s="1"/>
  <c r="K858" i="3"/>
  <c r="H899" i="3"/>
  <c r="D935" i="3"/>
  <c r="I1001" i="3"/>
  <c r="S731" i="3"/>
  <c r="K740" i="3"/>
  <c r="H778" i="3"/>
  <c r="H779" i="3"/>
  <c r="K875" i="3"/>
  <c r="K907" i="3"/>
  <c r="K891" i="3"/>
  <c r="K811" i="3"/>
  <c r="K818" i="3"/>
  <c r="K859" i="3"/>
  <c r="S1054" i="3"/>
  <c r="M1054" i="3"/>
  <c r="T1054" i="3" s="1"/>
  <c r="H915" i="3"/>
  <c r="D1037" i="3"/>
  <c r="H888" i="3"/>
  <c r="H891" i="3"/>
  <c r="H895" i="3"/>
  <c r="H897" i="3"/>
  <c r="I904" i="3"/>
  <c r="S936" i="3"/>
  <c r="H1023" i="3"/>
  <c r="H1024" i="3"/>
  <c r="H1031" i="3"/>
  <c r="H1032" i="3"/>
  <c r="H1033" i="3"/>
  <c r="H1034" i="3"/>
  <c r="K1068" i="3"/>
  <c r="H1205" i="3"/>
  <c r="D1205" i="3"/>
  <c r="H1306" i="3"/>
  <c r="D1306" i="3"/>
  <c r="I1306" i="3" s="1"/>
  <c r="H19" i="5"/>
  <c r="H24" i="5"/>
  <c r="H95" i="5"/>
  <c r="H161" i="5"/>
  <c r="M412" i="5"/>
  <c r="I412" i="5"/>
  <c r="I891" i="3"/>
  <c r="H904" i="3"/>
  <c r="H907" i="3"/>
  <c r="H911" i="3"/>
  <c r="H913" i="3"/>
  <c r="K1002" i="3"/>
  <c r="K1082" i="3"/>
  <c r="H1083" i="3"/>
  <c r="H1092" i="3"/>
  <c r="H1093" i="3"/>
  <c r="C1115" i="3"/>
  <c r="D1086" i="3" s="1"/>
  <c r="I1086" i="3" s="1"/>
  <c r="H1146" i="3"/>
  <c r="C1150" i="3"/>
  <c r="D1131" i="3" s="1"/>
  <c r="D1148" i="3"/>
  <c r="D1150" i="3" s="1"/>
  <c r="H1160" i="3"/>
  <c r="D1160" i="3"/>
  <c r="T1261" i="3"/>
  <c r="T1286" i="3"/>
  <c r="D1310" i="3"/>
  <c r="D1294" i="3" s="1"/>
  <c r="I1318" i="3"/>
  <c r="M1313" i="3"/>
  <c r="M36" i="5"/>
  <c r="H40" i="5"/>
  <c r="H63" i="5"/>
  <c r="H79" i="5"/>
  <c r="H76" i="5"/>
  <c r="H87" i="5"/>
  <c r="C1049" i="3"/>
  <c r="D1031" i="3" s="1"/>
  <c r="I1081" i="3"/>
  <c r="H1204" i="3"/>
  <c r="H1206" i="3" s="1"/>
  <c r="H1208" i="3" s="1"/>
  <c r="C1206" i="3"/>
  <c r="I1218" i="3"/>
  <c r="D1217" i="3"/>
  <c r="I1217" i="3" s="1"/>
  <c r="D1216" i="3"/>
  <c r="I1216" i="3" s="1"/>
  <c r="I1213" i="3"/>
  <c r="S1298" i="3"/>
  <c r="H1305" i="3"/>
  <c r="D1305" i="3"/>
  <c r="C1307" i="3"/>
  <c r="H20" i="5"/>
  <c r="H88" i="5"/>
  <c r="K988" i="3"/>
  <c r="H1086" i="3"/>
  <c r="H1087" i="3"/>
  <c r="H1106" i="3"/>
  <c r="H1113" i="3" s="1"/>
  <c r="D1106" i="3"/>
  <c r="I1106" i="3" s="1"/>
  <c r="M1125" i="3"/>
  <c r="H1131" i="3"/>
  <c r="H1147" i="3"/>
  <c r="D1147" i="3"/>
  <c r="I1147" i="3" s="1"/>
  <c r="H1253" i="3"/>
  <c r="C1302" i="3"/>
  <c r="C1294" i="3" s="1"/>
  <c r="S1305" i="3"/>
  <c r="H31" i="5"/>
  <c r="H89" i="5"/>
  <c r="C1160" i="3"/>
  <c r="D1153" i="3" s="1"/>
  <c r="I1153" i="3" s="1"/>
  <c r="K1218" i="3"/>
  <c r="C1253" i="3"/>
  <c r="C1255" i="3" s="1"/>
  <c r="I1277" i="3"/>
  <c r="C1299" i="3"/>
  <c r="H51" i="5"/>
  <c r="H64" i="5"/>
  <c r="M127" i="5"/>
  <c r="I127" i="5"/>
  <c r="H146" i="5"/>
  <c r="C150" i="5"/>
  <c r="D147" i="5" s="1"/>
  <c r="D1107" i="3"/>
  <c r="I1107" i="3" s="1"/>
  <c r="D1108" i="3"/>
  <c r="I1108" i="3" s="1"/>
  <c r="D1111" i="3"/>
  <c r="I1111" i="3" s="1"/>
  <c r="D1112" i="3"/>
  <c r="I1112" i="3" s="1"/>
  <c r="D1123" i="3"/>
  <c r="I1123" i="3" s="1"/>
  <c r="D1158" i="3"/>
  <c r="I1158" i="3" s="1"/>
  <c r="K1172" i="3"/>
  <c r="D1246" i="3"/>
  <c r="I1246" i="3" s="1"/>
  <c r="D1252" i="3"/>
  <c r="I1252" i="3" s="1"/>
  <c r="D1262" i="3"/>
  <c r="I1262" i="3" s="1"/>
  <c r="D1263" i="3"/>
  <c r="I1263" i="3" s="1"/>
  <c r="I1266" i="3"/>
  <c r="C1289" i="3"/>
  <c r="H1289" i="3" s="1"/>
  <c r="C1290" i="3"/>
  <c r="H1290" i="3" s="1"/>
  <c r="D1297" i="3"/>
  <c r="M1297" i="3" s="1"/>
  <c r="D1298" i="3"/>
  <c r="M1298" i="3" s="1"/>
  <c r="H57" i="5"/>
  <c r="C101" i="5"/>
  <c r="D98" i="5" s="1"/>
  <c r="H85" i="5"/>
  <c r="H260" i="5"/>
  <c r="C239" i="5"/>
  <c r="H239" i="5" s="1"/>
  <c r="D1170" i="3"/>
  <c r="I1170" i="3" s="1"/>
  <c r="D1171" i="3"/>
  <c r="I1171" i="3" s="1"/>
  <c r="I1276" i="3"/>
  <c r="H96" i="5"/>
  <c r="D143" i="5"/>
  <c r="H188" i="5"/>
  <c r="C174" i="5"/>
  <c r="H174" i="5" s="1"/>
  <c r="C169" i="5"/>
  <c r="H169" i="5" s="1"/>
  <c r="C192" i="5"/>
  <c r="I187" i="5"/>
  <c r="D188" i="5"/>
  <c r="D173" i="5"/>
  <c r="M187" i="5"/>
  <c r="C220" i="5"/>
  <c r="D214" i="5" s="1"/>
  <c r="I215" i="5"/>
  <c r="D216" i="5"/>
  <c r="M215" i="5"/>
  <c r="M329" i="5"/>
  <c r="I329" i="5"/>
  <c r="D308" i="5"/>
  <c r="D140" i="5"/>
  <c r="H143" i="5"/>
  <c r="D144" i="5"/>
  <c r="D148" i="5"/>
  <c r="I153" i="5"/>
  <c r="H160" i="5"/>
  <c r="D167" i="5"/>
  <c r="C172" i="5"/>
  <c r="H172" i="5" s="1"/>
  <c r="D182" i="5"/>
  <c r="D186" i="5"/>
  <c r="D202" i="5"/>
  <c r="D210" i="5"/>
  <c r="I244" i="5"/>
  <c r="H275" i="5"/>
  <c r="I265" i="5"/>
  <c r="I267" i="5"/>
  <c r="I328" i="5"/>
  <c r="D307" i="5"/>
  <c r="H365" i="5"/>
  <c r="M402" i="5"/>
  <c r="I402" i="5"/>
  <c r="C395" i="5"/>
  <c r="H395" i="5" s="1"/>
  <c r="H404" i="5"/>
  <c r="D404" i="5"/>
  <c r="H422" i="5"/>
  <c r="D422" i="5"/>
  <c r="D420" i="5"/>
  <c r="D419" i="5"/>
  <c r="I473" i="5"/>
  <c r="M473" i="5"/>
  <c r="H490" i="5"/>
  <c r="H492" i="5"/>
  <c r="M633" i="5"/>
  <c r="I633" i="5"/>
  <c r="D122" i="5"/>
  <c r="I139" i="5"/>
  <c r="C111" i="5"/>
  <c r="H111" i="5" s="1"/>
  <c r="H159" i="5"/>
  <c r="I181" i="5"/>
  <c r="I197" i="5"/>
  <c r="I201" i="5"/>
  <c r="H204" i="5"/>
  <c r="I209" i="5"/>
  <c r="H265" i="5"/>
  <c r="H278" i="5"/>
  <c r="M350" i="5"/>
  <c r="I350" i="5"/>
  <c r="H361" i="5"/>
  <c r="H406" i="5"/>
  <c r="H424" i="5"/>
  <c r="H443" i="5"/>
  <c r="H462" i="5"/>
  <c r="D471" i="5"/>
  <c r="H471" i="5"/>
  <c r="H477" i="5"/>
  <c r="D477" i="5"/>
  <c r="H197" i="5"/>
  <c r="C173" i="5"/>
  <c r="H173" i="5" s="1"/>
  <c r="I286" i="5"/>
  <c r="H341" i="5"/>
  <c r="C320" i="5"/>
  <c r="H320" i="5" s="1"/>
  <c r="M328" i="5"/>
  <c r="H344" i="5"/>
  <c r="H386" i="5"/>
  <c r="D397" i="5"/>
  <c r="H413" i="5"/>
  <c r="D413" i="5"/>
  <c r="D411" i="5"/>
  <c r="D393" i="5" s="1"/>
  <c r="D410" i="5"/>
  <c r="H444" i="5"/>
  <c r="H463" i="5"/>
  <c r="M474" i="5"/>
  <c r="I474" i="5"/>
  <c r="H532" i="5"/>
  <c r="C504" i="5"/>
  <c r="H504" i="5" s="1"/>
  <c r="I539" i="5"/>
  <c r="M539" i="5"/>
  <c r="H296" i="5"/>
  <c r="H286" i="5"/>
  <c r="H288" i="5"/>
  <c r="H329" i="5"/>
  <c r="C308" i="5"/>
  <c r="H308" i="5" s="1"/>
  <c r="H340" i="5"/>
  <c r="M371" i="5"/>
  <c r="I371" i="5"/>
  <c r="H382" i="5"/>
  <c r="D403" i="5"/>
  <c r="H415" i="5"/>
  <c r="D421" i="5"/>
  <c r="H441" i="5"/>
  <c r="C427" i="5"/>
  <c r="H427" i="5" s="1"/>
  <c r="H445" i="5"/>
  <c r="H464" i="5"/>
  <c r="I484" i="5"/>
  <c r="M484" i="5"/>
  <c r="I349" i="5"/>
  <c r="I370" i="5"/>
  <c r="C394" i="5"/>
  <c r="H394" i="5" s="1"/>
  <c r="H397" i="5" s="1"/>
  <c r="C429" i="5"/>
  <c r="H429" i="5" s="1"/>
  <c r="M455" i="5"/>
  <c r="I483" i="5"/>
  <c r="M483" i="5"/>
  <c r="H520" i="5"/>
  <c r="C506" i="5"/>
  <c r="H506" i="5" s="1"/>
  <c r="C505" i="5"/>
  <c r="H505" i="5" s="1"/>
  <c r="H525" i="5"/>
  <c r="I553" i="5"/>
  <c r="D540" i="5"/>
  <c r="M553" i="5"/>
  <c r="C589" i="5"/>
  <c r="D476" i="5"/>
  <c r="H488" i="5"/>
  <c r="H511" i="5"/>
  <c r="C522" i="5"/>
  <c r="D518" i="5" s="1"/>
  <c r="H517" i="5"/>
  <c r="D517" i="5"/>
  <c r="M526" i="5"/>
  <c r="I526" i="5"/>
  <c r="D475" i="5"/>
  <c r="D478" i="5"/>
  <c r="H478" i="5"/>
  <c r="M512" i="5"/>
  <c r="I512" i="5"/>
  <c r="D498" i="5"/>
  <c r="H513" i="5"/>
  <c r="D513" i="5"/>
  <c r="H483" i="5"/>
  <c r="H485" i="5"/>
  <c r="H489" i="5"/>
  <c r="C494" i="5"/>
  <c r="I511" i="5"/>
  <c r="H514" i="5"/>
  <c r="H518" i="5"/>
  <c r="C547" i="5"/>
  <c r="H547" i="5" s="1"/>
  <c r="H593" i="5"/>
  <c r="H578" i="5"/>
  <c r="D635" i="5"/>
  <c r="D642" i="5"/>
  <c r="H653" i="5"/>
  <c r="H666" i="5" s="1"/>
  <c r="M671" i="5"/>
  <c r="I671" i="5"/>
  <c r="M684" i="5"/>
  <c r="I684" i="5"/>
  <c r="M689" i="5"/>
  <c r="I689" i="5"/>
  <c r="D631" i="5"/>
  <c r="H632" i="5"/>
  <c r="D632" i="5"/>
  <c r="D640" i="5"/>
  <c r="H698" i="5"/>
  <c r="M703" i="5"/>
  <c r="I703" i="5"/>
  <c r="D715" i="5"/>
  <c r="D712" i="5"/>
  <c r="D710" i="5"/>
  <c r="D708" i="5"/>
  <c r="D705" i="5"/>
  <c r="D702" i="5"/>
  <c r="H580" i="5"/>
  <c r="D646" i="5"/>
  <c r="D643" i="5"/>
  <c r="D630" i="5"/>
  <c r="D637" i="5"/>
  <c r="D641" i="5"/>
  <c r="H644" i="5"/>
  <c r="H648" i="5" s="1"/>
  <c r="D644" i="5"/>
  <c r="H657" i="5"/>
  <c r="M674" i="5"/>
  <c r="I674" i="5"/>
  <c r="M686" i="5"/>
  <c r="I686" i="5"/>
  <c r="I730" i="5"/>
  <c r="M730" i="5"/>
  <c r="H565" i="5"/>
  <c r="H566" i="5"/>
  <c r="C617" i="5"/>
  <c r="H601" i="5"/>
  <c r="H605" i="5"/>
  <c r="H609" i="5"/>
  <c r="D634" i="5"/>
  <c r="D639" i="5"/>
  <c r="M694" i="5"/>
  <c r="I694" i="5"/>
  <c r="H719" i="5"/>
  <c r="M717" i="5"/>
  <c r="I717" i="5"/>
  <c r="C666" i="5"/>
  <c r="D660" i="5" s="1"/>
  <c r="H738" i="5"/>
  <c r="C743" i="5"/>
  <c r="H741" i="5"/>
  <c r="H749" i="5"/>
  <c r="C761" i="5"/>
  <c r="H759" i="5"/>
  <c r="M765" i="5"/>
  <c r="I765" i="5"/>
  <c r="I772" i="5"/>
  <c r="H786" i="5"/>
  <c r="H832" i="5"/>
  <c r="H851" i="5"/>
  <c r="D805" i="5"/>
  <c r="H874" i="5"/>
  <c r="I1110" i="5"/>
  <c r="M1110" i="5"/>
  <c r="M1252" i="5"/>
  <c r="I1252" i="5"/>
  <c r="D677" i="5"/>
  <c r="D679" i="5"/>
  <c r="D681" i="5"/>
  <c r="D691" i="5"/>
  <c r="D693" i="5"/>
  <c r="D696" i="5"/>
  <c r="D709" i="5"/>
  <c r="D711" i="5"/>
  <c r="D714" i="5"/>
  <c r="D716" i="5"/>
  <c r="I741" i="5"/>
  <c r="D732" i="5"/>
  <c r="D743" i="5"/>
  <c r="H748" i="5"/>
  <c r="D755" i="5"/>
  <c r="D761" i="5"/>
  <c r="D775" i="5"/>
  <c r="M773" i="5"/>
  <c r="M775" i="5" s="1"/>
  <c r="I773" i="5"/>
  <c r="D766" i="5"/>
  <c r="I779" i="5"/>
  <c r="H785" i="5"/>
  <c r="C792" i="5"/>
  <c r="H792" i="5" s="1"/>
  <c r="H813" i="5"/>
  <c r="H849" i="5"/>
  <c r="H840" i="5"/>
  <c r="M1024" i="5"/>
  <c r="I1024" i="5"/>
  <c r="I670" i="5"/>
  <c r="I673" i="5"/>
  <c r="I675" i="5"/>
  <c r="I683" i="5"/>
  <c r="I685" i="5"/>
  <c r="I688" i="5"/>
  <c r="I690" i="5"/>
  <c r="D706" i="5"/>
  <c r="C729" i="5"/>
  <c r="H729" i="5" s="1"/>
  <c r="C731" i="5"/>
  <c r="H731" i="5" s="1"/>
  <c r="D737" i="5"/>
  <c r="M740" i="5"/>
  <c r="I740" i="5"/>
  <c r="I748" i="5"/>
  <c r="M758" i="5"/>
  <c r="I758" i="5"/>
  <c r="D782" i="5"/>
  <c r="M780" i="5"/>
  <c r="I780" i="5"/>
  <c r="I786" i="5"/>
  <c r="I792" i="5"/>
  <c r="C803" i="5"/>
  <c r="H803" i="5" s="1"/>
  <c r="M808" i="5"/>
  <c r="I808" i="5"/>
  <c r="H819" i="5"/>
  <c r="M827" i="5"/>
  <c r="I827" i="5"/>
  <c r="I875" i="5"/>
  <c r="H878" i="5"/>
  <c r="H898" i="5"/>
  <c r="H888" i="5"/>
  <c r="H897" i="5"/>
  <c r="H895" i="5"/>
  <c r="H893" i="5"/>
  <c r="H899" i="5"/>
  <c r="H908" i="5"/>
  <c r="H987" i="5"/>
  <c r="C921" i="5"/>
  <c r="H921" i="5" s="1"/>
  <c r="H999" i="5"/>
  <c r="D999" i="5"/>
  <c r="C933" i="5"/>
  <c r="H933" i="5" s="1"/>
  <c r="H602" i="5"/>
  <c r="D678" i="5"/>
  <c r="D680" i="5"/>
  <c r="D682" i="5"/>
  <c r="D692" i="5"/>
  <c r="C732" i="5"/>
  <c r="H732" i="5" s="1"/>
  <c r="M748" i="5"/>
  <c r="H756" i="5"/>
  <c r="H761" i="5" s="1"/>
  <c r="D756" i="5"/>
  <c r="C767" i="5"/>
  <c r="H779" i="5"/>
  <c r="M782" i="5"/>
  <c r="D789" i="5"/>
  <c r="M787" i="5"/>
  <c r="M789" i="5" s="1"/>
  <c r="I787" i="5"/>
  <c r="M792" i="5"/>
  <c r="D810" i="5"/>
  <c r="H828" i="5"/>
  <c r="M843" i="5"/>
  <c r="C865" i="5"/>
  <c r="H865" i="5" s="1"/>
  <c r="H881" i="5"/>
  <c r="C866" i="5"/>
  <c r="H866" i="5" s="1"/>
  <c r="H882" i="5"/>
  <c r="M750" i="5"/>
  <c r="H757" i="5"/>
  <c r="M840" i="5"/>
  <c r="I872" i="5"/>
  <c r="H873" i="5"/>
  <c r="H877" i="5"/>
  <c r="M888" i="5"/>
  <c r="M906" i="5"/>
  <c r="H981" i="5"/>
  <c r="D856" i="5"/>
  <c r="M872" i="5"/>
  <c r="I888" i="5"/>
  <c r="H993" i="5"/>
  <c r="D993" i="5"/>
  <c r="C927" i="5"/>
  <c r="H927" i="5" s="1"/>
  <c r="H827" i="5"/>
  <c r="H831" i="5"/>
  <c r="I907" i="5"/>
  <c r="H1017" i="5"/>
  <c r="D1017" i="5"/>
  <c r="C951" i="5"/>
  <c r="H951" i="5" s="1"/>
  <c r="D1036" i="5"/>
  <c r="D1032" i="5"/>
  <c r="D1013" i="5"/>
  <c r="D1007" i="5"/>
  <c r="D1019" i="5"/>
  <c r="C983" i="5"/>
  <c r="D1046" i="5"/>
  <c r="D1045" i="5"/>
  <c r="D1041" i="5"/>
  <c r="D1037" i="5"/>
  <c r="D1033" i="5"/>
  <c r="D1026" i="5"/>
  <c r="D1020" i="5"/>
  <c r="D1009" i="5"/>
  <c r="D996" i="5"/>
  <c r="D989" i="5"/>
  <c r="D1042" i="5"/>
  <c r="D1038" i="5"/>
  <c r="D1027" i="5"/>
  <c r="D1010" i="5"/>
  <c r="D998" i="5"/>
  <c r="D992" i="5"/>
  <c r="D1034" i="5"/>
  <c r="D1021" i="5"/>
  <c r="D1003" i="5"/>
  <c r="D1040" i="5"/>
  <c r="H907" i="5"/>
  <c r="H911" i="5"/>
  <c r="H1031" i="5"/>
  <c r="D1031" i="5"/>
  <c r="D1044" i="5"/>
  <c r="H1006" i="5"/>
  <c r="D1006" i="5"/>
  <c r="H1023" i="5"/>
  <c r="D1023" i="5"/>
  <c r="H1035" i="5"/>
  <c r="D1035" i="5"/>
  <c r="M1089" i="5"/>
  <c r="I1089" i="5"/>
  <c r="M1111" i="5"/>
  <c r="I1111" i="5"/>
  <c r="C940" i="5"/>
  <c r="H940" i="5" s="1"/>
  <c r="D995" i="5"/>
  <c r="H1012" i="5"/>
  <c r="D1012" i="5"/>
  <c r="H1043" i="5"/>
  <c r="D1043" i="5"/>
  <c r="H1094" i="5"/>
  <c r="M1106" i="5"/>
  <c r="I1106" i="5"/>
  <c r="M1086" i="5"/>
  <c r="D1090" i="5"/>
  <c r="D958" i="5" s="1"/>
  <c r="M1092" i="5"/>
  <c r="H1106" i="5"/>
  <c r="D1107" i="5"/>
  <c r="M1121" i="5"/>
  <c r="I1121" i="5"/>
  <c r="H1124" i="5"/>
  <c r="D1124" i="5"/>
  <c r="M1131" i="5"/>
  <c r="I1131" i="5"/>
  <c r="H1147" i="5"/>
  <c r="D1147" i="5"/>
  <c r="C1160" i="5"/>
  <c r="C1162" i="5" s="1"/>
  <c r="M1263" i="5"/>
  <c r="I1263" i="5"/>
  <c r="M1277" i="5"/>
  <c r="I1277" i="5"/>
  <c r="D1279" i="5"/>
  <c r="M1297" i="5"/>
  <c r="I1297" i="5"/>
  <c r="C1294" i="5"/>
  <c r="D1108" i="5"/>
  <c r="M1172" i="5"/>
  <c r="I1172" i="5"/>
  <c r="H1204" i="5"/>
  <c r="C1290" i="5"/>
  <c r="H1290" i="5" s="1"/>
  <c r="H1291" i="5" s="1"/>
  <c r="H1294" i="5" s="1"/>
  <c r="H1298" i="5"/>
  <c r="D1298" i="5"/>
  <c r="D1294" i="5"/>
  <c r="C1307" i="5"/>
  <c r="H1305" i="5"/>
  <c r="H1307" i="5" s="1"/>
  <c r="H1310" i="5" s="1"/>
  <c r="D1305" i="5"/>
  <c r="D1289" i="5" s="1"/>
  <c r="I1306" i="5"/>
  <c r="H1034" i="5"/>
  <c r="I1083" i="5"/>
  <c r="D1087" i="5"/>
  <c r="D1093" i="5"/>
  <c r="H1100" i="5"/>
  <c r="D1109" i="5"/>
  <c r="D1123" i="5"/>
  <c r="H1153" i="5"/>
  <c r="H1196" i="5"/>
  <c r="H1245" i="5"/>
  <c r="H1253" i="5" s="1"/>
  <c r="H1255" i="5" s="1"/>
  <c r="D1245" i="5"/>
  <c r="M1266" i="5"/>
  <c r="I1266" i="5"/>
  <c r="H1280" i="5"/>
  <c r="M1278" i="5"/>
  <c r="I1278" i="5"/>
  <c r="D1275" i="5"/>
  <c r="D1274" i="5"/>
  <c r="M1318" i="5"/>
  <c r="H1112" i="5"/>
  <c r="D1112" i="5"/>
  <c r="M1146" i="5"/>
  <c r="I1146" i="5"/>
  <c r="H1157" i="5"/>
  <c r="M1171" i="5"/>
  <c r="I1171" i="5"/>
  <c r="C1206" i="5"/>
  <c r="D1204" i="5" s="1"/>
  <c r="H1202" i="5"/>
  <c r="M1218" i="5"/>
  <c r="I1218" i="5"/>
  <c r="C1255" i="5"/>
  <c r="D1236" i="5" s="1"/>
  <c r="D1247" i="5"/>
  <c r="D1246" i="5"/>
  <c r="M1273" i="5"/>
  <c r="I1273" i="5"/>
  <c r="M1205" i="5"/>
  <c r="I1213" i="5"/>
  <c r="D1216" i="5"/>
  <c r="M1265" i="5"/>
  <c r="D1268" i="5"/>
  <c r="I1272" i="5"/>
  <c r="I1276" i="5"/>
  <c r="H1297" i="5"/>
  <c r="C1299" i="5"/>
  <c r="C1291" i="5" s="1"/>
  <c r="I1318" i="5"/>
  <c r="M1213" i="5"/>
  <c r="D1217" i="5"/>
  <c r="D1292" i="5"/>
  <c r="I1166" i="5"/>
  <c r="S45" i="3" l="1"/>
  <c r="M45" i="3"/>
  <c r="T45" i="3" s="1"/>
  <c r="H1150" i="3"/>
  <c r="H1162" i="3" s="1"/>
  <c r="K88" i="3"/>
  <c r="M36" i="2"/>
  <c r="S1306" i="3"/>
  <c r="D1024" i="3"/>
  <c r="D555" i="3"/>
  <c r="AC36" i="1"/>
  <c r="AF36" i="1" s="1"/>
  <c r="M1305" i="3"/>
  <c r="T1305" i="3" s="1"/>
  <c r="C1291" i="3"/>
  <c r="D1154" i="3"/>
  <c r="I1154" i="3" s="1"/>
  <c r="K33" i="3"/>
  <c r="H283" i="3"/>
  <c r="AA34" i="2"/>
  <c r="AA47" i="2"/>
  <c r="I43" i="2"/>
  <c r="I43" i="1"/>
  <c r="H1291" i="3"/>
  <c r="H1294" i="3" s="1"/>
  <c r="D1156" i="3"/>
  <c r="I1156" i="3" s="1"/>
  <c r="H1028" i="3"/>
  <c r="D558" i="3"/>
  <c r="D1110" i="3"/>
  <c r="I1110" i="3" s="1"/>
  <c r="H1255" i="3"/>
  <c r="P1286" i="3"/>
  <c r="D1093" i="3"/>
  <c r="I1093" i="3" s="1"/>
  <c r="D1020" i="3"/>
  <c r="I1020" i="3" s="1"/>
  <c r="H782" i="3"/>
  <c r="D557" i="3"/>
  <c r="D462" i="3"/>
  <c r="I462" i="3" s="1"/>
  <c r="D458" i="3"/>
  <c r="I458" i="3" s="1"/>
  <c r="Z34" i="2"/>
  <c r="Q36" i="2"/>
  <c r="Y36" i="2" s="1"/>
  <c r="H1094" i="3"/>
  <c r="H1115" i="3" s="1"/>
  <c r="D554" i="3"/>
  <c r="H66" i="3"/>
  <c r="D1109" i="3"/>
  <c r="I1109" i="3" s="1"/>
  <c r="I1113" i="3" s="1"/>
  <c r="D1087" i="3"/>
  <c r="I1087" i="3" s="1"/>
  <c r="H1307" i="3"/>
  <c r="H1310" i="3" s="1"/>
  <c r="D659" i="3"/>
  <c r="M834" i="3"/>
  <c r="M731" i="3"/>
  <c r="H648" i="3"/>
  <c r="D560" i="3"/>
  <c r="D461" i="3"/>
  <c r="I461" i="3" s="1"/>
  <c r="D1159" i="5"/>
  <c r="I782" i="5"/>
  <c r="D734" i="5"/>
  <c r="D657" i="5"/>
  <c r="D1223" i="5"/>
  <c r="D1174" i="5"/>
  <c r="D1153" i="5"/>
  <c r="H1113" i="5"/>
  <c r="H1150" i="5"/>
  <c r="D662" i="5"/>
  <c r="H1206" i="5"/>
  <c r="D656" i="5"/>
  <c r="D392" i="5"/>
  <c r="M518" i="5"/>
  <c r="I518" i="5"/>
  <c r="M214" i="5"/>
  <c r="I214" i="5"/>
  <c r="M94" i="5"/>
  <c r="I94" i="5"/>
  <c r="D92" i="5"/>
  <c r="M24" i="3"/>
  <c r="I24" i="3"/>
  <c r="I23" i="3"/>
  <c r="D18" i="3"/>
  <c r="I22" i="3"/>
  <c r="I21" i="3"/>
  <c r="I1204" i="5"/>
  <c r="M1204" i="5"/>
  <c r="M1299" i="3"/>
  <c r="T1297" i="3"/>
  <c r="M958" i="5"/>
  <c r="I958" i="5"/>
  <c r="I1236" i="5"/>
  <c r="M1236" i="5"/>
  <c r="D492" i="5"/>
  <c r="D485" i="5"/>
  <c r="D490" i="5"/>
  <c r="D489" i="5"/>
  <c r="D488" i="5"/>
  <c r="I145" i="5"/>
  <c r="D146" i="5"/>
  <c r="M145" i="5"/>
  <c r="I46" i="2"/>
  <c r="I46" i="1"/>
  <c r="I340" i="3"/>
  <c r="H614" i="3"/>
  <c r="H1208" i="5"/>
  <c r="M1246" i="5"/>
  <c r="I1246" i="5"/>
  <c r="D1157" i="5"/>
  <c r="D1155" i="5"/>
  <c r="M1109" i="5"/>
  <c r="I1109" i="5"/>
  <c r="D1307" i="5"/>
  <c r="I1305" i="5"/>
  <c r="I1307" i="5" s="1"/>
  <c r="I1310" i="5" s="1"/>
  <c r="M1305" i="5"/>
  <c r="M1307" i="5" s="1"/>
  <c r="M1310" i="5" s="1"/>
  <c r="I1298" i="5"/>
  <c r="I1299" i="5" s="1"/>
  <c r="I1302" i="5" s="1"/>
  <c r="M1298" i="5"/>
  <c r="T1298" i="3" s="1"/>
  <c r="D1290" i="5"/>
  <c r="D1158" i="5"/>
  <c r="D977" i="5"/>
  <c r="I1043" i="5"/>
  <c r="M1043" i="5"/>
  <c r="M995" i="5"/>
  <c r="I995" i="5"/>
  <c r="D929" i="5"/>
  <c r="I1035" i="5"/>
  <c r="M1035" i="5"/>
  <c r="D969" i="5"/>
  <c r="I1006" i="5"/>
  <c r="M1006" i="5"/>
  <c r="D940" i="5"/>
  <c r="H1047" i="5"/>
  <c r="D974" i="5"/>
  <c r="M1040" i="5"/>
  <c r="I1040" i="5"/>
  <c r="I992" i="5"/>
  <c r="M992" i="5"/>
  <c r="D926" i="5"/>
  <c r="I1038" i="5"/>
  <c r="D972" i="5"/>
  <c r="M1038" i="5"/>
  <c r="M1009" i="5"/>
  <c r="I1009" i="5"/>
  <c r="D943" i="5"/>
  <c r="M1037" i="5"/>
  <c r="I1037" i="5"/>
  <c r="D971" i="5"/>
  <c r="M1032" i="5"/>
  <c r="D966" i="5"/>
  <c r="I1032" i="5"/>
  <c r="C837" i="5"/>
  <c r="H830" i="5"/>
  <c r="I891" i="5"/>
  <c r="M891" i="5"/>
  <c r="H875" i="5"/>
  <c r="C859" i="5"/>
  <c r="H859" i="5" s="1"/>
  <c r="H833" i="5"/>
  <c r="C801" i="5"/>
  <c r="H801" i="5" s="1"/>
  <c r="H814" i="5"/>
  <c r="C798" i="5"/>
  <c r="H798" i="5" s="1"/>
  <c r="C821" i="5"/>
  <c r="H739" i="5"/>
  <c r="C730" i="5"/>
  <c r="H730" i="5" s="1"/>
  <c r="M810" i="5"/>
  <c r="I810" i="5"/>
  <c r="M682" i="5"/>
  <c r="I682" i="5"/>
  <c r="M1015" i="5"/>
  <c r="I1015" i="5"/>
  <c r="D949" i="5"/>
  <c r="H892" i="5"/>
  <c r="M811" i="5"/>
  <c r="I811" i="5"/>
  <c r="I789" i="5"/>
  <c r="M706" i="5"/>
  <c r="I706" i="5"/>
  <c r="H845" i="5"/>
  <c r="H850" i="5"/>
  <c r="M766" i="5"/>
  <c r="M768" i="5" s="1"/>
  <c r="I766" i="5"/>
  <c r="I768" i="5" s="1"/>
  <c r="M732" i="5"/>
  <c r="I732" i="5"/>
  <c r="I711" i="5"/>
  <c r="M711" i="5"/>
  <c r="I691" i="5"/>
  <c r="M691" i="5"/>
  <c r="D655" i="5"/>
  <c r="C723" i="5"/>
  <c r="C725" i="5" s="1"/>
  <c r="D663" i="5"/>
  <c r="D659" i="5"/>
  <c r="D661" i="5"/>
  <c r="D654" i="5"/>
  <c r="D664" i="5"/>
  <c r="I601" i="5"/>
  <c r="M601" i="5"/>
  <c r="C539" i="5"/>
  <c r="H539" i="5" s="1"/>
  <c r="H552" i="5"/>
  <c r="I644" i="5"/>
  <c r="M644" i="5"/>
  <c r="M630" i="5"/>
  <c r="I630" i="5"/>
  <c r="H569" i="5"/>
  <c r="C542" i="5"/>
  <c r="H542" i="5" s="1"/>
  <c r="H555" i="5"/>
  <c r="M710" i="5"/>
  <c r="I710" i="5"/>
  <c r="D653" i="5"/>
  <c r="H579" i="5"/>
  <c r="H553" i="5"/>
  <c r="C540" i="5"/>
  <c r="H540" i="5" s="1"/>
  <c r="H472" i="5"/>
  <c r="H480" i="5" s="1"/>
  <c r="D472" i="5"/>
  <c r="D515" i="5"/>
  <c r="M475" i="5"/>
  <c r="I475" i="5"/>
  <c r="C428" i="5"/>
  <c r="H428" i="5" s="1"/>
  <c r="H442" i="5"/>
  <c r="I476" i="5"/>
  <c r="M476" i="5"/>
  <c r="C536" i="5"/>
  <c r="D532" i="5" s="1"/>
  <c r="H531" i="5"/>
  <c r="C503" i="5"/>
  <c r="H503" i="5" s="1"/>
  <c r="C498" i="5"/>
  <c r="H498" i="5" s="1"/>
  <c r="H526" i="5"/>
  <c r="M470" i="5"/>
  <c r="I470" i="5"/>
  <c r="D428" i="5"/>
  <c r="H458" i="5"/>
  <c r="C367" i="5"/>
  <c r="H358" i="5"/>
  <c r="H367" i="5" s="1"/>
  <c r="M393" i="5"/>
  <c r="I393" i="5"/>
  <c r="C304" i="5"/>
  <c r="H295" i="5"/>
  <c r="H198" i="5"/>
  <c r="C430" i="5"/>
  <c r="H430" i="5" s="1"/>
  <c r="M411" i="5"/>
  <c r="I411" i="5"/>
  <c r="H298" i="5"/>
  <c r="H267" i="5"/>
  <c r="C225" i="5"/>
  <c r="H225" i="5" s="1"/>
  <c r="D245" i="5"/>
  <c r="C224" i="5"/>
  <c r="H224" i="5" s="1"/>
  <c r="H245" i="5"/>
  <c r="M471" i="5"/>
  <c r="I471" i="5"/>
  <c r="H302" i="5"/>
  <c r="D302" i="5"/>
  <c r="H276" i="5"/>
  <c r="H244" i="5"/>
  <c r="C223" i="5"/>
  <c r="H223" i="5" s="1"/>
  <c r="H196" i="5"/>
  <c r="D196" i="5"/>
  <c r="H142" i="5"/>
  <c r="H150" i="5" s="1"/>
  <c r="D142" i="5"/>
  <c r="H281" i="5"/>
  <c r="M246" i="5"/>
  <c r="I246" i="5"/>
  <c r="D225" i="5"/>
  <c r="C175" i="5"/>
  <c r="H175" i="5" s="1"/>
  <c r="H203" i="5"/>
  <c r="M186" i="5"/>
  <c r="I186" i="5"/>
  <c r="C168" i="5"/>
  <c r="H168" i="5" s="1"/>
  <c r="H156" i="5"/>
  <c r="M144" i="5"/>
  <c r="I144" i="5"/>
  <c r="D189" i="5"/>
  <c r="D185" i="5"/>
  <c r="H12" i="5"/>
  <c r="C116" i="5"/>
  <c r="H116" i="5" s="1"/>
  <c r="H130" i="5"/>
  <c r="H132" i="5"/>
  <c r="C118" i="5"/>
  <c r="H118" i="5" s="1"/>
  <c r="H56" i="5"/>
  <c r="H42" i="5"/>
  <c r="H30" i="5"/>
  <c r="C29" i="5"/>
  <c r="D31" i="5" s="1"/>
  <c r="H18" i="5"/>
  <c r="D1247" i="3"/>
  <c r="I1247" i="3" s="1"/>
  <c r="D1159" i="3"/>
  <c r="I1159" i="3" s="1"/>
  <c r="D1155" i="3"/>
  <c r="I1155" i="3" s="1"/>
  <c r="C164" i="5"/>
  <c r="H41" i="5"/>
  <c r="I17" i="5"/>
  <c r="M17" i="5"/>
  <c r="C1208" i="3"/>
  <c r="S988" i="3"/>
  <c r="M988" i="3"/>
  <c r="I1305" i="3"/>
  <c r="I1307" i="3" s="1"/>
  <c r="I1310" i="3" s="1"/>
  <c r="D1307" i="3"/>
  <c r="D1279" i="3"/>
  <c r="I1279" i="3" s="1"/>
  <c r="I1280" i="3" s="1"/>
  <c r="D1046" i="3"/>
  <c r="D1045" i="3"/>
  <c r="D1044" i="3"/>
  <c r="D1043" i="3"/>
  <c r="D1042" i="3"/>
  <c r="D1041" i="3"/>
  <c r="D1040" i="3"/>
  <c r="D1013" i="3"/>
  <c r="D1012" i="3"/>
  <c r="D1007" i="3"/>
  <c r="D1006" i="3"/>
  <c r="D1003" i="3"/>
  <c r="D996" i="3"/>
  <c r="D995" i="3"/>
  <c r="D1019" i="3"/>
  <c r="D1017" i="3"/>
  <c r="D1010" i="3"/>
  <c r="D1009" i="3"/>
  <c r="D999" i="3"/>
  <c r="D998" i="3"/>
  <c r="D993" i="3"/>
  <c r="D992" i="3"/>
  <c r="D989" i="3"/>
  <c r="C983" i="3"/>
  <c r="H72" i="5"/>
  <c r="H78" i="5"/>
  <c r="D1090" i="3"/>
  <c r="I1090" i="3" s="1"/>
  <c r="D1089" i="3"/>
  <c r="I1089" i="3" s="1"/>
  <c r="D1092" i="3"/>
  <c r="I1092" i="3" s="1"/>
  <c r="S1002" i="3"/>
  <c r="M1002" i="3"/>
  <c r="D1083" i="3"/>
  <c r="I1083" i="3" s="1"/>
  <c r="I1015" i="3"/>
  <c r="D949" i="3"/>
  <c r="I949" i="3" s="1"/>
  <c r="H898" i="3"/>
  <c r="H894" i="3"/>
  <c r="C901" i="3"/>
  <c r="D899" i="3" s="1"/>
  <c r="H890" i="3"/>
  <c r="D890" i="3"/>
  <c r="I890" i="3" s="1"/>
  <c r="D1035" i="3"/>
  <c r="H874" i="3"/>
  <c r="D874" i="3"/>
  <c r="M874" i="3" s="1"/>
  <c r="C858" i="3"/>
  <c r="H858" i="3" s="1"/>
  <c r="C885" i="3"/>
  <c r="D883" i="3" s="1"/>
  <c r="H878" i="3"/>
  <c r="C862" i="3"/>
  <c r="H862" i="3" s="1"/>
  <c r="H882" i="3"/>
  <c r="D882" i="3"/>
  <c r="M882" i="3" s="1"/>
  <c r="C866" i="3"/>
  <c r="H866" i="3" s="1"/>
  <c r="S818" i="3"/>
  <c r="H815" i="3"/>
  <c r="C799" i="3"/>
  <c r="H799" i="3" s="1"/>
  <c r="M811" i="3"/>
  <c r="T811" i="3" s="1"/>
  <c r="S811" i="3"/>
  <c r="S907" i="3"/>
  <c r="M907" i="3"/>
  <c r="T907" i="3" s="1"/>
  <c r="C730" i="3"/>
  <c r="H730" i="3" s="1"/>
  <c r="H739" i="3"/>
  <c r="D1038" i="3"/>
  <c r="D1023" i="3"/>
  <c r="I935" i="3"/>
  <c r="S882" i="3"/>
  <c r="H771" i="3"/>
  <c r="C764" i="3"/>
  <c r="H764" i="3" s="1"/>
  <c r="I732" i="3"/>
  <c r="D657" i="3"/>
  <c r="D1032" i="3"/>
  <c r="H845" i="3"/>
  <c r="H842" i="3"/>
  <c r="D842" i="3"/>
  <c r="I835" i="3"/>
  <c r="I831" i="3"/>
  <c r="M826" i="3"/>
  <c r="H810" i="3"/>
  <c r="D810" i="3"/>
  <c r="I810" i="3" s="1"/>
  <c r="C794" i="3"/>
  <c r="H756" i="3"/>
  <c r="D756" i="3"/>
  <c r="I747" i="3"/>
  <c r="I710" i="3"/>
  <c r="I689" i="3"/>
  <c r="C856" i="3"/>
  <c r="H856" i="3" s="1"/>
  <c r="I677" i="3"/>
  <c r="I644" i="3"/>
  <c r="C539" i="3"/>
  <c r="H539" i="3" s="1"/>
  <c r="H549" i="3" s="1"/>
  <c r="K1081" i="3"/>
  <c r="K1015" i="3"/>
  <c r="S949" i="3"/>
  <c r="I702" i="3"/>
  <c r="I671" i="3"/>
  <c r="I642" i="3"/>
  <c r="H572" i="3"/>
  <c r="H568" i="3"/>
  <c r="H575" i="3" s="1"/>
  <c r="I560" i="3"/>
  <c r="I556" i="3"/>
  <c r="C504" i="3"/>
  <c r="H504" i="3" s="1"/>
  <c r="H518" i="3"/>
  <c r="C500" i="3"/>
  <c r="H500" i="3" s="1"/>
  <c r="H514" i="3"/>
  <c r="S478" i="3"/>
  <c r="C480" i="3"/>
  <c r="D478" i="3" s="1"/>
  <c r="I478" i="3" s="1"/>
  <c r="H474" i="3"/>
  <c r="C432" i="3"/>
  <c r="H432" i="3" s="1"/>
  <c r="H470" i="3"/>
  <c r="C428" i="3"/>
  <c r="H428" i="3" s="1"/>
  <c r="D411" i="3"/>
  <c r="I411" i="3" s="1"/>
  <c r="C393" i="3"/>
  <c r="H393" i="3" s="1"/>
  <c r="H397" i="3" s="1"/>
  <c r="H411" i="3"/>
  <c r="I403" i="3"/>
  <c r="H363" i="3"/>
  <c r="C321" i="3"/>
  <c r="H321" i="3" s="1"/>
  <c r="H359" i="3"/>
  <c r="C317" i="3"/>
  <c r="H317" i="3" s="1"/>
  <c r="C309" i="3"/>
  <c r="H309" i="3" s="1"/>
  <c r="H300" i="3"/>
  <c r="I684" i="3"/>
  <c r="I688" i="3"/>
  <c r="I673" i="3"/>
  <c r="I639" i="3"/>
  <c r="I442" i="3"/>
  <c r="D428" i="3"/>
  <c r="H530" i="3"/>
  <c r="H534" i="3"/>
  <c r="S513" i="3"/>
  <c r="S287" i="3"/>
  <c r="S371" i="3"/>
  <c r="H602" i="3"/>
  <c r="H606" i="3"/>
  <c r="H610" i="3"/>
  <c r="H581" i="3"/>
  <c r="H587" i="3"/>
  <c r="H583" i="3"/>
  <c r="C595" i="3"/>
  <c r="H594" i="3"/>
  <c r="H371" i="3"/>
  <c r="D371" i="3"/>
  <c r="I371" i="3" s="1"/>
  <c r="H381" i="3"/>
  <c r="H385" i="3"/>
  <c r="S323" i="3"/>
  <c r="S246" i="3"/>
  <c r="M246" i="3"/>
  <c r="T246" i="3" s="1"/>
  <c r="S365" i="3"/>
  <c r="S210" i="3"/>
  <c r="H200" i="3"/>
  <c r="H196" i="3"/>
  <c r="D196" i="3"/>
  <c r="I196" i="3" s="1"/>
  <c r="S182" i="3"/>
  <c r="I641" i="3"/>
  <c r="H486" i="3"/>
  <c r="H490" i="3"/>
  <c r="I449" i="3"/>
  <c r="S484" i="3"/>
  <c r="M484" i="3"/>
  <c r="T484" i="3" s="1"/>
  <c r="S267" i="3"/>
  <c r="M267" i="3"/>
  <c r="T267" i="3" s="1"/>
  <c r="S343" i="3"/>
  <c r="M343" i="3"/>
  <c r="S385" i="3"/>
  <c r="I188" i="3"/>
  <c r="D174" i="3"/>
  <c r="I174" i="3" s="1"/>
  <c r="C120" i="3"/>
  <c r="H120" i="3" s="1"/>
  <c r="H134" i="3"/>
  <c r="C506" i="3"/>
  <c r="H506" i="3" s="1"/>
  <c r="M566" i="3"/>
  <c r="T566" i="3" s="1"/>
  <c r="S566" i="3"/>
  <c r="C235" i="3"/>
  <c r="H235" i="3" s="1"/>
  <c r="H256" i="3"/>
  <c r="H246" i="3"/>
  <c r="C225" i="3"/>
  <c r="H225" i="3" s="1"/>
  <c r="S372" i="3"/>
  <c r="M372" i="3"/>
  <c r="C220" i="3"/>
  <c r="D217" i="3" s="1"/>
  <c r="I217" i="3" s="1"/>
  <c r="H215" i="3"/>
  <c r="S196" i="3"/>
  <c r="C172" i="3"/>
  <c r="H172" i="3" s="1"/>
  <c r="H186" i="3"/>
  <c r="C168" i="3"/>
  <c r="H168" i="3" s="1"/>
  <c r="H182" i="3"/>
  <c r="D182" i="3"/>
  <c r="M182" i="3" s="1"/>
  <c r="S161" i="3"/>
  <c r="D154" i="3"/>
  <c r="I154" i="3" s="1"/>
  <c r="H129" i="3"/>
  <c r="D129" i="3"/>
  <c r="C115" i="3"/>
  <c r="H115" i="3" s="1"/>
  <c r="H96" i="3"/>
  <c r="H92" i="3"/>
  <c r="H88" i="3"/>
  <c r="C84" i="3"/>
  <c r="D90" i="3" s="1"/>
  <c r="H72" i="3"/>
  <c r="T17" i="3"/>
  <c r="H13" i="3"/>
  <c r="C10" i="3"/>
  <c r="D13" i="3" s="1"/>
  <c r="I13" i="3" s="1"/>
  <c r="A19" i="2"/>
  <c r="S134" i="3"/>
  <c r="S204" i="3"/>
  <c r="M204" i="3"/>
  <c r="T204" i="3" s="1"/>
  <c r="M11" i="2"/>
  <c r="N12" i="2" s="1"/>
  <c r="S86" i="3"/>
  <c r="C136" i="3"/>
  <c r="D134" i="3" s="1"/>
  <c r="M134" i="3" s="1"/>
  <c r="S88" i="3"/>
  <c r="H44" i="3"/>
  <c r="H40" i="3"/>
  <c r="S37" i="3"/>
  <c r="S35" i="3"/>
  <c r="S33" i="3"/>
  <c r="AA37" i="2"/>
  <c r="Q37" i="2"/>
  <c r="Z37" i="2"/>
  <c r="C113" i="3"/>
  <c r="H113" i="3" s="1"/>
  <c r="H141" i="3"/>
  <c r="I1268" i="5"/>
  <c r="I1269" i="5" s="1"/>
  <c r="M1268" i="5"/>
  <c r="M1269" i="5" s="1"/>
  <c r="M1247" i="5"/>
  <c r="I1247" i="5"/>
  <c r="D1199" i="5"/>
  <c r="D1201" i="5"/>
  <c r="I1112" i="5"/>
  <c r="M1112" i="5"/>
  <c r="I1274" i="5"/>
  <c r="M1274" i="5"/>
  <c r="I1245" i="5"/>
  <c r="M1245" i="5"/>
  <c r="M1253" i="5" s="1"/>
  <c r="I1153" i="5"/>
  <c r="M1153" i="5"/>
  <c r="M1081" i="5"/>
  <c r="I1081" i="5"/>
  <c r="M1279" i="5"/>
  <c r="I1279" i="5"/>
  <c r="M1125" i="5"/>
  <c r="I1125" i="5"/>
  <c r="H915" i="5"/>
  <c r="I1003" i="5"/>
  <c r="M1003" i="5"/>
  <c r="D937" i="5"/>
  <c r="I998" i="5"/>
  <c r="M998" i="5"/>
  <c r="D932" i="5"/>
  <c r="I1042" i="5"/>
  <c r="M1042" i="5"/>
  <c r="D976" i="5"/>
  <c r="M1020" i="5"/>
  <c r="I1020" i="5"/>
  <c r="D954" i="5"/>
  <c r="M1041" i="5"/>
  <c r="I1041" i="5"/>
  <c r="D975" i="5"/>
  <c r="M1036" i="5"/>
  <c r="D970" i="5"/>
  <c r="I1036" i="5"/>
  <c r="C917" i="5"/>
  <c r="D915" i="5" s="1"/>
  <c r="C856" i="5"/>
  <c r="H856" i="5" s="1"/>
  <c r="D873" i="5"/>
  <c r="H872" i="5"/>
  <c r="D826" i="5"/>
  <c r="C794" i="5"/>
  <c r="H826" i="5"/>
  <c r="H883" i="5"/>
  <c r="C867" i="5"/>
  <c r="H829" i="5"/>
  <c r="D829" i="5"/>
  <c r="H809" i="5"/>
  <c r="D809" i="5"/>
  <c r="C793" i="5"/>
  <c r="H793" i="5" s="1"/>
  <c r="H771" i="5"/>
  <c r="C764" i="5"/>
  <c r="H764" i="5" s="1"/>
  <c r="M680" i="5"/>
  <c r="I680" i="5"/>
  <c r="M999" i="5"/>
  <c r="I999" i="5"/>
  <c r="D933" i="5"/>
  <c r="D921" i="5"/>
  <c r="M987" i="5"/>
  <c r="I987" i="5"/>
  <c r="D889" i="5"/>
  <c r="H889" i="5"/>
  <c r="H896" i="5"/>
  <c r="C857" i="5"/>
  <c r="H857" i="5" s="1"/>
  <c r="C765" i="5"/>
  <c r="H765" i="5" s="1"/>
  <c r="H772" i="5"/>
  <c r="D731" i="5"/>
  <c r="M749" i="5"/>
  <c r="T749" i="3" s="1"/>
  <c r="I749" i="5"/>
  <c r="I737" i="5"/>
  <c r="M737" i="5"/>
  <c r="C611" i="5"/>
  <c r="C619" i="5" s="1"/>
  <c r="H607" i="5"/>
  <c r="H844" i="5"/>
  <c r="C797" i="5"/>
  <c r="H797" i="5" s="1"/>
  <c r="I755" i="5"/>
  <c r="M755" i="5"/>
  <c r="I709" i="5"/>
  <c r="M709" i="5"/>
  <c r="I681" i="5"/>
  <c r="M681" i="5"/>
  <c r="C861" i="5"/>
  <c r="H861" i="5" s="1"/>
  <c r="D746" i="5"/>
  <c r="D728" i="5" s="1"/>
  <c r="H746" i="5"/>
  <c r="C728" i="5"/>
  <c r="H728" i="5" s="1"/>
  <c r="M662" i="5"/>
  <c r="I662" i="5"/>
  <c r="D486" i="5"/>
  <c r="H486" i="5"/>
  <c r="I657" i="5"/>
  <c r="M657" i="5"/>
  <c r="M643" i="5"/>
  <c r="I643" i="5"/>
  <c r="H568" i="5"/>
  <c r="M702" i="5"/>
  <c r="I702" i="5"/>
  <c r="M712" i="5"/>
  <c r="I712" i="5"/>
  <c r="M631" i="5"/>
  <c r="I631" i="5"/>
  <c r="H725" i="5"/>
  <c r="H594" i="5"/>
  <c r="C595" i="5"/>
  <c r="C546" i="5"/>
  <c r="H546" i="5" s="1"/>
  <c r="H559" i="5"/>
  <c r="H487" i="5"/>
  <c r="D487" i="5"/>
  <c r="I513" i="5"/>
  <c r="M513" i="5"/>
  <c r="H449" i="5"/>
  <c r="C435" i="5"/>
  <c r="H435" i="5" s="1"/>
  <c r="C432" i="5"/>
  <c r="H432" i="5" s="1"/>
  <c r="H446" i="5"/>
  <c r="C452" i="5"/>
  <c r="D446" i="5" s="1"/>
  <c r="D520" i="5"/>
  <c r="I540" i="5"/>
  <c r="M540" i="5"/>
  <c r="T540" i="3" s="1"/>
  <c r="H530" i="5"/>
  <c r="C388" i="5"/>
  <c r="H379" i="5"/>
  <c r="H388" i="5" s="1"/>
  <c r="I351" i="5"/>
  <c r="M351" i="5"/>
  <c r="M421" i="5"/>
  <c r="I421" i="5"/>
  <c r="H300" i="5"/>
  <c r="I413" i="5"/>
  <c r="M413" i="5"/>
  <c r="H297" i="5"/>
  <c r="D266" i="5"/>
  <c r="H266" i="5"/>
  <c r="C206" i="5"/>
  <c r="C178" i="5" s="1"/>
  <c r="H201" i="5"/>
  <c r="I477" i="5"/>
  <c r="M477" i="5"/>
  <c r="H301" i="5"/>
  <c r="D301" i="5"/>
  <c r="H212" i="5"/>
  <c r="H220" i="5" s="1"/>
  <c r="D212" i="5"/>
  <c r="H184" i="5"/>
  <c r="H192" i="5" s="1"/>
  <c r="D184" i="5"/>
  <c r="C170" i="5"/>
  <c r="H170" i="5" s="1"/>
  <c r="I141" i="5"/>
  <c r="M141" i="5"/>
  <c r="D113" i="5"/>
  <c r="H90" i="5"/>
  <c r="M330" i="5"/>
  <c r="I330" i="5"/>
  <c r="D309" i="5"/>
  <c r="H280" i="5"/>
  <c r="H279" i="5"/>
  <c r="M202" i="5"/>
  <c r="I202" i="5"/>
  <c r="M182" i="5"/>
  <c r="I182" i="5"/>
  <c r="M167" i="5"/>
  <c r="I167" i="5"/>
  <c r="M155" i="5"/>
  <c r="I155" i="5"/>
  <c r="M308" i="5"/>
  <c r="I308" i="5"/>
  <c r="M216" i="5"/>
  <c r="I216" i="5"/>
  <c r="M173" i="5"/>
  <c r="I173" i="5"/>
  <c r="M143" i="5"/>
  <c r="I143" i="5"/>
  <c r="M96" i="5"/>
  <c r="I96" i="5"/>
  <c r="C47" i="5"/>
  <c r="D40" i="5" s="1"/>
  <c r="H39" i="5"/>
  <c r="H129" i="5"/>
  <c r="C115" i="5"/>
  <c r="H115" i="5" s="1"/>
  <c r="H134" i="5"/>
  <c r="C120" i="5"/>
  <c r="H120" i="5" s="1"/>
  <c r="H133" i="5"/>
  <c r="C119" i="5"/>
  <c r="H119" i="5" s="1"/>
  <c r="H55" i="5"/>
  <c r="H38" i="5"/>
  <c r="H16" i="5"/>
  <c r="D1289" i="3"/>
  <c r="D1299" i="3"/>
  <c r="I1297" i="3"/>
  <c r="H61" i="5"/>
  <c r="H54" i="5"/>
  <c r="H37" i="5"/>
  <c r="H15" i="5"/>
  <c r="D1237" i="3"/>
  <c r="I1237" i="3" s="1"/>
  <c r="D1236" i="3"/>
  <c r="I1236" i="3" s="1"/>
  <c r="T1125" i="3"/>
  <c r="H77" i="5"/>
  <c r="C81" i="5"/>
  <c r="H73" i="5"/>
  <c r="C1162" i="3"/>
  <c r="H914" i="3"/>
  <c r="D914" i="3"/>
  <c r="I914" i="3" s="1"/>
  <c r="H910" i="3"/>
  <c r="C917" i="3"/>
  <c r="D915" i="3" s="1"/>
  <c r="H906" i="3"/>
  <c r="D906" i="3"/>
  <c r="I906" i="3" s="1"/>
  <c r="S1068" i="3"/>
  <c r="M1068" i="3"/>
  <c r="T1068" i="3" s="1"/>
  <c r="H1047" i="3"/>
  <c r="H1049" i="3" s="1"/>
  <c r="I988" i="3"/>
  <c r="D922" i="3"/>
  <c r="H893" i="3"/>
  <c r="D893" i="3"/>
  <c r="I893" i="3" s="1"/>
  <c r="H889" i="3"/>
  <c r="D889" i="3"/>
  <c r="I889" i="3" s="1"/>
  <c r="D965" i="3"/>
  <c r="I965" i="3" s="1"/>
  <c r="I1031" i="3"/>
  <c r="C859" i="3"/>
  <c r="H859" i="3" s="1"/>
  <c r="H875" i="3"/>
  <c r="H879" i="3"/>
  <c r="C863" i="3"/>
  <c r="H863" i="3" s="1"/>
  <c r="H883" i="3"/>
  <c r="C867" i="3"/>
  <c r="C802" i="3"/>
  <c r="H802" i="3" s="1"/>
  <c r="H818" i="3"/>
  <c r="C821" i="3"/>
  <c r="H814" i="3"/>
  <c r="C798" i="3"/>
  <c r="H798" i="3" s="1"/>
  <c r="C795" i="3"/>
  <c r="H795" i="3" s="1"/>
  <c r="H811" i="3"/>
  <c r="M875" i="3"/>
  <c r="T875" i="3" s="1"/>
  <c r="S875" i="3"/>
  <c r="D738" i="3"/>
  <c r="C729" i="3"/>
  <c r="H729" i="3" s="1"/>
  <c r="H738" i="3"/>
  <c r="D1036" i="3"/>
  <c r="D1021" i="3"/>
  <c r="S890" i="3"/>
  <c r="I655" i="3"/>
  <c r="H848" i="3"/>
  <c r="H844" i="3"/>
  <c r="H841" i="3"/>
  <c r="D841" i="3"/>
  <c r="I841" i="3" s="1"/>
  <c r="S758" i="3"/>
  <c r="M758" i="3"/>
  <c r="T758" i="3" s="1"/>
  <c r="H755" i="3"/>
  <c r="D755" i="3"/>
  <c r="I746" i="3"/>
  <c r="I706" i="3"/>
  <c r="I686" i="3"/>
  <c r="I44" i="1"/>
  <c r="I44" i="2"/>
  <c r="I45" i="2" s="1"/>
  <c r="I691" i="3"/>
  <c r="S526" i="3"/>
  <c r="M526" i="3"/>
  <c r="T526" i="3" s="1"/>
  <c r="S492" i="3"/>
  <c r="I708" i="3"/>
  <c r="I705" i="3"/>
  <c r="I670" i="3"/>
  <c r="H571" i="3"/>
  <c r="D567" i="3"/>
  <c r="I567" i="3" s="1"/>
  <c r="H567" i="3"/>
  <c r="I559" i="3"/>
  <c r="I555" i="3"/>
  <c r="C522" i="3"/>
  <c r="D516" i="3" s="1"/>
  <c r="C503" i="3"/>
  <c r="H503" i="3" s="1"/>
  <c r="H517" i="3"/>
  <c r="D513" i="3"/>
  <c r="M513" i="3" s="1"/>
  <c r="H513" i="3"/>
  <c r="C499" i="3"/>
  <c r="H499" i="3" s="1"/>
  <c r="H477" i="3"/>
  <c r="D473" i="3"/>
  <c r="I473" i="3" s="1"/>
  <c r="H473" i="3"/>
  <c r="C415" i="3"/>
  <c r="C392" i="3"/>
  <c r="I402" i="3"/>
  <c r="C320" i="3"/>
  <c r="H320" i="3" s="1"/>
  <c r="H362" i="3"/>
  <c r="C367" i="3"/>
  <c r="D365" i="3" s="1"/>
  <c r="M365" i="3" s="1"/>
  <c r="C316" i="3"/>
  <c r="H316" i="3" s="1"/>
  <c r="H358" i="3"/>
  <c r="I344" i="3"/>
  <c r="C304" i="3"/>
  <c r="D302" i="3" s="1"/>
  <c r="H295" i="3"/>
  <c r="C793" i="3"/>
  <c r="H793" i="3" s="1"/>
  <c r="I692" i="3"/>
  <c r="I693" i="3"/>
  <c r="H512" i="3"/>
  <c r="C498" i="3"/>
  <c r="H498" i="3" s="1"/>
  <c r="K1104" i="3"/>
  <c r="S972" i="3"/>
  <c r="K1038" i="3"/>
  <c r="H527" i="3"/>
  <c r="D527" i="3"/>
  <c r="I527" i="3" s="1"/>
  <c r="C536" i="3"/>
  <c r="D531" i="3" s="1"/>
  <c r="I531" i="3" s="1"/>
  <c r="H531" i="3"/>
  <c r="I448" i="3"/>
  <c r="I444" i="3"/>
  <c r="I281" i="3"/>
  <c r="S308" i="3"/>
  <c r="S154" i="3"/>
  <c r="H603" i="3"/>
  <c r="C611" i="3"/>
  <c r="H607" i="3"/>
  <c r="H585" i="3"/>
  <c r="C589" i="3"/>
  <c r="H588" i="3"/>
  <c r="H591" i="3"/>
  <c r="H382" i="3"/>
  <c r="H386" i="3"/>
  <c r="C323" i="3"/>
  <c r="H323" i="3" s="1"/>
  <c r="S344" i="3"/>
  <c r="M344" i="3"/>
  <c r="S386" i="3"/>
  <c r="H203" i="3"/>
  <c r="H199" i="3"/>
  <c r="H157" i="3"/>
  <c r="S127" i="3"/>
  <c r="M127" i="3"/>
  <c r="I637" i="3"/>
  <c r="T511" i="3"/>
  <c r="H487" i="3"/>
  <c r="H491" i="3"/>
  <c r="I445" i="3"/>
  <c r="I443" i="3"/>
  <c r="S456" i="3"/>
  <c r="M456" i="3"/>
  <c r="T456" i="3" s="1"/>
  <c r="S266" i="3"/>
  <c r="M266" i="3"/>
  <c r="S301" i="3"/>
  <c r="I183" i="3"/>
  <c r="D169" i="3"/>
  <c r="H158" i="3"/>
  <c r="C116" i="3"/>
  <c r="H116" i="3" s="1"/>
  <c r="H130" i="3"/>
  <c r="S175" i="3"/>
  <c r="H452" i="3"/>
  <c r="H420" i="3"/>
  <c r="D420" i="3"/>
  <c r="I420" i="3" s="1"/>
  <c r="H259" i="3"/>
  <c r="C238" i="3"/>
  <c r="H238" i="3" s="1"/>
  <c r="H255" i="3"/>
  <c r="C234" i="3"/>
  <c r="H234" i="3" s="1"/>
  <c r="H245" i="3"/>
  <c r="D245" i="3"/>
  <c r="C224" i="3"/>
  <c r="H224" i="3" s="1"/>
  <c r="M288" i="3"/>
  <c r="S288" i="3"/>
  <c r="H214" i="3"/>
  <c r="D214" i="3"/>
  <c r="I214" i="3" s="1"/>
  <c r="H210" i="3"/>
  <c r="D210" i="3"/>
  <c r="I210" i="3" s="1"/>
  <c r="C175" i="3"/>
  <c r="H175" i="3" s="1"/>
  <c r="H189" i="3"/>
  <c r="D189" i="3"/>
  <c r="M189" i="3" s="1"/>
  <c r="C171" i="3"/>
  <c r="H171" i="3" s="1"/>
  <c r="H185" i="3"/>
  <c r="H181" i="3"/>
  <c r="C167" i="3"/>
  <c r="H167" i="3" s="1"/>
  <c r="C164" i="3"/>
  <c r="D161" i="3" s="1"/>
  <c r="I161" i="3" s="1"/>
  <c r="H159" i="3"/>
  <c r="M140" i="3"/>
  <c r="S140" i="3"/>
  <c r="H125" i="3"/>
  <c r="C111" i="3"/>
  <c r="H111" i="3" s="1"/>
  <c r="I19" i="1"/>
  <c r="I19" i="2"/>
  <c r="H95" i="3"/>
  <c r="H75" i="3"/>
  <c r="H71" i="3"/>
  <c r="A17" i="2"/>
  <c r="S162" i="3"/>
  <c r="M218" i="3"/>
  <c r="T218" i="3" s="1"/>
  <c r="S218" i="3"/>
  <c r="S85" i="3"/>
  <c r="S31" i="3"/>
  <c r="S91" i="3"/>
  <c r="M91" i="3"/>
  <c r="H43" i="3"/>
  <c r="C47" i="3"/>
  <c r="D39" i="3" s="1"/>
  <c r="H39" i="3"/>
  <c r="H37" i="3"/>
  <c r="H35" i="3"/>
  <c r="H33" i="3"/>
  <c r="H16" i="3"/>
  <c r="D16" i="3"/>
  <c r="H140" i="3"/>
  <c r="D140" i="3"/>
  <c r="I140" i="3" s="1"/>
  <c r="C150" i="3"/>
  <c r="D143" i="3" s="1"/>
  <c r="I143" i="3" s="1"/>
  <c r="H145" i="3"/>
  <c r="Y34" i="2"/>
  <c r="O34" i="1"/>
  <c r="S34" i="1" s="1"/>
  <c r="Y47" i="2"/>
  <c r="O47" i="1"/>
  <c r="S47" i="1" s="1"/>
  <c r="Y47" i="1" s="1"/>
  <c r="M1217" i="5"/>
  <c r="I1217" i="5"/>
  <c r="H1299" i="5"/>
  <c r="H1302" i="5" s="1"/>
  <c r="D1200" i="5"/>
  <c r="M1275" i="5"/>
  <c r="M1280" i="5" s="1"/>
  <c r="I1275" i="5"/>
  <c r="H1160" i="5"/>
  <c r="H1162" i="5" s="1"/>
  <c r="M1093" i="5"/>
  <c r="I1093" i="5"/>
  <c r="C1208" i="5"/>
  <c r="D1299" i="5"/>
  <c r="D1291" i="5" s="1"/>
  <c r="I1147" i="5"/>
  <c r="M1147" i="5"/>
  <c r="I1124" i="5"/>
  <c r="M1124" i="5"/>
  <c r="D1156" i="5"/>
  <c r="I1012" i="5"/>
  <c r="M1012" i="5"/>
  <c r="D946" i="5"/>
  <c r="H909" i="5"/>
  <c r="D909" i="5"/>
  <c r="I1023" i="5"/>
  <c r="M1023" i="5"/>
  <c r="D957" i="5"/>
  <c r="D978" i="5"/>
  <c r="M1044" i="5"/>
  <c r="I1044" i="5"/>
  <c r="I1021" i="5"/>
  <c r="M1021" i="5"/>
  <c r="D955" i="5"/>
  <c r="I1010" i="5"/>
  <c r="M1010" i="5"/>
  <c r="D944" i="5"/>
  <c r="M989" i="5"/>
  <c r="I989" i="5"/>
  <c r="D923" i="5"/>
  <c r="M1026" i="5"/>
  <c r="I1026" i="5"/>
  <c r="D960" i="5"/>
  <c r="M1045" i="5"/>
  <c r="I1045" i="5"/>
  <c r="D979" i="5"/>
  <c r="M1007" i="5"/>
  <c r="I1007" i="5"/>
  <c r="D941" i="5"/>
  <c r="C864" i="5"/>
  <c r="H864" i="5" s="1"/>
  <c r="H880" i="5"/>
  <c r="M856" i="5"/>
  <c r="I856" i="5"/>
  <c r="C799" i="5"/>
  <c r="H799" i="5" s="1"/>
  <c r="H815" i="5"/>
  <c r="H879" i="5"/>
  <c r="C863" i="5"/>
  <c r="H863" i="5" s="1"/>
  <c r="C885" i="5"/>
  <c r="D883" i="5" s="1"/>
  <c r="H825" i="5"/>
  <c r="D825" i="5"/>
  <c r="M678" i="5"/>
  <c r="I678" i="5"/>
  <c r="H1028" i="5"/>
  <c r="H1049" i="5" s="1"/>
  <c r="H890" i="5"/>
  <c r="D890" i="5"/>
  <c r="C858" i="5"/>
  <c r="H858" i="5" s="1"/>
  <c r="C775" i="5"/>
  <c r="C766" i="5"/>
  <c r="H766" i="5" s="1"/>
  <c r="H773" i="5"/>
  <c r="H848" i="5"/>
  <c r="C800" i="5"/>
  <c r="H800" i="5" s="1"/>
  <c r="H842" i="5"/>
  <c r="D842" i="5"/>
  <c r="I716" i="5"/>
  <c r="M716" i="5"/>
  <c r="I696" i="5"/>
  <c r="M696" i="5"/>
  <c r="I679" i="5"/>
  <c r="M679" i="5"/>
  <c r="D874" i="5"/>
  <c r="C789" i="5"/>
  <c r="H787" i="5"/>
  <c r="H789" i="5" s="1"/>
  <c r="C752" i="5"/>
  <c r="C734" i="5" s="1"/>
  <c r="H750" i="5"/>
  <c r="D738" i="5"/>
  <c r="M639" i="5"/>
  <c r="I639" i="5"/>
  <c r="M641" i="5"/>
  <c r="I641" i="5"/>
  <c r="M646" i="5"/>
  <c r="I646" i="5"/>
  <c r="H567" i="5"/>
  <c r="C541" i="5"/>
  <c r="H541" i="5" s="1"/>
  <c r="M705" i="5"/>
  <c r="I705" i="5"/>
  <c r="M715" i="5"/>
  <c r="I715" i="5"/>
  <c r="M640" i="5"/>
  <c r="I640" i="5"/>
  <c r="M642" i="5"/>
  <c r="I642" i="5"/>
  <c r="H587" i="5"/>
  <c r="H589" i="5" s="1"/>
  <c r="H558" i="5"/>
  <c r="C545" i="5"/>
  <c r="H545" i="5" s="1"/>
  <c r="H448" i="5"/>
  <c r="D448" i="5"/>
  <c r="C434" i="5"/>
  <c r="H434" i="5" s="1"/>
  <c r="C436" i="5"/>
  <c r="H436" i="5" s="1"/>
  <c r="H450" i="5"/>
  <c r="D519" i="5"/>
  <c r="C497" i="5"/>
  <c r="H497" i="5" s="1"/>
  <c r="D529" i="5"/>
  <c r="H529" i="5"/>
  <c r="C501" i="5"/>
  <c r="H501" i="5" s="1"/>
  <c r="D534" i="5"/>
  <c r="H534" i="5"/>
  <c r="C466" i="5"/>
  <c r="H460" i="5"/>
  <c r="H457" i="5"/>
  <c r="I372" i="5"/>
  <c r="M372" i="5"/>
  <c r="H287" i="5"/>
  <c r="D287" i="5"/>
  <c r="C238" i="5"/>
  <c r="H238" i="5" s="1"/>
  <c r="H259" i="5"/>
  <c r="H258" i="5"/>
  <c r="C237" i="5"/>
  <c r="H237" i="5" s="1"/>
  <c r="I211" i="5"/>
  <c r="M211" i="5"/>
  <c r="H200" i="5"/>
  <c r="D200" i="5"/>
  <c r="I183" i="5"/>
  <c r="D169" i="5"/>
  <c r="M183" i="5"/>
  <c r="H157" i="5"/>
  <c r="D157" i="5"/>
  <c r="C84" i="5"/>
  <c r="D90" i="5" s="1"/>
  <c r="H86" i="5"/>
  <c r="H101" i="5" s="1"/>
  <c r="D86" i="5"/>
  <c r="M420" i="5"/>
  <c r="I420" i="5"/>
  <c r="I404" i="5"/>
  <c r="D395" i="5"/>
  <c r="M404" i="5"/>
  <c r="H257" i="5"/>
  <c r="C236" i="5"/>
  <c r="H236" i="5" s="1"/>
  <c r="C171" i="5"/>
  <c r="H171" i="5" s="1"/>
  <c r="H199" i="5"/>
  <c r="D199" i="5"/>
  <c r="C176" i="5"/>
  <c r="H176" i="5" s="1"/>
  <c r="M140" i="5"/>
  <c r="I140" i="5"/>
  <c r="D174" i="5"/>
  <c r="M188" i="5"/>
  <c r="I188" i="5"/>
  <c r="H35" i="5"/>
  <c r="D35" i="5"/>
  <c r="H127" i="5"/>
  <c r="C113" i="5"/>
  <c r="H113" i="5" s="1"/>
  <c r="I98" i="5"/>
  <c r="M98" i="5"/>
  <c r="H44" i="5"/>
  <c r="D34" i="5"/>
  <c r="H34" i="5"/>
  <c r="H23" i="5"/>
  <c r="C10" i="5"/>
  <c r="D11" i="5" s="1"/>
  <c r="H11" i="5"/>
  <c r="I1269" i="3"/>
  <c r="D1245" i="3"/>
  <c r="I1245" i="3" s="1"/>
  <c r="I1253" i="3" s="1"/>
  <c r="D1157" i="3"/>
  <c r="I1157" i="3" s="1"/>
  <c r="M147" i="5"/>
  <c r="I147" i="5"/>
  <c r="H60" i="5"/>
  <c r="C66" i="5"/>
  <c r="H58" i="5"/>
  <c r="H33" i="5"/>
  <c r="D33" i="5"/>
  <c r="H13" i="5"/>
  <c r="D13" i="5"/>
  <c r="S1218" i="3"/>
  <c r="M1218" i="3"/>
  <c r="T1218" i="3" s="1"/>
  <c r="I91" i="5"/>
  <c r="M91" i="5"/>
  <c r="C26" i="5"/>
  <c r="D1268" i="3"/>
  <c r="I1268" i="3" s="1"/>
  <c r="C69" i="5"/>
  <c r="H70" i="5"/>
  <c r="T1313" i="3"/>
  <c r="M1318" i="3"/>
  <c r="M16" i="1"/>
  <c r="D1146" i="3"/>
  <c r="I1146" i="3" s="1"/>
  <c r="H909" i="3"/>
  <c r="D909" i="3"/>
  <c r="I909" i="3" s="1"/>
  <c r="H905" i="3"/>
  <c r="D905" i="3"/>
  <c r="I905" i="3" s="1"/>
  <c r="H896" i="3"/>
  <c r="I896" i="3"/>
  <c r="H892" i="3"/>
  <c r="D1027" i="3"/>
  <c r="D1034" i="3"/>
  <c r="H876" i="3"/>
  <c r="C860" i="3"/>
  <c r="H860" i="3" s="1"/>
  <c r="H880" i="3"/>
  <c r="C864" i="3"/>
  <c r="H864" i="3" s="1"/>
  <c r="M859" i="3"/>
  <c r="S859" i="3"/>
  <c r="C801" i="3"/>
  <c r="H801" i="3" s="1"/>
  <c r="H817" i="3"/>
  <c r="H813" i="3"/>
  <c r="C797" i="3"/>
  <c r="H797" i="3" s="1"/>
  <c r="C792" i="3"/>
  <c r="H792" i="3" s="1"/>
  <c r="H808" i="3"/>
  <c r="M740" i="3"/>
  <c r="T740" i="3" s="1"/>
  <c r="S740" i="3"/>
  <c r="D737" i="3"/>
  <c r="H737" i="3"/>
  <c r="C728" i="3"/>
  <c r="H728" i="3" s="1"/>
  <c r="D1033" i="3"/>
  <c r="S898" i="3"/>
  <c r="S906" i="3"/>
  <c r="I782" i="3"/>
  <c r="I764" i="3"/>
  <c r="G44" i="1"/>
  <c r="G45" i="1" s="1"/>
  <c r="G48" i="1" s="1"/>
  <c r="G44" i="2"/>
  <c r="G45" i="2" s="1"/>
  <c r="G48" i="2" s="1"/>
  <c r="D663" i="3"/>
  <c r="D653" i="3"/>
  <c r="S850" i="3"/>
  <c r="S843" i="3"/>
  <c r="M843" i="3"/>
  <c r="T843" i="3" s="1"/>
  <c r="I792" i="3"/>
  <c r="G28" i="1"/>
  <c r="G28" i="2"/>
  <c r="I703" i="3"/>
  <c r="I681" i="3"/>
  <c r="C768" i="3"/>
  <c r="I682" i="3"/>
  <c r="S592" i="3"/>
  <c r="K614" i="3"/>
  <c r="S525" i="3"/>
  <c r="M525" i="3"/>
  <c r="M765" i="3"/>
  <c r="T765" i="3" s="1"/>
  <c r="I765" i="3"/>
  <c r="I712" i="3"/>
  <c r="I709" i="3"/>
  <c r="H698" i="3"/>
  <c r="H725" i="3" s="1"/>
  <c r="I631" i="3"/>
  <c r="C575" i="3"/>
  <c r="D573" i="3" s="1"/>
  <c r="I573" i="3" s="1"/>
  <c r="H570" i="3"/>
  <c r="I558" i="3"/>
  <c r="I554" i="3"/>
  <c r="C502" i="3"/>
  <c r="H502" i="3" s="1"/>
  <c r="H516" i="3"/>
  <c r="I512" i="3"/>
  <c r="D498" i="3"/>
  <c r="H476" i="3"/>
  <c r="D472" i="3"/>
  <c r="I472" i="3" s="1"/>
  <c r="H472" i="3"/>
  <c r="I361" i="3"/>
  <c r="H361" i="3"/>
  <c r="C319" i="3"/>
  <c r="H319" i="3" s="1"/>
  <c r="I343" i="3"/>
  <c r="C307" i="3"/>
  <c r="H307" i="3" s="1"/>
  <c r="H298" i="3"/>
  <c r="D809" i="3"/>
  <c r="I675" i="3"/>
  <c r="I680" i="3"/>
  <c r="I696" i="3"/>
  <c r="D662" i="3"/>
  <c r="I633" i="3"/>
  <c r="H528" i="3"/>
  <c r="D528" i="3"/>
  <c r="I528" i="3" s="1"/>
  <c r="H532" i="3"/>
  <c r="C497" i="3"/>
  <c r="H497" i="3" s="1"/>
  <c r="S527" i="3"/>
  <c r="M527" i="3"/>
  <c r="I450" i="3"/>
  <c r="C430" i="3"/>
  <c r="H430" i="3" s="1"/>
  <c r="S350" i="3"/>
  <c r="I646" i="3"/>
  <c r="H604" i="3"/>
  <c r="H615" i="3"/>
  <c r="H608" i="3"/>
  <c r="H586" i="3"/>
  <c r="C388" i="3"/>
  <c r="D385" i="3" s="1"/>
  <c r="H379" i="3"/>
  <c r="H388" i="3" s="1"/>
  <c r="S260" i="3"/>
  <c r="S217" i="3"/>
  <c r="H198" i="3"/>
  <c r="S189" i="3"/>
  <c r="I640" i="3"/>
  <c r="C494" i="3"/>
  <c r="D487" i="3" s="1"/>
  <c r="I487" i="3" s="1"/>
  <c r="H488" i="3"/>
  <c r="H492" i="3"/>
  <c r="M470" i="3"/>
  <c r="T470" i="3" s="1"/>
  <c r="S470" i="3"/>
  <c r="I307" i="3"/>
  <c r="G20" i="1"/>
  <c r="G20" i="2"/>
  <c r="I246" i="3"/>
  <c r="D225" i="3"/>
  <c r="S364" i="3"/>
  <c r="S126" i="3"/>
  <c r="S1204" i="3"/>
  <c r="C734" i="3"/>
  <c r="M512" i="3"/>
  <c r="T512" i="3" s="1"/>
  <c r="C427" i="3"/>
  <c r="H427" i="3" s="1"/>
  <c r="H421" i="3"/>
  <c r="D421" i="3"/>
  <c r="I421" i="3" s="1"/>
  <c r="H258" i="3"/>
  <c r="C237" i="3"/>
  <c r="H237" i="3" s="1"/>
  <c r="C233" i="3"/>
  <c r="H233" i="3" s="1"/>
  <c r="H254" i="3"/>
  <c r="C223" i="3"/>
  <c r="H223" i="3" s="1"/>
  <c r="H244" i="3"/>
  <c r="M309" i="3"/>
  <c r="S309" i="3"/>
  <c r="H217" i="3"/>
  <c r="H213" i="3"/>
  <c r="D213" i="3"/>
  <c r="I213" i="3" s="1"/>
  <c r="C174" i="3"/>
  <c r="H174" i="3" s="1"/>
  <c r="H188" i="3"/>
  <c r="C170" i="3"/>
  <c r="H170" i="3" s="1"/>
  <c r="H184" i="3"/>
  <c r="M155" i="3"/>
  <c r="S155" i="3"/>
  <c r="S133" i="3"/>
  <c r="C101" i="3"/>
  <c r="D98" i="3" s="1"/>
  <c r="H94" i="3"/>
  <c r="H90" i="3"/>
  <c r="H74" i="3"/>
  <c r="C69" i="3"/>
  <c r="H70" i="3"/>
  <c r="M11" i="1"/>
  <c r="U12" i="1" s="1"/>
  <c r="S148" i="3"/>
  <c r="S176" i="3"/>
  <c r="M176" i="3"/>
  <c r="T176" i="3" s="1"/>
  <c r="S1205" i="3"/>
  <c r="M1205" i="3"/>
  <c r="T1205" i="3" s="1"/>
  <c r="A19" i="1"/>
  <c r="H31" i="3"/>
  <c r="H143" i="3"/>
  <c r="C117" i="3"/>
  <c r="H117" i="3" s="1"/>
  <c r="S90" i="3"/>
  <c r="H42" i="3"/>
  <c r="S38" i="3"/>
  <c r="S36" i="3"/>
  <c r="M36" i="3"/>
  <c r="T36" i="3" s="1"/>
  <c r="S34" i="3"/>
  <c r="S30" i="3"/>
  <c r="H15" i="3"/>
  <c r="D15" i="3"/>
  <c r="N11" i="2"/>
  <c r="O12" i="2" s="1"/>
  <c r="H144" i="3"/>
  <c r="D144" i="3"/>
  <c r="I144" i="3" s="1"/>
  <c r="H142" i="3"/>
  <c r="S59" i="3"/>
  <c r="I1216" i="5"/>
  <c r="M1216" i="5"/>
  <c r="M1159" i="5"/>
  <c r="I1159" i="5"/>
  <c r="M1123" i="5"/>
  <c r="I1123" i="5"/>
  <c r="M1087" i="5"/>
  <c r="I1087" i="5"/>
  <c r="I1108" i="5"/>
  <c r="M1108" i="5"/>
  <c r="M1289" i="5"/>
  <c r="I1289" i="5"/>
  <c r="D1237" i="5"/>
  <c r="M1107" i="5"/>
  <c r="I1107" i="5"/>
  <c r="M1090" i="5"/>
  <c r="I1090" i="5"/>
  <c r="D1154" i="5"/>
  <c r="H1115" i="5"/>
  <c r="H905" i="5"/>
  <c r="H917" i="5" s="1"/>
  <c r="D905" i="5"/>
  <c r="I1031" i="5"/>
  <c r="M1031" i="5"/>
  <c r="D965" i="5"/>
  <c r="I1034" i="5"/>
  <c r="M1034" i="5"/>
  <c r="D968" i="5"/>
  <c r="I1027" i="5"/>
  <c r="M1027" i="5"/>
  <c r="D961" i="5"/>
  <c r="M996" i="5"/>
  <c r="I996" i="5"/>
  <c r="D930" i="5"/>
  <c r="M1033" i="5"/>
  <c r="I1033" i="5"/>
  <c r="D967" i="5"/>
  <c r="I1046" i="5"/>
  <c r="M1046" i="5"/>
  <c r="D980" i="5"/>
  <c r="M1013" i="5"/>
  <c r="I1013" i="5"/>
  <c r="D947" i="5"/>
  <c r="I1017" i="5"/>
  <c r="M1017" i="5"/>
  <c r="D951" i="5"/>
  <c r="M993" i="5"/>
  <c r="I993" i="5"/>
  <c r="D927" i="5"/>
  <c r="C860" i="5"/>
  <c r="H860" i="5" s="1"/>
  <c r="H876" i="5"/>
  <c r="D834" i="5"/>
  <c r="H834" i="5"/>
  <c r="C795" i="5"/>
  <c r="H795" i="5" s="1"/>
  <c r="H811" i="5"/>
  <c r="H818" i="5"/>
  <c r="D818" i="5"/>
  <c r="C802" i="5"/>
  <c r="H802" i="5" s="1"/>
  <c r="C782" i="5"/>
  <c r="H780" i="5"/>
  <c r="H782" i="5" s="1"/>
  <c r="M756" i="5"/>
  <c r="I756" i="5"/>
  <c r="M692" i="5"/>
  <c r="I692" i="5"/>
  <c r="H962" i="5"/>
  <c r="H983" i="5" s="1"/>
  <c r="M1001" i="5"/>
  <c r="I1001" i="5"/>
  <c r="D935" i="5"/>
  <c r="H901" i="5"/>
  <c r="C901" i="5"/>
  <c r="H894" i="5"/>
  <c r="C862" i="5"/>
  <c r="H862" i="5" s="1"/>
  <c r="M795" i="5"/>
  <c r="I795" i="5"/>
  <c r="D603" i="5"/>
  <c r="H603" i="5"/>
  <c r="H611" i="5" s="1"/>
  <c r="D841" i="5"/>
  <c r="H841" i="5"/>
  <c r="C853" i="5"/>
  <c r="D851" i="5" s="1"/>
  <c r="H846" i="5"/>
  <c r="D768" i="5"/>
  <c r="I714" i="5"/>
  <c r="M714" i="5"/>
  <c r="I693" i="5"/>
  <c r="I698" i="5" s="1"/>
  <c r="M693" i="5"/>
  <c r="I677" i="5"/>
  <c r="M677" i="5"/>
  <c r="I775" i="5"/>
  <c r="D747" i="5"/>
  <c r="H747" i="5"/>
  <c r="H743" i="5"/>
  <c r="M634" i="5"/>
  <c r="I634" i="5"/>
  <c r="H556" i="5"/>
  <c r="C543" i="5"/>
  <c r="H543" i="5" s="1"/>
  <c r="M656" i="5"/>
  <c r="I656" i="5"/>
  <c r="M637" i="5"/>
  <c r="I637" i="5"/>
  <c r="C575" i="5"/>
  <c r="D570" i="5" s="1"/>
  <c r="H570" i="5"/>
  <c r="H571" i="5"/>
  <c r="D571" i="5"/>
  <c r="C796" i="5"/>
  <c r="H796" i="5" s="1"/>
  <c r="M708" i="5"/>
  <c r="I708" i="5"/>
  <c r="I632" i="5"/>
  <c r="M632" i="5"/>
  <c r="H591" i="5"/>
  <c r="M660" i="5"/>
  <c r="I660" i="5"/>
  <c r="M635" i="5"/>
  <c r="I635" i="5"/>
  <c r="H592" i="5"/>
  <c r="H557" i="5"/>
  <c r="C562" i="5"/>
  <c r="C544" i="5"/>
  <c r="H544" i="5" s="1"/>
  <c r="C502" i="5"/>
  <c r="H502" i="5" s="1"/>
  <c r="H516" i="5"/>
  <c r="H522" i="5" s="1"/>
  <c r="D516" i="5"/>
  <c r="H491" i="5"/>
  <c r="D491" i="5"/>
  <c r="H494" i="5"/>
  <c r="H528" i="5"/>
  <c r="C500" i="5"/>
  <c r="H500" i="5" s="1"/>
  <c r="D528" i="5"/>
  <c r="M498" i="5"/>
  <c r="I498" i="5"/>
  <c r="M478" i="5"/>
  <c r="I478" i="5"/>
  <c r="C433" i="5"/>
  <c r="H433" i="5" s="1"/>
  <c r="H447" i="5"/>
  <c r="H452" i="5" s="1"/>
  <c r="D447" i="5"/>
  <c r="I517" i="5"/>
  <c r="M517" i="5"/>
  <c r="C597" i="5"/>
  <c r="H527" i="5"/>
  <c r="D527" i="5"/>
  <c r="D499" i="5" s="1"/>
  <c r="C499" i="5"/>
  <c r="H499" i="5" s="1"/>
  <c r="D533" i="5"/>
  <c r="H533" i="5"/>
  <c r="D514" i="5"/>
  <c r="H459" i="5"/>
  <c r="D459" i="5"/>
  <c r="H461" i="5"/>
  <c r="D461" i="5"/>
  <c r="C346" i="5"/>
  <c r="C316" i="5"/>
  <c r="H316" i="5" s="1"/>
  <c r="H325" i="5" s="1"/>
  <c r="H337" i="5"/>
  <c r="H346" i="5" s="1"/>
  <c r="C431" i="5"/>
  <c r="H431" i="5" s="1"/>
  <c r="H438" i="5" s="1"/>
  <c r="M403" i="5"/>
  <c r="M406" i="5" s="1"/>
  <c r="I403" i="5"/>
  <c r="I406" i="5" s="1"/>
  <c r="D394" i="5"/>
  <c r="C235" i="5"/>
  <c r="H235" i="5" s="1"/>
  <c r="H256" i="5"/>
  <c r="H274" i="5"/>
  <c r="C283" i="5"/>
  <c r="D281" i="5" s="1"/>
  <c r="C234" i="5"/>
  <c r="H234" i="5" s="1"/>
  <c r="H255" i="5"/>
  <c r="H277" i="5"/>
  <c r="H254" i="5"/>
  <c r="C233" i="5"/>
  <c r="H233" i="5" s="1"/>
  <c r="D154" i="5"/>
  <c r="H153" i="5"/>
  <c r="I422" i="5"/>
  <c r="M422" i="5"/>
  <c r="M307" i="5"/>
  <c r="I307" i="5"/>
  <c r="M288" i="5"/>
  <c r="I288" i="5"/>
  <c r="C232" i="5"/>
  <c r="H232" i="5" s="1"/>
  <c r="C262" i="5"/>
  <c r="H253" i="5"/>
  <c r="M210" i="5"/>
  <c r="I210" i="5"/>
  <c r="C167" i="5"/>
  <c r="H167" i="5" s="1"/>
  <c r="H195" i="5"/>
  <c r="M148" i="5"/>
  <c r="I148" i="5"/>
  <c r="D217" i="5"/>
  <c r="D213" i="5"/>
  <c r="H128" i="5"/>
  <c r="C114" i="5"/>
  <c r="H114" i="5" s="1"/>
  <c r="H14" i="5"/>
  <c r="D14" i="5"/>
  <c r="D126" i="5"/>
  <c r="C112" i="5"/>
  <c r="H112" i="5" s="1"/>
  <c r="H126" i="5"/>
  <c r="C136" i="5"/>
  <c r="D129" i="5" s="1"/>
  <c r="H131" i="5"/>
  <c r="C117" i="5"/>
  <c r="H117" i="5" s="1"/>
  <c r="M97" i="5"/>
  <c r="I97" i="5"/>
  <c r="H43" i="5"/>
  <c r="D32" i="5"/>
  <c r="H32" i="5"/>
  <c r="H21" i="5"/>
  <c r="D1290" i="3"/>
  <c r="I1298" i="3"/>
  <c r="M1172" i="3"/>
  <c r="T1172" i="3" s="1"/>
  <c r="S1172" i="3"/>
  <c r="H59" i="5"/>
  <c r="H62" i="5"/>
  <c r="H22" i="5"/>
  <c r="C50" i="5"/>
  <c r="I1131" i="3"/>
  <c r="D1223" i="3"/>
  <c r="I1223" i="3" s="1"/>
  <c r="D1174" i="3"/>
  <c r="I1174" i="3" s="1"/>
  <c r="D1201" i="3"/>
  <c r="I1201" i="3" s="1"/>
  <c r="H75" i="5"/>
  <c r="H71" i="5"/>
  <c r="H74" i="5"/>
  <c r="M1082" i="3"/>
  <c r="S1082" i="3"/>
  <c r="H912" i="3"/>
  <c r="I912" i="3"/>
  <c r="H908" i="3"/>
  <c r="I1205" i="3"/>
  <c r="D1206" i="3"/>
  <c r="D1200" i="3" s="1"/>
  <c r="I1200" i="3" s="1"/>
  <c r="D971" i="3"/>
  <c r="I971" i="3" s="1"/>
  <c r="I1037" i="3"/>
  <c r="I1024" i="3"/>
  <c r="H873" i="3"/>
  <c r="D873" i="3"/>
  <c r="C857" i="3"/>
  <c r="H857" i="3" s="1"/>
  <c r="H877" i="3"/>
  <c r="C861" i="3"/>
  <c r="H861" i="3" s="1"/>
  <c r="H881" i="3"/>
  <c r="C865" i="3"/>
  <c r="H865" i="3" s="1"/>
  <c r="C803" i="3"/>
  <c r="H803" i="3" s="1"/>
  <c r="H819" i="3"/>
  <c r="H816" i="3"/>
  <c r="C800" i="3"/>
  <c r="H800" i="3" s="1"/>
  <c r="C796" i="3"/>
  <c r="H796" i="3" s="1"/>
  <c r="H812" i="3"/>
  <c r="S891" i="3"/>
  <c r="M891" i="3"/>
  <c r="T891" i="3" s="1"/>
  <c r="C731" i="3"/>
  <c r="H731" i="3" s="1"/>
  <c r="H740" i="3"/>
  <c r="D1026" i="3"/>
  <c r="D936" i="3"/>
  <c r="I1002" i="3"/>
  <c r="S858" i="3"/>
  <c r="S914" i="3"/>
  <c r="S874" i="3"/>
  <c r="H772" i="3"/>
  <c r="C765" i="3"/>
  <c r="H765" i="3" s="1"/>
  <c r="I659" i="3"/>
  <c r="H850" i="3"/>
  <c r="D850" i="3"/>
  <c r="I850" i="3" s="1"/>
  <c r="H846" i="3"/>
  <c r="C853" i="3"/>
  <c r="D851" i="3" s="1"/>
  <c r="T827" i="3"/>
  <c r="S810" i="3"/>
  <c r="I717" i="3"/>
  <c r="I694" i="3"/>
  <c r="D660" i="3"/>
  <c r="C723" i="3"/>
  <c r="C725" i="3" s="1"/>
  <c r="D656" i="3"/>
  <c r="D661" i="3"/>
  <c r="D654" i="3"/>
  <c r="I678" i="3"/>
  <c r="K565" i="3"/>
  <c r="K552" i="3"/>
  <c r="S539" i="3"/>
  <c r="M539" i="3"/>
  <c r="S1272" i="3"/>
  <c r="M1272" i="3"/>
  <c r="I715" i="3"/>
  <c r="I716" i="3"/>
  <c r="I643" i="3"/>
  <c r="D569" i="3"/>
  <c r="I569" i="3" s="1"/>
  <c r="H569" i="3"/>
  <c r="I557" i="3"/>
  <c r="C505" i="3"/>
  <c r="H505" i="3" s="1"/>
  <c r="H519" i="3"/>
  <c r="C501" i="3"/>
  <c r="H501" i="3" s="1"/>
  <c r="H515" i="3"/>
  <c r="D475" i="3"/>
  <c r="I475" i="3" s="1"/>
  <c r="H475" i="3"/>
  <c r="H471" i="3"/>
  <c r="D412" i="3"/>
  <c r="I412" i="3" s="1"/>
  <c r="H412" i="3"/>
  <c r="I404" i="3"/>
  <c r="D364" i="3"/>
  <c r="I364" i="3" s="1"/>
  <c r="C322" i="3"/>
  <c r="H322" i="3" s="1"/>
  <c r="H364" i="3"/>
  <c r="C318" i="3"/>
  <c r="H318" i="3" s="1"/>
  <c r="H360" i="3"/>
  <c r="D350" i="3"/>
  <c r="I350" i="3" s="1"/>
  <c r="H350" i="3"/>
  <c r="I329" i="3"/>
  <c r="H301" i="3"/>
  <c r="H297" i="3"/>
  <c r="D287" i="3"/>
  <c r="I287" i="3" s="1"/>
  <c r="H287" i="3"/>
  <c r="I679" i="3"/>
  <c r="I685" i="3"/>
  <c r="S464" i="3"/>
  <c r="M464" i="3"/>
  <c r="S1252" i="3"/>
  <c r="M1252" i="3"/>
  <c r="T1252" i="3" s="1"/>
  <c r="H616" i="3"/>
  <c r="C617" i="3"/>
  <c r="H529" i="3"/>
  <c r="H533" i="3"/>
  <c r="I446" i="3"/>
  <c r="S329" i="3"/>
  <c r="M329" i="3"/>
  <c r="T329" i="3" s="1"/>
  <c r="H601" i="3"/>
  <c r="H605" i="3"/>
  <c r="H609" i="3"/>
  <c r="S606" i="3"/>
  <c r="H579" i="3"/>
  <c r="H593" i="3"/>
  <c r="H384" i="3"/>
  <c r="S259" i="3"/>
  <c r="S302" i="3"/>
  <c r="S211" i="3"/>
  <c r="M211" i="3"/>
  <c r="T211" i="3" s="1"/>
  <c r="C206" i="3"/>
  <c r="D199" i="3" s="1"/>
  <c r="I199" i="3" s="1"/>
  <c r="H201" i="3"/>
  <c r="S183" i="3"/>
  <c r="M183" i="3"/>
  <c r="T183" i="3" s="1"/>
  <c r="H156" i="3"/>
  <c r="H164" i="3" s="1"/>
  <c r="D156" i="3"/>
  <c r="I156" i="3" s="1"/>
  <c r="I634" i="3"/>
  <c r="H485" i="3"/>
  <c r="H489" i="3"/>
  <c r="C435" i="3"/>
  <c r="H435" i="3" s="1"/>
  <c r="I447" i="3"/>
  <c r="C431" i="3"/>
  <c r="H431" i="3" s="1"/>
  <c r="S280" i="3"/>
  <c r="M280" i="3"/>
  <c r="M141" i="3"/>
  <c r="S141" i="3"/>
  <c r="D126" i="3"/>
  <c r="M126" i="3" s="1"/>
  <c r="C112" i="3"/>
  <c r="H112" i="3" s="1"/>
  <c r="H126" i="3"/>
  <c r="S553" i="3"/>
  <c r="M553" i="3"/>
  <c r="T553" i="3" s="1"/>
  <c r="M450" i="3"/>
  <c r="H422" i="3"/>
  <c r="D422" i="3"/>
  <c r="I422" i="3" s="1"/>
  <c r="H257" i="3"/>
  <c r="C236" i="3"/>
  <c r="H236" i="3" s="1"/>
  <c r="H253" i="3"/>
  <c r="C232" i="3"/>
  <c r="H232" i="3" s="1"/>
  <c r="C262" i="3"/>
  <c r="S330" i="3"/>
  <c r="M330" i="3"/>
  <c r="T330" i="3" s="1"/>
  <c r="M351" i="3"/>
  <c r="T351" i="3" s="1"/>
  <c r="S351" i="3"/>
  <c r="H212" i="3"/>
  <c r="D212" i="3"/>
  <c r="I212" i="3" s="1"/>
  <c r="S197" i="3"/>
  <c r="M197" i="3"/>
  <c r="T197" i="3" s="1"/>
  <c r="C192" i="3"/>
  <c r="C173" i="3"/>
  <c r="H173" i="3" s="1"/>
  <c r="H187" i="3"/>
  <c r="C169" i="3"/>
  <c r="H169" i="3" s="1"/>
  <c r="H183" i="3"/>
  <c r="H162" i="3"/>
  <c r="D162" i="3"/>
  <c r="M162" i="3" s="1"/>
  <c r="H133" i="3"/>
  <c r="D133" i="3"/>
  <c r="C119" i="3"/>
  <c r="H119" i="3" s="1"/>
  <c r="I111" i="3"/>
  <c r="G19" i="2"/>
  <c r="G19" i="1"/>
  <c r="M281" i="3"/>
  <c r="H97" i="3"/>
  <c r="I97" i="3"/>
  <c r="H93" i="3"/>
  <c r="H89" i="3"/>
  <c r="C81" i="3"/>
  <c r="H77" i="3"/>
  <c r="H73" i="3"/>
  <c r="H18" i="3"/>
  <c r="K72" i="3"/>
  <c r="K32" i="3"/>
  <c r="S13" i="3"/>
  <c r="K87" i="3"/>
  <c r="K53" i="3"/>
  <c r="M190" i="3"/>
  <c r="T190" i="3" s="1"/>
  <c r="S190" i="3"/>
  <c r="S54" i="3"/>
  <c r="M442" i="3"/>
  <c r="T442" i="3" s="1"/>
  <c r="M113" i="3"/>
  <c r="I113" i="3"/>
  <c r="H147" i="3"/>
  <c r="D147" i="3"/>
  <c r="S89" i="3"/>
  <c r="H41" i="3"/>
  <c r="H38" i="3"/>
  <c r="H34" i="3"/>
  <c r="H30" i="3"/>
  <c r="C29" i="3"/>
  <c r="D32" i="3" s="1"/>
  <c r="I32" i="3" s="1"/>
  <c r="AA16" i="2"/>
  <c r="Q16" i="2"/>
  <c r="Z16" i="2"/>
  <c r="H148" i="3"/>
  <c r="D148" i="3"/>
  <c r="H146" i="3"/>
  <c r="C118" i="3"/>
  <c r="H118" i="3" s="1"/>
  <c r="H220" i="3" l="1"/>
  <c r="D877" i="3"/>
  <c r="D876" i="3"/>
  <c r="H901" i="3"/>
  <c r="I1299" i="3"/>
  <c r="I1302" i="3" s="1"/>
  <c r="AA36" i="2"/>
  <c r="Z36" i="2"/>
  <c r="H304" i="3"/>
  <c r="M914" i="3"/>
  <c r="M1307" i="3"/>
  <c r="O36" i="1"/>
  <c r="S36" i="1" s="1"/>
  <c r="M196" i="3"/>
  <c r="D200" i="3"/>
  <c r="I200" i="3" s="1"/>
  <c r="D845" i="3"/>
  <c r="I845" i="3" s="1"/>
  <c r="H480" i="3"/>
  <c r="H743" i="3"/>
  <c r="H589" i="3"/>
  <c r="H611" i="3"/>
  <c r="D533" i="3"/>
  <c r="I533" i="3" s="1"/>
  <c r="D308" i="3"/>
  <c r="I308" i="3" s="1"/>
  <c r="D471" i="3"/>
  <c r="I471" i="3" s="1"/>
  <c r="D908" i="3"/>
  <c r="I908" i="3" s="1"/>
  <c r="I1150" i="3"/>
  <c r="D570" i="3"/>
  <c r="I570" i="3" s="1"/>
  <c r="D157" i="3"/>
  <c r="I157" i="3" s="1"/>
  <c r="C597" i="3"/>
  <c r="H761" i="3"/>
  <c r="M161" i="3"/>
  <c r="M371" i="3"/>
  <c r="T371" i="3" s="1"/>
  <c r="I466" i="3"/>
  <c r="I90" i="3"/>
  <c r="M90" i="3"/>
  <c r="H853" i="3"/>
  <c r="D958" i="3"/>
  <c r="I958" i="3" s="1"/>
  <c r="M217" i="3"/>
  <c r="H192" i="3"/>
  <c r="D393" i="3"/>
  <c r="I393" i="3" s="1"/>
  <c r="I562" i="3"/>
  <c r="I1160" i="3"/>
  <c r="I1162" i="3"/>
  <c r="K30" i="2" s="1"/>
  <c r="H522" i="3"/>
  <c r="D519" i="3"/>
  <c r="D492" i="3"/>
  <c r="I492" i="3" s="1"/>
  <c r="H494" i="3"/>
  <c r="D529" i="3"/>
  <c r="I529" i="3" s="1"/>
  <c r="H367" i="3"/>
  <c r="D515" i="3"/>
  <c r="D954" i="3"/>
  <c r="I954" i="3" s="1"/>
  <c r="D142" i="3"/>
  <c r="I142" i="3" s="1"/>
  <c r="D476" i="3"/>
  <c r="I476" i="3" s="1"/>
  <c r="D130" i="3"/>
  <c r="M154" i="3"/>
  <c r="T154" i="3" s="1"/>
  <c r="I45" i="1"/>
  <c r="I48" i="1" s="1"/>
  <c r="D1291" i="3"/>
  <c r="D1204" i="3"/>
  <c r="I1204" i="3" s="1"/>
  <c r="H206" i="3"/>
  <c r="D89" i="3"/>
  <c r="I89" i="3" s="1"/>
  <c r="D485" i="3"/>
  <c r="I485" i="3" s="1"/>
  <c r="D34" i="3"/>
  <c r="I34" i="3" s="1"/>
  <c r="C178" i="3"/>
  <c r="H536" i="3"/>
  <c r="H885" i="3"/>
  <c r="I1242" i="3"/>
  <c r="I1255" i="3" s="1"/>
  <c r="K32" i="2" s="1"/>
  <c r="D586" i="3"/>
  <c r="I586" i="3" s="1"/>
  <c r="D436" i="3"/>
  <c r="M436" i="3" s="1"/>
  <c r="D892" i="3"/>
  <c r="I892" i="3" s="1"/>
  <c r="H150" i="3"/>
  <c r="D386" i="3"/>
  <c r="C805" i="3"/>
  <c r="H917" i="3"/>
  <c r="D530" i="3"/>
  <c r="I530" i="3" s="1"/>
  <c r="M478" i="3"/>
  <c r="D568" i="3"/>
  <c r="I568" i="3" s="1"/>
  <c r="D898" i="3"/>
  <c r="H81" i="5"/>
  <c r="D16" i="5"/>
  <c r="I16" i="5" s="1"/>
  <c r="H752" i="5"/>
  <c r="T182" i="3"/>
  <c r="M1299" i="5"/>
  <c r="M1302" i="5" s="1"/>
  <c r="H595" i="5"/>
  <c r="H597" i="5" s="1"/>
  <c r="H575" i="5"/>
  <c r="H304" i="5"/>
  <c r="I1280" i="5"/>
  <c r="T513" i="3"/>
  <c r="D12" i="5"/>
  <c r="M12" i="5" s="1"/>
  <c r="D198" i="5"/>
  <c r="H536" i="5"/>
  <c r="H466" i="5"/>
  <c r="D567" i="5"/>
  <c r="M567" i="5" s="1"/>
  <c r="T91" i="3"/>
  <c r="H66" i="5"/>
  <c r="D568" i="5"/>
  <c r="M568" i="5" s="1"/>
  <c r="H853" i="5"/>
  <c r="M1174" i="5"/>
  <c r="I1174" i="5"/>
  <c r="H122" i="5"/>
  <c r="D15" i="5"/>
  <c r="M15" i="5" s="1"/>
  <c r="H283" i="5"/>
  <c r="T372" i="3"/>
  <c r="T478" i="3"/>
  <c r="M698" i="5"/>
  <c r="D850" i="5"/>
  <c r="M1223" i="5"/>
  <c r="I1223" i="5"/>
  <c r="I296" i="3"/>
  <c r="I295" i="3"/>
  <c r="D297" i="3"/>
  <c r="I297" i="3" s="1"/>
  <c r="I846" i="3"/>
  <c r="R126" i="3"/>
  <c r="I499" i="5"/>
  <c r="M499" i="5"/>
  <c r="M11" i="5"/>
  <c r="I11" i="5"/>
  <c r="I39" i="3"/>
  <c r="M281" i="5"/>
  <c r="I281" i="5"/>
  <c r="I385" i="3"/>
  <c r="M385" i="3"/>
  <c r="K24" i="1"/>
  <c r="AE24" i="1" s="1"/>
  <c r="K24" i="2"/>
  <c r="M18" i="3"/>
  <c r="I18" i="3"/>
  <c r="I147" i="3"/>
  <c r="M147" i="3"/>
  <c r="S87" i="3"/>
  <c r="G21" i="2"/>
  <c r="I660" i="3"/>
  <c r="C241" i="5"/>
  <c r="D260" i="5"/>
  <c r="I459" i="5"/>
  <c r="M459" i="5"/>
  <c r="C549" i="5"/>
  <c r="D560" i="5"/>
  <c r="D554" i="5"/>
  <c r="M841" i="5"/>
  <c r="I841" i="5"/>
  <c r="M834" i="5"/>
  <c r="T834" i="3" s="1"/>
  <c r="I834" i="5"/>
  <c r="M967" i="5"/>
  <c r="I967" i="5"/>
  <c r="M364" i="3"/>
  <c r="I379" i="3"/>
  <c r="I380" i="3"/>
  <c r="H734" i="3"/>
  <c r="D968" i="3"/>
  <c r="I968" i="3" s="1"/>
  <c r="I1034" i="3"/>
  <c r="M157" i="5"/>
  <c r="I157" i="5"/>
  <c r="I941" i="5"/>
  <c r="M941" i="5"/>
  <c r="M944" i="5"/>
  <c r="I944" i="5"/>
  <c r="M909" i="5"/>
  <c r="I909" i="5"/>
  <c r="R162" i="3"/>
  <c r="I386" i="3"/>
  <c r="D434" i="3"/>
  <c r="I434" i="3" s="1"/>
  <c r="I755" i="3"/>
  <c r="I568" i="5"/>
  <c r="I728" i="5"/>
  <c r="M728" i="5"/>
  <c r="I889" i="5"/>
  <c r="M889" i="5"/>
  <c r="M883" i="5"/>
  <c r="I883" i="5"/>
  <c r="M915" i="5"/>
  <c r="I915" i="5"/>
  <c r="O37" i="1"/>
  <c r="S37" i="1" s="1"/>
  <c r="Y37" i="1" s="1"/>
  <c r="Y37" i="2"/>
  <c r="D486" i="3"/>
  <c r="I486" i="3" s="1"/>
  <c r="M1081" i="3"/>
  <c r="T1081" i="3" s="1"/>
  <c r="S1081" i="3"/>
  <c r="I1017" i="3"/>
  <c r="D951" i="3"/>
  <c r="I951" i="3" s="1"/>
  <c r="D947" i="3"/>
  <c r="I947" i="3" s="1"/>
  <c r="I1013" i="3"/>
  <c r="M196" i="5"/>
  <c r="T196" i="3" s="1"/>
  <c r="I196" i="5"/>
  <c r="M245" i="5"/>
  <c r="D224" i="5"/>
  <c r="I245" i="5"/>
  <c r="M198" i="5"/>
  <c r="I198" i="5"/>
  <c r="I653" i="5"/>
  <c r="M653" i="5"/>
  <c r="H562" i="5"/>
  <c r="M940" i="5"/>
  <c r="I940" i="5"/>
  <c r="R113" i="3"/>
  <c r="I579" i="3"/>
  <c r="D580" i="3"/>
  <c r="I275" i="3"/>
  <c r="I274" i="3"/>
  <c r="T539" i="3"/>
  <c r="H164" i="5"/>
  <c r="M533" i="5"/>
  <c r="I533" i="5"/>
  <c r="D583" i="5"/>
  <c r="D585" i="5"/>
  <c r="D588" i="5"/>
  <c r="D586" i="5"/>
  <c r="D584" i="5"/>
  <c r="I528" i="5"/>
  <c r="M528" i="5"/>
  <c r="I491" i="5"/>
  <c r="M491" i="5"/>
  <c r="D556" i="5"/>
  <c r="H614" i="5"/>
  <c r="H617" i="5" s="1"/>
  <c r="H619" i="5" s="1"/>
  <c r="I935" i="5"/>
  <c r="M935" i="5"/>
  <c r="M818" i="5"/>
  <c r="I818" i="5"/>
  <c r="D802" i="5"/>
  <c r="I980" i="5"/>
  <c r="M980" i="5"/>
  <c r="I968" i="5"/>
  <c r="M968" i="5"/>
  <c r="M1047" i="5"/>
  <c r="I1113" i="5"/>
  <c r="H81" i="3"/>
  <c r="M98" i="3"/>
  <c r="T98" i="3" s="1"/>
  <c r="I98" i="3"/>
  <c r="T155" i="3"/>
  <c r="R155" i="3"/>
  <c r="I225" i="3"/>
  <c r="M225" i="3"/>
  <c r="I436" i="3"/>
  <c r="H508" i="3"/>
  <c r="D322" i="3"/>
  <c r="I498" i="3"/>
  <c r="M498" i="3"/>
  <c r="I516" i="3"/>
  <c r="D502" i="3"/>
  <c r="I502" i="3" s="1"/>
  <c r="I648" i="3"/>
  <c r="S614" i="3"/>
  <c r="I663" i="3"/>
  <c r="I768" i="3"/>
  <c r="H821" i="3"/>
  <c r="D813" i="3"/>
  <c r="I1027" i="3"/>
  <c r="D961" i="3"/>
  <c r="I961" i="3" s="1"/>
  <c r="U16" i="1"/>
  <c r="W16" i="1" s="1"/>
  <c r="M33" i="5"/>
  <c r="I33" i="5"/>
  <c r="H26" i="5"/>
  <c r="I199" i="5"/>
  <c r="M199" i="5"/>
  <c r="M200" i="5"/>
  <c r="I200" i="5"/>
  <c r="I287" i="5"/>
  <c r="M287" i="5"/>
  <c r="M529" i="5"/>
  <c r="I529" i="5"/>
  <c r="D587" i="5"/>
  <c r="D729" i="5"/>
  <c r="M738" i="5"/>
  <c r="I738" i="5"/>
  <c r="M848" i="5"/>
  <c r="I848" i="5"/>
  <c r="C768" i="5"/>
  <c r="M890" i="5"/>
  <c r="I890" i="5"/>
  <c r="C869" i="5"/>
  <c r="D877" i="5"/>
  <c r="D882" i="5"/>
  <c r="M923" i="5"/>
  <c r="I923" i="5"/>
  <c r="M957" i="5"/>
  <c r="I957" i="5"/>
  <c r="M1156" i="5"/>
  <c r="I1156" i="5"/>
  <c r="I1160" i="5" s="1"/>
  <c r="Y34" i="1"/>
  <c r="AD34" i="1"/>
  <c r="AG34" i="1" s="1"/>
  <c r="D33" i="3"/>
  <c r="I95" i="3"/>
  <c r="H122" i="3"/>
  <c r="D185" i="3"/>
  <c r="I130" i="3"/>
  <c r="D429" i="3"/>
  <c r="I429" i="3" s="1"/>
  <c r="D491" i="3"/>
  <c r="I491" i="3" s="1"/>
  <c r="D203" i="3"/>
  <c r="D175" i="3" s="1"/>
  <c r="C619" i="3"/>
  <c r="D278" i="3"/>
  <c r="I278" i="3" s="1"/>
  <c r="M1038" i="3"/>
  <c r="T1038" i="3" s="1"/>
  <c r="S1038" i="3"/>
  <c r="C508" i="3"/>
  <c r="D520" i="3"/>
  <c r="M492" i="3"/>
  <c r="I848" i="3"/>
  <c r="I1021" i="3"/>
  <c r="D955" i="3"/>
  <c r="I955" i="3" s="1"/>
  <c r="D729" i="3"/>
  <c r="I738" i="3"/>
  <c r="H867" i="3"/>
  <c r="D867" i="3"/>
  <c r="I309" i="5"/>
  <c r="M309" i="5"/>
  <c r="T309" i="3" s="1"/>
  <c r="M90" i="5"/>
  <c r="I90" i="5"/>
  <c r="M212" i="5"/>
  <c r="I212" i="5"/>
  <c r="I220" i="5" s="1"/>
  <c r="C438" i="5"/>
  <c r="D444" i="5"/>
  <c r="D443" i="5"/>
  <c r="D445" i="5"/>
  <c r="D594" i="5"/>
  <c r="I719" i="5"/>
  <c r="M746" i="5"/>
  <c r="I746" i="5"/>
  <c r="M743" i="5"/>
  <c r="I731" i="5"/>
  <c r="M731" i="5"/>
  <c r="T731" i="3" s="1"/>
  <c r="M933" i="5"/>
  <c r="I933" i="5"/>
  <c r="M829" i="5"/>
  <c r="I829" i="5"/>
  <c r="H885" i="5"/>
  <c r="D908" i="5"/>
  <c r="D914" i="5"/>
  <c r="M975" i="5"/>
  <c r="I975" i="5"/>
  <c r="M937" i="5"/>
  <c r="I937" i="5"/>
  <c r="M1082" i="5"/>
  <c r="M1094" i="5" s="1"/>
  <c r="I1082" i="5"/>
  <c r="I1253" i="5"/>
  <c r="D40" i="3"/>
  <c r="I40" i="3" s="1"/>
  <c r="R134" i="3"/>
  <c r="H26" i="3"/>
  <c r="D85" i="3"/>
  <c r="D86" i="3"/>
  <c r="D87" i="3"/>
  <c r="I87" i="3" s="1"/>
  <c r="D115" i="3"/>
  <c r="I115" i="3" s="1"/>
  <c r="I129" i="3"/>
  <c r="D186" i="3"/>
  <c r="I134" i="3"/>
  <c r="D120" i="3"/>
  <c r="C549" i="3"/>
  <c r="D394" i="3"/>
  <c r="I394" i="3" s="1"/>
  <c r="D547" i="3"/>
  <c r="I547" i="3" s="1"/>
  <c r="M949" i="3"/>
  <c r="I756" i="3"/>
  <c r="D957" i="3"/>
  <c r="I957" i="3" s="1"/>
  <c r="I1023" i="3"/>
  <c r="D858" i="3"/>
  <c r="I874" i="3"/>
  <c r="I989" i="3"/>
  <c r="D923" i="3"/>
  <c r="I923" i="3" s="1"/>
  <c r="I999" i="3"/>
  <c r="D933" i="3"/>
  <c r="I933" i="3" s="1"/>
  <c r="D940" i="3"/>
  <c r="I940" i="3" s="1"/>
  <c r="I1006" i="3"/>
  <c r="I1040" i="3"/>
  <c r="D974" i="3"/>
  <c r="I974" i="3" s="1"/>
  <c r="I1044" i="3"/>
  <c r="D978" i="3"/>
  <c r="I978" i="3" s="1"/>
  <c r="D1182" i="3"/>
  <c r="I1182" i="3" s="1"/>
  <c r="D1181" i="3"/>
  <c r="I1181" i="3" s="1"/>
  <c r="I31" i="5"/>
  <c r="M31" i="5"/>
  <c r="D203" i="5"/>
  <c r="I415" i="5"/>
  <c r="M428" i="5"/>
  <c r="I428" i="5"/>
  <c r="I532" i="5"/>
  <c r="M532" i="5"/>
  <c r="M515" i="5"/>
  <c r="I515" i="5"/>
  <c r="D501" i="5"/>
  <c r="D555" i="5"/>
  <c r="M648" i="5"/>
  <c r="H549" i="5"/>
  <c r="M663" i="5"/>
  <c r="I663" i="5"/>
  <c r="M949" i="5"/>
  <c r="I949" i="5"/>
  <c r="M926" i="5"/>
  <c r="I926" i="5"/>
  <c r="M489" i="5"/>
  <c r="I489" i="5"/>
  <c r="I148" i="3"/>
  <c r="C241" i="3"/>
  <c r="D260" i="3"/>
  <c r="I654" i="3"/>
  <c r="M34" i="3"/>
  <c r="I662" i="3"/>
  <c r="I653" i="3"/>
  <c r="I880" i="3"/>
  <c r="D864" i="3"/>
  <c r="I864" i="3" s="1"/>
  <c r="D24" i="5"/>
  <c r="M395" i="5"/>
  <c r="I395" i="5"/>
  <c r="M448" i="5"/>
  <c r="I448" i="5"/>
  <c r="I21" i="1"/>
  <c r="I38" i="1"/>
  <c r="I189" i="3"/>
  <c r="I169" i="3"/>
  <c r="M169" i="3"/>
  <c r="D299" i="3"/>
  <c r="I299" i="3" s="1"/>
  <c r="I302" i="3"/>
  <c r="D818" i="3"/>
  <c r="M16" i="5"/>
  <c r="I40" i="5"/>
  <c r="M40" i="5"/>
  <c r="M988" i="5"/>
  <c r="T988" i="3" s="1"/>
  <c r="I988" i="5"/>
  <c r="D922" i="5"/>
  <c r="M826" i="5"/>
  <c r="I826" i="5"/>
  <c r="Y36" i="1"/>
  <c r="AD36" i="1"/>
  <c r="AG36" i="1" s="1"/>
  <c r="R161" i="3"/>
  <c r="D937" i="3"/>
  <c r="I937" i="3" s="1"/>
  <c r="I1003" i="3"/>
  <c r="I1043" i="3"/>
  <c r="D977" i="3"/>
  <c r="I977" i="3" s="1"/>
  <c r="M189" i="5"/>
  <c r="T189" i="3" s="1"/>
  <c r="I189" i="5"/>
  <c r="D175" i="5"/>
  <c r="M225" i="5"/>
  <c r="I225" i="5"/>
  <c r="D297" i="5"/>
  <c r="M295" i="5"/>
  <c r="I295" i="5"/>
  <c r="M971" i="5"/>
  <c r="I971" i="5"/>
  <c r="I1157" i="5"/>
  <c r="M1157" i="5"/>
  <c r="I492" i="5"/>
  <c r="M492" i="5"/>
  <c r="T1299" i="3"/>
  <c r="M1302" i="3"/>
  <c r="I20" i="3"/>
  <c r="D19" i="3"/>
  <c r="M92" i="5"/>
  <c r="I92" i="5"/>
  <c r="I661" i="3"/>
  <c r="I936" i="3"/>
  <c r="M936" i="3"/>
  <c r="D812" i="3"/>
  <c r="C122" i="5"/>
  <c r="D130" i="5"/>
  <c r="D30" i="3"/>
  <c r="M89" i="3"/>
  <c r="M13" i="3"/>
  <c r="I62" i="3"/>
  <c r="I63" i="3"/>
  <c r="I61" i="3"/>
  <c r="T281" i="3"/>
  <c r="D489" i="3"/>
  <c r="I489" i="3" s="1"/>
  <c r="M302" i="3"/>
  <c r="I277" i="3"/>
  <c r="D301" i="3"/>
  <c r="I656" i="3"/>
  <c r="M810" i="3"/>
  <c r="T810" i="3" s="1"/>
  <c r="I1026" i="3"/>
  <c r="D960" i="3"/>
  <c r="I960" i="3" s="1"/>
  <c r="I873" i="3"/>
  <c r="D857" i="3"/>
  <c r="I857" i="3" s="1"/>
  <c r="D1199" i="3"/>
  <c r="I1199" i="3" s="1"/>
  <c r="I1206" i="3" s="1"/>
  <c r="M1290" i="3"/>
  <c r="I1290" i="3"/>
  <c r="M32" i="5"/>
  <c r="I32" i="5"/>
  <c r="H136" i="5"/>
  <c r="M213" i="5"/>
  <c r="I213" i="5"/>
  <c r="H206" i="5"/>
  <c r="M154" i="5"/>
  <c r="I154" i="5"/>
  <c r="M461" i="5"/>
  <c r="I461" i="5"/>
  <c r="I447" i="5"/>
  <c r="M447" i="5"/>
  <c r="D433" i="5"/>
  <c r="D572" i="5"/>
  <c r="D573" i="5"/>
  <c r="I851" i="5"/>
  <c r="M851" i="5"/>
  <c r="I947" i="5"/>
  <c r="M947" i="5"/>
  <c r="M961" i="5"/>
  <c r="I961" i="5"/>
  <c r="I1047" i="5"/>
  <c r="M1154" i="5"/>
  <c r="I1154" i="5"/>
  <c r="M1113" i="5"/>
  <c r="I1150" i="5"/>
  <c r="O11" i="1"/>
  <c r="M148" i="3"/>
  <c r="P65" i="3"/>
  <c r="P64" i="3"/>
  <c r="G15" i="1"/>
  <c r="G17" i="1" s="1"/>
  <c r="G15" i="2"/>
  <c r="G17" i="2" s="1"/>
  <c r="D51" i="3"/>
  <c r="D53" i="3"/>
  <c r="I53" i="3" s="1"/>
  <c r="D56" i="3"/>
  <c r="D54" i="3"/>
  <c r="D52" i="3"/>
  <c r="D55" i="3"/>
  <c r="D184" i="3"/>
  <c r="H262" i="3"/>
  <c r="M1204" i="3"/>
  <c r="T1204" i="3" s="1"/>
  <c r="D488" i="3"/>
  <c r="I488" i="3" s="1"/>
  <c r="D198" i="3"/>
  <c r="I198" i="3" s="1"/>
  <c r="D532" i="3"/>
  <c r="I532" i="3" s="1"/>
  <c r="H325" i="3"/>
  <c r="T525" i="3"/>
  <c r="M795" i="3"/>
  <c r="T795" i="3" s="1"/>
  <c r="I795" i="3"/>
  <c r="M850" i="3"/>
  <c r="I737" i="3"/>
  <c r="I743" i="3" s="1"/>
  <c r="D728" i="3"/>
  <c r="D860" i="3"/>
  <c r="I860" i="3" s="1"/>
  <c r="I876" i="3"/>
  <c r="P1318" i="3"/>
  <c r="T1318" i="3"/>
  <c r="I424" i="5"/>
  <c r="D88" i="5"/>
  <c r="D85" i="5"/>
  <c r="D89" i="5"/>
  <c r="D87" i="5"/>
  <c r="D259" i="5"/>
  <c r="D462" i="5"/>
  <c r="D464" i="5"/>
  <c r="D463" i="5"/>
  <c r="M534" i="5"/>
  <c r="I534" i="5"/>
  <c r="H508" i="5"/>
  <c r="D450" i="5"/>
  <c r="D558" i="5"/>
  <c r="I874" i="5"/>
  <c r="D858" i="5"/>
  <c r="M874" i="5"/>
  <c r="T874" i="3" s="1"/>
  <c r="M842" i="5"/>
  <c r="I842" i="5"/>
  <c r="M825" i="5"/>
  <c r="I825" i="5"/>
  <c r="I960" i="5"/>
  <c r="M960" i="5"/>
  <c r="M946" i="5"/>
  <c r="I946" i="5"/>
  <c r="M1200" i="5"/>
  <c r="I1200" i="5"/>
  <c r="AA47" i="1"/>
  <c r="A20" i="2"/>
  <c r="H136" i="3"/>
  <c r="I245" i="3"/>
  <c r="D224" i="3"/>
  <c r="M245" i="3"/>
  <c r="T245" i="3" s="1"/>
  <c r="I424" i="3"/>
  <c r="D158" i="3"/>
  <c r="I158" i="3" s="1"/>
  <c r="T127" i="3"/>
  <c r="R127" i="3"/>
  <c r="D430" i="3"/>
  <c r="I430" i="3" s="1"/>
  <c r="C397" i="3"/>
  <c r="D413" i="3"/>
  <c r="I513" i="3"/>
  <c r="D499" i="3"/>
  <c r="D517" i="3"/>
  <c r="D571" i="3"/>
  <c r="M890" i="3"/>
  <c r="T890" i="3" s="1"/>
  <c r="D970" i="3"/>
  <c r="I970" i="3" s="1"/>
  <c r="I1036" i="3"/>
  <c r="M883" i="3"/>
  <c r="T883" i="3" s="1"/>
  <c r="I883" i="3"/>
  <c r="I922" i="3"/>
  <c r="M922" i="3"/>
  <c r="M915" i="3"/>
  <c r="I915" i="3"/>
  <c r="M1289" i="3"/>
  <c r="I1289" i="3"/>
  <c r="D39" i="5"/>
  <c r="D530" i="5"/>
  <c r="I520" i="5"/>
  <c r="D506" i="5"/>
  <c r="M520" i="5"/>
  <c r="D449" i="5"/>
  <c r="I487" i="5"/>
  <c r="M487" i="5"/>
  <c r="M719" i="5"/>
  <c r="M486" i="5"/>
  <c r="I486" i="5"/>
  <c r="D608" i="5"/>
  <c r="D616" i="5"/>
  <c r="D605" i="5"/>
  <c r="D606" i="5"/>
  <c r="D609" i="5"/>
  <c r="D610" i="5"/>
  <c r="I743" i="5"/>
  <c r="H768" i="5"/>
  <c r="M873" i="5"/>
  <c r="D857" i="5"/>
  <c r="I873" i="5"/>
  <c r="M932" i="5"/>
  <c r="I932" i="5"/>
  <c r="M1201" i="5"/>
  <c r="I1201" i="5"/>
  <c r="D88" i="3"/>
  <c r="I96" i="3"/>
  <c r="I182" i="3"/>
  <c r="D168" i="3"/>
  <c r="D490" i="3"/>
  <c r="I490" i="3" s="1"/>
  <c r="M210" i="3"/>
  <c r="T210" i="3" s="1"/>
  <c r="D587" i="3"/>
  <c r="I587" i="3" s="1"/>
  <c r="H613" i="3"/>
  <c r="H617" i="3" s="1"/>
  <c r="H619" i="3" s="1"/>
  <c r="D613" i="3"/>
  <c r="D534" i="3"/>
  <c r="I534" i="3" s="1"/>
  <c r="C325" i="3"/>
  <c r="H415" i="3"/>
  <c r="D474" i="3"/>
  <c r="D518" i="3"/>
  <c r="D572" i="3"/>
  <c r="H869" i="3"/>
  <c r="T826" i="3"/>
  <c r="I842" i="3"/>
  <c r="M842" i="3"/>
  <c r="D966" i="3"/>
  <c r="I966" i="3" s="1"/>
  <c r="I1032" i="3"/>
  <c r="H768" i="3"/>
  <c r="G29" i="2"/>
  <c r="D972" i="3"/>
  <c r="I1038" i="3"/>
  <c r="I882" i="3"/>
  <c r="D866" i="3"/>
  <c r="I899" i="3"/>
  <c r="M899" i="3"/>
  <c r="I1094" i="3"/>
  <c r="I1115" i="3" s="1"/>
  <c r="I992" i="3"/>
  <c r="D926" i="3"/>
  <c r="I926" i="3" s="1"/>
  <c r="I1009" i="3"/>
  <c r="D943" i="3"/>
  <c r="I943" i="3" s="1"/>
  <c r="D929" i="3"/>
  <c r="I929" i="3" s="1"/>
  <c r="I995" i="3"/>
  <c r="D941" i="3"/>
  <c r="I941" i="3" s="1"/>
  <c r="I1007" i="3"/>
  <c r="I1041" i="3"/>
  <c r="D975" i="3"/>
  <c r="I975" i="3" s="1"/>
  <c r="I1045" i="3"/>
  <c r="D979" i="3"/>
  <c r="I979" i="3" s="1"/>
  <c r="H47" i="5"/>
  <c r="D172" i="5"/>
  <c r="M142" i="5"/>
  <c r="I142" i="5"/>
  <c r="I150" i="5" s="1"/>
  <c r="H241" i="5"/>
  <c r="I302" i="5"/>
  <c r="M302" i="5"/>
  <c r="M415" i="5"/>
  <c r="D365" i="5"/>
  <c r="D364" i="5"/>
  <c r="M472" i="5"/>
  <c r="I472" i="5"/>
  <c r="I480" i="5" s="1"/>
  <c r="I579" i="5"/>
  <c r="M579" i="5"/>
  <c r="D614" i="5"/>
  <c r="D581" i="5"/>
  <c r="D569" i="5"/>
  <c r="M654" i="5"/>
  <c r="I654" i="5"/>
  <c r="I1016" i="5"/>
  <c r="M1016" i="5"/>
  <c r="D950" i="5"/>
  <c r="D835" i="5"/>
  <c r="D828" i="5"/>
  <c r="M966" i="5"/>
  <c r="I966" i="5"/>
  <c r="M974" i="5"/>
  <c r="I974" i="5"/>
  <c r="I929" i="5"/>
  <c r="M929" i="5"/>
  <c r="M1290" i="5"/>
  <c r="M1291" i="5" s="1"/>
  <c r="M1294" i="5" s="1"/>
  <c r="I1290" i="5"/>
  <c r="I1291" i="5" s="1"/>
  <c r="I1294" i="5" s="1"/>
  <c r="M1155" i="5"/>
  <c r="I1155" i="5"/>
  <c r="D319" i="3"/>
  <c r="I319" i="3" s="1"/>
  <c r="M146" i="5"/>
  <c r="I146" i="5"/>
  <c r="M490" i="5"/>
  <c r="I490" i="5"/>
  <c r="P25" i="3"/>
  <c r="Q11" i="1"/>
  <c r="D504" i="5"/>
  <c r="O16" i="1"/>
  <c r="S16" i="1" s="1"/>
  <c r="Y16" i="1" s="1"/>
  <c r="Y16" i="2"/>
  <c r="S72" i="3"/>
  <c r="M565" i="3"/>
  <c r="S565" i="3"/>
  <c r="D56" i="5"/>
  <c r="D52" i="5"/>
  <c r="D51" i="5"/>
  <c r="D53" i="5"/>
  <c r="D112" i="5"/>
  <c r="M126" i="5"/>
  <c r="I126" i="5"/>
  <c r="C325" i="5"/>
  <c r="D343" i="5"/>
  <c r="D344" i="5"/>
  <c r="M846" i="5"/>
  <c r="I846" i="5"/>
  <c r="D849" i="5"/>
  <c r="M927" i="5"/>
  <c r="I927" i="5"/>
  <c r="M965" i="5"/>
  <c r="I965" i="5"/>
  <c r="M15" i="3"/>
  <c r="I15" i="3"/>
  <c r="K35" i="2"/>
  <c r="K35" i="1"/>
  <c r="M35" i="5"/>
  <c r="I35" i="5"/>
  <c r="M174" i="5"/>
  <c r="I174" i="5"/>
  <c r="M86" i="5"/>
  <c r="I86" i="5"/>
  <c r="M859" i="5"/>
  <c r="T859" i="3" s="1"/>
  <c r="I859" i="5"/>
  <c r="M978" i="5"/>
  <c r="I978" i="5"/>
  <c r="R140" i="3"/>
  <c r="T140" i="3"/>
  <c r="T288" i="3"/>
  <c r="R154" i="3"/>
  <c r="I359" i="3"/>
  <c r="I358" i="3"/>
  <c r="I698" i="3"/>
  <c r="M129" i="5"/>
  <c r="I129" i="5"/>
  <c r="D115" i="5"/>
  <c r="I301" i="5"/>
  <c r="M301" i="5"/>
  <c r="M446" i="5"/>
  <c r="I446" i="5"/>
  <c r="I761" i="5"/>
  <c r="H821" i="5"/>
  <c r="I954" i="5"/>
  <c r="M954" i="5"/>
  <c r="D381" i="3"/>
  <c r="I381" i="3" s="1"/>
  <c r="I452" i="3"/>
  <c r="I998" i="3"/>
  <c r="D932" i="3"/>
  <c r="I932" i="3" s="1"/>
  <c r="I648" i="5"/>
  <c r="M659" i="5"/>
  <c r="I659" i="5"/>
  <c r="M850" i="5"/>
  <c r="I850" i="5"/>
  <c r="M1158" i="5"/>
  <c r="I1158" i="5"/>
  <c r="I488" i="5"/>
  <c r="M488" i="5"/>
  <c r="I162" i="3"/>
  <c r="I126" i="3"/>
  <c r="D112" i="3"/>
  <c r="I601" i="3"/>
  <c r="I600" i="3"/>
  <c r="I851" i="3"/>
  <c r="M851" i="3"/>
  <c r="I847" i="3"/>
  <c r="M14" i="5"/>
  <c r="I14" i="5"/>
  <c r="H47" i="3"/>
  <c r="A20" i="1"/>
  <c r="S53" i="3"/>
  <c r="M53" i="3"/>
  <c r="S32" i="3"/>
  <c r="M32" i="3"/>
  <c r="T32" i="3" s="1"/>
  <c r="G21" i="1"/>
  <c r="D119" i="3"/>
  <c r="I133" i="3"/>
  <c r="T141" i="3"/>
  <c r="R141" i="3"/>
  <c r="D433" i="3"/>
  <c r="I433" i="3" s="1"/>
  <c r="D501" i="3"/>
  <c r="I501" i="3" s="1"/>
  <c r="I515" i="3"/>
  <c r="T1272" i="3"/>
  <c r="S552" i="3"/>
  <c r="M552" i="3"/>
  <c r="D819" i="3"/>
  <c r="I877" i="3"/>
  <c r="D861" i="3"/>
  <c r="I861" i="3" s="1"/>
  <c r="D128" i="5"/>
  <c r="M217" i="5"/>
  <c r="T217" i="3" s="1"/>
  <c r="I217" i="5"/>
  <c r="H178" i="5"/>
  <c r="M394" i="5"/>
  <c r="M397" i="5" s="1"/>
  <c r="I394" i="5"/>
  <c r="I397" i="5" s="1"/>
  <c r="M514" i="5"/>
  <c r="D500" i="5"/>
  <c r="I514" i="5"/>
  <c r="I522" i="5" s="1"/>
  <c r="I527" i="5"/>
  <c r="M527" i="5"/>
  <c r="I516" i="5"/>
  <c r="M516" i="5"/>
  <c r="D502" i="5"/>
  <c r="D557" i="5"/>
  <c r="M571" i="5"/>
  <c r="I571" i="5"/>
  <c r="M570" i="5"/>
  <c r="I570" i="5"/>
  <c r="M747" i="5"/>
  <c r="I747" i="5"/>
  <c r="M603" i="5"/>
  <c r="I603" i="5"/>
  <c r="D893" i="5"/>
  <c r="D899" i="5"/>
  <c r="D898" i="5"/>
  <c r="M1002" i="5"/>
  <c r="T1002" i="3" s="1"/>
  <c r="I1002" i="5"/>
  <c r="D936" i="5"/>
  <c r="D876" i="5"/>
  <c r="M951" i="5"/>
  <c r="I951" i="5"/>
  <c r="M930" i="5"/>
  <c r="I930" i="5"/>
  <c r="M905" i="5"/>
  <c r="I905" i="5"/>
  <c r="I1237" i="5"/>
  <c r="I1242" i="5" s="1"/>
  <c r="I1255" i="5" s="1"/>
  <c r="M1237" i="5"/>
  <c r="M1242" i="5" s="1"/>
  <c r="M1255" i="5" s="1"/>
  <c r="M1150" i="5"/>
  <c r="D31" i="3"/>
  <c r="M133" i="3"/>
  <c r="H241" i="3"/>
  <c r="H438" i="3"/>
  <c r="H592" i="3"/>
  <c r="H595" i="3" s="1"/>
  <c r="H597" i="3" s="1"/>
  <c r="D592" i="3"/>
  <c r="M350" i="3"/>
  <c r="T350" i="3" s="1"/>
  <c r="T527" i="3"/>
  <c r="I809" i="3"/>
  <c r="D793" i="3"/>
  <c r="I793" i="3" s="1"/>
  <c r="D316" i="3"/>
  <c r="I316" i="3" s="1"/>
  <c r="I337" i="3"/>
  <c r="D339" i="3"/>
  <c r="D541" i="3"/>
  <c r="I541" i="3" s="1"/>
  <c r="M906" i="3"/>
  <c r="T906" i="3" s="1"/>
  <c r="D967" i="3"/>
  <c r="I967" i="3" s="1"/>
  <c r="I1033" i="3"/>
  <c r="I95" i="5"/>
  <c r="M95" i="5"/>
  <c r="M1310" i="3"/>
  <c r="T1307" i="3"/>
  <c r="M13" i="5"/>
  <c r="I13" i="5"/>
  <c r="M34" i="5"/>
  <c r="I34" i="5"/>
  <c r="M424" i="5"/>
  <c r="M169" i="5"/>
  <c r="I169" i="5"/>
  <c r="D457" i="5"/>
  <c r="D460" i="5"/>
  <c r="M519" i="5"/>
  <c r="I519" i="5"/>
  <c r="D505" i="5"/>
  <c r="H837" i="5"/>
  <c r="M979" i="5"/>
  <c r="I979" i="5"/>
  <c r="M955" i="5"/>
  <c r="I955" i="5"/>
  <c r="D1182" i="5"/>
  <c r="D1181" i="5"/>
  <c r="M16" i="3"/>
  <c r="I16" i="3"/>
  <c r="D35" i="3"/>
  <c r="I38" i="2"/>
  <c r="I21" i="2"/>
  <c r="H178" i="3"/>
  <c r="I220" i="3"/>
  <c r="D259" i="3"/>
  <c r="H424" i="3"/>
  <c r="D431" i="3"/>
  <c r="I431" i="3" s="1"/>
  <c r="M386" i="3"/>
  <c r="D588" i="3"/>
  <c r="I588" i="3" s="1"/>
  <c r="M1104" i="3"/>
  <c r="T1104" i="3" s="1"/>
  <c r="S1104" i="3"/>
  <c r="D323" i="3"/>
  <c r="D362" i="3"/>
  <c r="I362" i="3" s="1"/>
  <c r="I365" i="3"/>
  <c r="I406" i="3"/>
  <c r="D477" i="3"/>
  <c r="I48" i="2"/>
  <c r="I752" i="3"/>
  <c r="D844" i="3"/>
  <c r="I844" i="3" s="1"/>
  <c r="D134" i="5"/>
  <c r="D133" i="5"/>
  <c r="D168" i="5"/>
  <c r="D280" i="5"/>
  <c r="I113" i="5"/>
  <c r="M113" i="5"/>
  <c r="T113" i="3" s="1"/>
  <c r="D170" i="5"/>
  <c r="M184" i="5"/>
  <c r="I184" i="5"/>
  <c r="I266" i="5"/>
  <c r="M266" i="5"/>
  <c r="D385" i="5"/>
  <c r="D386" i="5"/>
  <c r="C508" i="5"/>
  <c r="D559" i="5"/>
  <c r="H734" i="5"/>
  <c r="M761" i="5"/>
  <c r="D844" i="5"/>
  <c r="D607" i="5"/>
  <c r="M921" i="5"/>
  <c r="I921" i="5"/>
  <c r="H775" i="5"/>
  <c r="D793" i="5"/>
  <c r="M809" i="5"/>
  <c r="I809" i="5"/>
  <c r="H867" i="5"/>
  <c r="D867" i="5"/>
  <c r="H794" i="5"/>
  <c r="H805" i="5" s="1"/>
  <c r="D794" i="5"/>
  <c r="H869" i="5"/>
  <c r="M970" i="5"/>
  <c r="I970" i="5"/>
  <c r="I976" i="5"/>
  <c r="M976" i="5"/>
  <c r="I1094" i="5"/>
  <c r="I1115" i="5" s="1"/>
  <c r="M1199" i="5"/>
  <c r="I1199" i="5"/>
  <c r="C122" i="3"/>
  <c r="D128" i="3"/>
  <c r="D11" i="3"/>
  <c r="D12" i="3"/>
  <c r="D14" i="3"/>
  <c r="H101" i="3"/>
  <c r="D583" i="3"/>
  <c r="I583" i="3" s="1"/>
  <c r="D581" i="3"/>
  <c r="M287" i="3"/>
  <c r="T287" i="3" s="1"/>
  <c r="I428" i="3"/>
  <c r="M428" i="3"/>
  <c r="T428" i="3" s="1"/>
  <c r="D363" i="3"/>
  <c r="I363" i="3" s="1"/>
  <c r="D514" i="3"/>
  <c r="D543" i="3"/>
  <c r="I543" i="3" s="1"/>
  <c r="I719" i="3"/>
  <c r="S1015" i="3"/>
  <c r="M1015" i="3"/>
  <c r="T1015" i="3" s="1"/>
  <c r="H794" i="3"/>
  <c r="H805" i="3" s="1"/>
  <c r="D794" i="3"/>
  <c r="I830" i="3"/>
  <c r="D833" i="3"/>
  <c r="I833" i="3" s="1"/>
  <c r="I657" i="3"/>
  <c r="H775" i="3"/>
  <c r="G29" i="1"/>
  <c r="C869" i="3"/>
  <c r="D969" i="3"/>
  <c r="I969" i="3" s="1"/>
  <c r="I1035" i="3"/>
  <c r="I1016" i="3"/>
  <c r="D950" i="3"/>
  <c r="M1016" i="3"/>
  <c r="T1016" i="3" s="1"/>
  <c r="I993" i="3"/>
  <c r="D927" i="3"/>
  <c r="I927" i="3" s="1"/>
  <c r="I1010" i="3"/>
  <c r="D944" i="3"/>
  <c r="I944" i="3" s="1"/>
  <c r="D930" i="3"/>
  <c r="I930" i="3" s="1"/>
  <c r="I996" i="3"/>
  <c r="D946" i="3"/>
  <c r="I946" i="3" s="1"/>
  <c r="I1012" i="3"/>
  <c r="I1042" i="3"/>
  <c r="D976" i="3"/>
  <c r="I976" i="3" s="1"/>
  <c r="I1046" i="3"/>
  <c r="D980" i="3"/>
  <c r="I980" i="3" s="1"/>
  <c r="D162" i="5"/>
  <c r="D158" i="5"/>
  <c r="D161" i="5"/>
  <c r="D30" i="5"/>
  <c r="M185" i="5"/>
  <c r="I185" i="5"/>
  <c r="D171" i="5"/>
  <c r="D156" i="5"/>
  <c r="H262" i="5"/>
  <c r="D299" i="5"/>
  <c r="D458" i="5"/>
  <c r="M480" i="5"/>
  <c r="D531" i="5"/>
  <c r="M600" i="5"/>
  <c r="I600" i="5"/>
  <c r="D602" i="5"/>
  <c r="M661" i="5"/>
  <c r="I661" i="5"/>
  <c r="M655" i="5"/>
  <c r="I655" i="5"/>
  <c r="D845" i="5"/>
  <c r="D892" i="5"/>
  <c r="C805" i="5"/>
  <c r="D812" i="5"/>
  <c r="D819" i="5"/>
  <c r="D813" i="5"/>
  <c r="M943" i="5"/>
  <c r="I943" i="5"/>
  <c r="M972" i="5"/>
  <c r="I972" i="5"/>
  <c r="M969" i="5"/>
  <c r="I969" i="5"/>
  <c r="M977" i="5"/>
  <c r="I977" i="5"/>
  <c r="C438" i="3"/>
  <c r="M485" i="5"/>
  <c r="I485" i="5"/>
  <c r="I494" i="5" s="1"/>
  <c r="P24" i="3"/>
  <c r="O11" i="2"/>
  <c r="D93" i="5"/>
  <c r="T90" i="3" l="1"/>
  <c r="K32" i="1"/>
  <c r="AE32" i="1" s="1"/>
  <c r="I1196" i="3"/>
  <c r="K30" i="1"/>
  <c r="D544" i="3"/>
  <c r="I544" i="3" s="1"/>
  <c r="D505" i="3"/>
  <c r="I505" i="3" s="1"/>
  <c r="D584" i="3"/>
  <c r="D594" i="3"/>
  <c r="D585" i="3"/>
  <c r="I585" i="3" s="1"/>
  <c r="M308" i="3"/>
  <c r="T308" i="3" s="1"/>
  <c r="D279" i="3"/>
  <c r="I279" i="3" s="1"/>
  <c r="I519" i="3"/>
  <c r="I837" i="3"/>
  <c r="D542" i="3"/>
  <c r="I542" i="3" s="1"/>
  <c r="I536" i="3"/>
  <c r="I1291" i="3"/>
  <c r="I1294" i="3" s="1"/>
  <c r="K46" i="1" s="1"/>
  <c r="AE46" i="1" s="1"/>
  <c r="I494" i="3"/>
  <c r="I1028" i="3"/>
  <c r="I1047" i="3"/>
  <c r="I1208" i="3"/>
  <c r="K31" i="2" s="1"/>
  <c r="K33" i="2" s="1"/>
  <c r="I898" i="3"/>
  <c r="M898" i="3"/>
  <c r="M494" i="5"/>
  <c r="I1206" i="5"/>
  <c r="M150" i="5"/>
  <c r="M220" i="5"/>
  <c r="I567" i="5"/>
  <c r="I15" i="5"/>
  <c r="M1206" i="5"/>
  <c r="I192" i="5"/>
  <c r="T16" i="3"/>
  <c r="T1082" i="3"/>
  <c r="T851" i="3"/>
  <c r="T15" i="3"/>
  <c r="C1320" i="5"/>
  <c r="I12" i="5"/>
  <c r="M192" i="5"/>
  <c r="M1028" i="5"/>
  <c r="M1049" i="5" s="1"/>
  <c r="M1160" i="5"/>
  <c r="M1162" i="5" s="1"/>
  <c r="T842" i="3"/>
  <c r="M522" i="5"/>
  <c r="T915" i="3"/>
  <c r="I1028" i="5"/>
  <c r="I1049" i="5" s="1"/>
  <c r="AA16" i="1"/>
  <c r="I614" i="5"/>
  <c r="M614" i="5"/>
  <c r="I297" i="5"/>
  <c r="M297" i="5"/>
  <c r="M299" i="5"/>
  <c r="I299" i="5"/>
  <c r="M56" i="5"/>
  <c r="I56" i="5"/>
  <c r="M879" i="5"/>
  <c r="I879" i="5"/>
  <c r="I458" i="5"/>
  <c r="M458" i="5"/>
  <c r="M171" i="5"/>
  <c r="I171" i="5"/>
  <c r="M161" i="5"/>
  <c r="T161" i="3" s="1"/>
  <c r="I161" i="5"/>
  <c r="I894" i="3"/>
  <c r="D500" i="3"/>
  <c r="I500" i="3" s="1"/>
  <c r="I514" i="3"/>
  <c r="I14" i="3"/>
  <c r="M14" i="3"/>
  <c r="T14" i="3" s="1"/>
  <c r="I128" i="3"/>
  <c r="D114" i="3"/>
  <c r="I114" i="3" s="1"/>
  <c r="I794" i="5"/>
  <c r="M794" i="5"/>
  <c r="I386" i="5"/>
  <c r="M386" i="5"/>
  <c r="I61" i="5"/>
  <c r="M61" i="5"/>
  <c r="I477" i="3"/>
  <c r="D435" i="3"/>
  <c r="I435" i="3" s="1"/>
  <c r="I323" i="3"/>
  <c r="M323" i="3"/>
  <c r="M1182" i="5"/>
  <c r="I1182" i="5"/>
  <c r="I505" i="5"/>
  <c r="M505" i="5"/>
  <c r="M457" i="5"/>
  <c r="I457" i="5"/>
  <c r="D317" i="3"/>
  <c r="I317" i="3" s="1"/>
  <c r="I338" i="3"/>
  <c r="D341" i="3"/>
  <c r="I557" i="5"/>
  <c r="M557" i="5"/>
  <c r="D544" i="5"/>
  <c r="M500" i="5"/>
  <c r="I500" i="5"/>
  <c r="M62" i="5"/>
  <c r="I62" i="5"/>
  <c r="M819" i="3"/>
  <c r="D803" i="3"/>
  <c r="I819" i="3"/>
  <c r="I112" i="3"/>
  <c r="M112" i="3"/>
  <c r="I115" i="5"/>
  <c r="M115" i="5"/>
  <c r="M981" i="5"/>
  <c r="M53" i="5"/>
  <c r="I53" i="5"/>
  <c r="M835" i="5"/>
  <c r="T835" i="3" s="1"/>
  <c r="I835" i="5"/>
  <c r="D613" i="5"/>
  <c r="M364" i="5"/>
  <c r="T364" i="3" s="1"/>
  <c r="I364" i="5"/>
  <c r="I474" i="3"/>
  <c r="D432" i="3"/>
  <c r="I432" i="3" s="1"/>
  <c r="I438" i="3" s="1"/>
  <c r="I613" i="3"/>
  <c r="I609" i="5"/>
  <c r="M609" i="5"/>
  <c r="M608" i="5"/>
  <c r="I608" i="5"/>
  <c r="M506" i="5"/>
  <c r="I506" i="5"/>
  <c r="I571" i="3"/>
  <c r="D545" i="3"/>
  <c r="I545" i="3" s="1"/>
  <c r="I413" i="3"/>
  <c r="I415" i="3" s="1"/>
  <c r="D395" i="3"/>
  <c r="I395" i="3" s="1"/>
  <c r="I397" i="3" s="1"/>
  <c r="I382" i="3"/>
  <c r="I858" i="5"/>
  <c r="M858" i="5"/>
  <c r="M464" i="5"/>
  <c r="T464" i="3" s="1"/>
  <c r="I464" i="5"/>
  <c r="M89" i="5"/>
  <c r="T89" i="3" s="1"/>
  <c r="I89" i="5"/>
  <c r="I728" i="3"/>
  <c r="T850" i="3"/>
  <c r="I184" i="3"/>
  <c r="D170" i="3"/>
  <c r="I170" i="3" s="1"/>
  <c r="I56" i="3"/>
  <c r="M56" i="3"/>
  <c r="I57" i="3"/>
  <c r="M57" i="3"/>
  <c r="I1162" i="5"/>
  <c r="I573" i="5"/>
  <c r="M573" i="5"/>
  <c r="I130" i="5"/>
  <c r="D116" i="5"/>
  <c r="M130" i="5"/>
  <c r="T1302" i="3"/>
  <c r="P1302" i="3"/>
  <c r="T169" i="3"/>
  <c r="I24" i="5"/>
  <c r="M24" i="5"/>
  <c r="T24" i="3" s="1"/>
  <c r="I666" i="3"/>
  <c r="I725" i="3" s="1"/>
  <c r="T949" i="3"/>
  <c r="D602" i="3"/>
  <c r="I594" i="5"/>
  <c r="D595" i="5"/>
  <c r="M594" i="5"/>
  <c r="I729" i="3"/>
  <c r="D606" i="3"/>
  <c r="D607" i="3"/>
  <c r="D608" i="3"/>
  <c r="I608" i="3" s="1"/>
  <c r="D616" i="3"/>
  <c r="D605" i="3"/>
  <c r="I605" i="3" s="1"/>
  <c r="D609" i="3"/>
  <c r="I609" i="3" s="1"/>
  <c r="D610" i="3"/>
  <c r="I610" i="3" s="1"/>
  <c r="D116" i="3"/>
  <c r="I116" i="3" s="1"/>
  <c r="AA34" i="1"/>
  <c r="M877" i="5"/>
  <c r="D861" i="5"/>
  <c r="I877" i="5"/>
  <c r="M587" i="5"/>
  <c r="I587" i="5"/>
  <c r="D1320" i="5"/>
  <c r="I813" i="3"/>
  <c r="D797" i="3"/>
  <c r="I797" i="3" s="1"/>
  <c r="T498" i="3"/>
  <c r="T225" i="3"/>
  <c r="I802" i="5"/>
  <c r="M802" i="5"/>
  <c r="M584" i="5"/>
  <c r="I584" i="5"/>
  <c r="I583" i="5"/>
  <c r="M583" i="5"/>
  <c r="I666" i="5"/>
  <c r="I725" i="5" s="1"/>
  <c r="M224" i="5"/>
  <c r="I224" i="5"/>
  <c r="AA37" i="1"/>
  <c r="D55" i="5"/>
  <c r="I761" i="3"/>
  <c r="D383" i="3"/>
  <c r="I383" i="3" s="1"/>
  <c r="D541" i="5"/>
  <c r="M554" i="5"/>
  <c r="I554" i="5"/>
  <c r="I43" i="3"/>
  <c r="I813" i="5"/>
  <c r="D797" i="5"/>
  <c r="M813" i="5"/>
  <c r="M892" i="5"/>
  <c r="I892" i="5"/>
  <c r="M298" i="5"/>
  <c r="I298" i="5"/>
  <c r="D300" i="5"/>
  <c r="M158" i="5"/>
  <c r="I158" i="5"/>
  <c r="I581" i="3"/>
  <c r="M581" i="3"/>
  <c r="I12" i="3"/>
  <c r="M12" i="3"/>
  <c r="T12" i="3" s="1"/>
  <c r="C1320" i="3"/>
  <c r="M385" i="5"/>
  <c r="T385" i="3" s="1"/>
  <c r="I385" i="5"/>
  <c r="I280" i="5"/>
  <c r="M280" i="5"/>
  <c r="T280" i="3" s="1"/>
  <c r="I910" i="3"/>
  <c r="T386" i="3"/>
  <c r="I259" i="3"/>
  <c r="D238" i="3"/>
  <c r="M259" i="3"/>
  <c r="M880" i="5"/>
  <c r="I880" i="5"/>
  <c r="T1310" i="3"/>
  <c r="P1310" i="3"/>
  <c r="I339" i="3"/>
  <c r="I592" i="3"/>
  <c r="M592" i="3"/>
  <c r="R133" i="3"/>
  <c r="M876" i="5"/>
  <c r="D860" i="5"/>
  <c r="I876" i="5"/>
  <c r="M898" i="5"/>
  <c r="T898" i="3" s="1"/>
  <c r="I898" i="5"/>
  <c r="M502" i="5"/>
  <c r="I502" i="5"/>
  <c r="T552" i="3"/>
  <c r="M119" i="3"/>
  <c r="I119" i="3"/>
  <c r="AE35" i="1"/>
  <c r="I51" i="5"/>
  <c r="M51" i="5"/>
  <c r="T565" i="3"/>
  <c r="M950" i="5"/>
  <c r="I950" i="5"/>
  <c r="I581" i="5"/>
  <c r="M581" i="5"/>
  <c r="I365" i="5"/>
  <c r="M365" i="5"/>
  <c r="T365" i="3" s="1"/>
  <c r="I878" i="3"/>
  <c r="D862" i="3"/>
  <c r="I862" i="3" s="1"/>
  <c r="I972" i="3"/>
  <c r="I981" i="3" s="1"/>
  <c r="M972" i="3"/>
  <c r="T972" i="3" s="1"/>
  <c r="M606" i="5"/>
  <c r="I606" i="5"/>
  <c r="M39" i="5"/>
  <c r="I39" i="5"/>
  <c r="I911" i="3"/>
  <c r="I517" i="3"/>
  <c r="D503" i="3"/>
  <c r="I503" i="3" s="1"/>
  <c r="I462" i="5"/>
  <c r="M462" i="5"/>
  <c r="I85" i="5"/>
  <c r="M85" i="5"/>
  <c r="I60" i="5"/>
  <c r="M60" i="5"/>
  <c r="D58" i="5"/>
  <c r="D59" i="5"/>
  <c r="I55" i="3"/>
  <c r="M55" i="3"/>
  <c r="A21" i="2"/>
  <c r="I847" i="5"/>
  <c r="M847" i="5"/>
  <c r="I572" i="5"/>
  <c r="M572" i="5"/>
  <c r="T1290" i="3"/>
  <c r="I30" i="3"/>
  <c r="M30" i="3"/>
  <c r="M175" i="5"/>
  <c r="I175" i="5"/>
  <c r="I145" i="3"/>
  <c r="D146" i="3"/>
  <c r="I146" i="3" s="1"/>
  <c r="M555" i="5"/>
  <c r="I555" i="5"/>
  <c r="D542" i="5"/>
  <c r="I186" i="3"/>
  <c r="D172" i="3"/>
  <c r="I172" i="3" s="1"/>
  <c r="I86" i="3"/>
  <c r="M86" i="3"/>
  <c r="T86" i="3" s="1"/>
  <c r="I752" i="5"/>
  <c r="M445" i="5"/>
  <c r="I445" i="5"/>
  <c r="D431" i="5"/>
  <c r="I867" i="3"/>
  <c r="M867" i="3"/>
  <c r="I203" i="3"/>
  <c r="I206" i="3" s="1"/>
  <c r="M203" i="3"/>
  <c r="I33" i="3"/>
  <c r="M33" i="3"/>
  <c r="T33" i="3" s="1"/>
  <c r="M729" i="5"/>
  <c r="M734" i="5" s="1"/>
  <c r="I729" i="5"/>
  <c r="K41" i="1"/>
  <c r="AE41" i="1" s="1"/>
  <c r="K41" i="2"/>
  <c r="M586" i="5"/>
  <c r="I586" i="5"/>
  <c r="I910" i="5"/>
  <c r="M910" i="5"/>
  <c r="I734" i="5"/>
  <c r="M560" i="5"/>
  <c r="I560" i="5"/>
  <c r="D547" i="5"/>
  <c r="M87" i="3"/>
  <c r="M274" i="5"/>
  <c r="I274" i="5"/>
  <c r="D276" i="5"/>
  <c r="P45" i="3"/>
  <c r="M93" i="5"/>
  <c r="I93" i="5"/>
  <c r="M819" i="5"/>
  <c r="I819" i="5"/>
  <c r="D803" i="5"/>
  <c r="M845" i="5"/>
  <c r="I845" i="5"/>
  <c r="I531" i="5"/>
  <c r="M531" i="5"/>
  <c r="D503" i="5"/>
  <c r="M162" i="5"/>
  <c r="T162" i="3" s="1"/>
  <c r="I162" i="5"/>
  <c r="I950" i="3"/>
  <c r="I962" i="3" s="1"/>
  <c r="M950" i="3"/>
  <c r="M794" i="3"/>
  <c r="T794" i="3" s="1"/>
  <c r="I794" i="3"/>
  <c r="I11" i="3"/>
  <c r="M11" i="3"/>
  <c r="I15" i="1"/>
  <c r="P63" i="3"/>
  <c r="I15" i="2"/>
  <c r="I17" i="2" s="1"/>
  <c r="I49" i="2" s="1"/>
  <c r="D1320" i="3"/>
  <c r="I867" i="5"/>
  <c r="M867" i="5"/>
  <c r="M793" i="5"/>
  <c r="I793" i="5"/>
  <c r="D611" i="5"/>
  <c r="M607" i="5"/>
  <c r="I607" i="5"/>
  <c r="M559" i="5"/>
  <c r="I559" i="5"/>
  <c r="D546" i="5"/>
  <c r="M170" i="5"/>
  <c r="I170" i="5"/>
  <c r="I168" i="5"/>
  <c r="M168" i="5"/>
  <c r="I134" i="5"/>
  <c r="M134" i="5"/>
  <c r="T134" i="3" s="1"/>
  <c r="D120" i="5"/>
  <c r="I35" i="3"/>
  <c r="M35" i="3"/>
  <c r="T35" i="3" s="1"/>
  <c r="I94" i="3"/>
  <c r="D93" i="3"/>
  <c r="D92" i="3"/>
  <c r="M936" i="5"/>
  <c r="I936" i="5"/>
  <c r="I899" i="5"/>
  <c r="M899" i="5"/>
  <c r="D864" i="5"/>
  <c r="D160" i="3"/>
  <c r="I160" i="3" s="1"/>
  <c r="I159" i="3"/>
  <c r="I344" i="5"/>
  <c r="D323" i="5"/>
  <c r="M344" i="5"/>
  <c r="T344" i="3" s="1"/>
  <c r="M52" i="5"/>
  <c r="I52" i="5"/>
  <c r="M569" i="5"/>
  <c r="I569" i="5"/>
  <c r="M578" i="5"/>
  <c r="I578" i="5"/>
  <c r="D592" i="5"/>
  <c r="D591" i="5"/>
  <c r="I172" i="5"/>
  <c r="M172" i="5"/>
  <c r="I895" i="3"/>
  <c r="I866" i="3"/>
  <c r="M866" i="3"/>
  <c r="I572" i="3"/>
  <c r="D546" i="3"/>
  <c r="I546" i="3" s="1"/>
  <c r="I88" i="3"/>
  <c r="M88" i="3"/>
  <c r="M857" i="5"/>
  <c r="I857" i="5"/>
  <c r="I605" i="5"/>
  <c r="M605" i="5"/>
  <c r="M449" i="5"/>
  <c r="I449" i="5"/>
  <c r="D435" i="5"/>
  <c r="M530" i="5"/>
  <c r="I530" i="5"/>
  <c r="I536" i="5" s="1"/>
  <c r="I499" i="3"/>
  <c r="M499" i="3"/>
  <c r="T499" i="3" s="1"/>
  <c r="I224" i="3"/>
  <c r="M224" i="3"/>
  <c r="T224" i="3" s="1"/>
  <c r="M558" i="5"/>
  <c r="D545" i="5"/>
  <c r="I558" i="5"/>
  <c r="M259" i="5"/>
  <c r="I259" i="5"/>
  <c r="D238" i="5"/>
  <c r="M88" i="5"/>
  <c r="I88" i="5"/>
  <c r="I52" i="3"/>
  <c r="M52" i="3"/>
  <c r="I51" i="3"/>
  <c r="M51" i="3"/>
  <c r="R148" i="3"/>
  <c r="T148" i="3"/>
  <c r="A21" i="1"/>
  <c r="M433" i="5"/>
  <c r="I433" i="5"/>
  <c r="I812" i="3"/>
  <c r="D796" i="3"/>
  <c r="I796" i="3" s="1"/>
  <c r="I19" i="3"/>
  <c r="M19" i="3"/>
  <c r="M296" i="5"/>
  <c r="I296" i="5"/>
  <c r="AA36" i="1"/>
  <c r="M922" i="5"/>
  <c r="M962" i="5" s="1"/>
  <c r="M983" i="5" s="1"/>
  <c r="I922" i="5"/>
  <c r="I962" i="5" s="1"/>
  <c r="D802" i="3"/>
  <c r="I818" i="3"/>
  <c r="M818" i="3"/>
  <c r="T818" i="3" s="1"/>
  <c r="I175" i="3"/>
  <c r="M175" i="3"/>
  <c r="T175" i="3" s="1"/>
  <c r="I501" i="5"/>
  <c r="M501" i="5"/>
  <c r="D117" i="3"/>
  <c r="I117" i="3" s="1"/>
  <c r="I131" i="3"/>
  <c r="D132" i="3"/>
  <c r="I85" i="3"/>
  <c r="M85" i="3"/>
  <c r="I914" i="5"/>
  <c r="M914" i="5"/>
  <c r="T914" i="3" s="1"/>
  <c r="M752" i="5"/>
  <c r="I443" i="5"/>
  <c r="M443" i="5"/>
  <c r="D429" i="5"/>
  <c r="D54" i="5"/>
  <c r="T492" i="3"/>
  <c r="I185" i="3"/>
  <c r="D171" i="3"/>
  <c r="I171" i="3" s="1"/>
  <c r="I575" i="5"/>
  <c r="H1320" i="5"/>
  <c r="I322" i="3"/>
  <c r="M322" i="3"/>
  <c r="P98" i="3"/>
  <c r="Q11" i="2"/>
  <c r="M588" i="5"/>
  <c r="I588" i="5"/>
  <c r="I580" i="3"/>
  <c r="I912" i="5"/>
  <c r="M912" i="5"/>
  <c r="I878" i="5"/>
  <c r="M878" i="5"/>
  <c r="D881" i="5"/>
  <c r="D862" i="5"/>
  <c r="T266" i="3"/>
  <c r="M260" i="5"/>
  <c r="I260" i="5"/>
  <c r="D239" i="5"/>
  <c r="I277" i="5"/>
  <c r="M277" i="5"/>
  <c r="D360" i="3"/>
  <c r="I360" i="3" s="1"/>
  <c r="I367" i="3" s="1"/>
  <c r="I44" i="3"/>
  <c r="T126" i="3"/>
  <c r="D849" i="3"/>
  <c r="I849" i="3" s="1"/>
  <c r="I853" i="3" s="1"/>
  <c r="M812" i="5"/>
  <c r="I812" i="5"/>
  <c r="D796" i="5"/>
  <c r="M602" i="5"/>
  <c r="I602" i="5"/>
  <c r="I156" i="5"/>
  <c r="M156" i="5"/>
  <c r="M30" i="5"/>
  <c r="I30" i="5"/>
  <c r="M844" i="5"/>
  <c r="I844" i="5"/>
  <c r="I853" i="5" s="1"/>
  <c r="M133" i="5"/>
  <c r="T133" i="3" s="1"/>
  <c r="I133" i="5"/>
  <c r="D119" i="5"/>
  <c r="M1181" i="5"/>
  <c r="M1196" i="5" s="1"/>
  <c r="M1208" i="5" s="1"/>
  <c r="I1181" i="5"/>
  <c r="I1196" i="5" s="1"/>
  <c r="I1208" i="5" s="1"/>
  <c r="I460" i="5"/>
  <c r="M460" i="5"/>
  <c r="I31" i="3"/>
  <c r="M31" i="3"/>
  <c r="T31" i="3" s="1"/>
  <c r="I893" i="5"/>
  <c r="M893" i="5"/>
  <c r="I128" i="5"/>
  <c r="D114" i="5"/>
  <c r="M128" i="5"/>
  <c r="T53" i="3"/>
  <c r="D432" i="5"/>
  <c r="I981" i="5"/>
  <c r="M849" i="5"/>
  <c r="I849" i="5"/>
  <c r="M343" i="5"/>
  <c r="T343" i="3" s="1"/>
  <c r="I343" i="5"/>
  <c r="D322" i="5"/>
  <c r="M112" i="5"/>
  <c r="I112" i="5"/>
  <c r="M504" i="5"/>
  <c r="I504" i="5"/>
  <c r="I828" i="5"/>
  <c r="M828" i="5"/>
  <c r="D580" i="5"/>
  <c r="T899" i="3"/>
  <c r="I518" i="3"/>
  <c r="D504" i="3"/>
  <c r="I504" i="3" s="1"/>
  <c r="I168" i="3"/>
  <c r="M168" i="3"/>
  <c r="T168" i="3" s="1"/>
  <c r="M610" i="5"/>
  <c r="I610" i="5"/>
  <c r="M616" i="5"/>
  <c r="I616" i="5"/>
  <c r="D617" i="5"/>
  <c r="M1291" i="3"/>
  <c r="T1289" i="3"/>
  <c r="D881" i="3"/>
  <c r="M450" i="5"/>
  <c r="T450" i="3" s="1"/>
  <c r="D436" i="5"/>
  <c r="I450" i="5"/>
  <c r="M463" i="5"/>
  <c r="I463" i="5"/>
  <c r="I87" i="5"/>
  <c r="M87" i="5"/>
  <c r="I54" i="3"/>
  <c r="M54" i="3"/>
  <c r="D75" i="3"/>
  <c r="D74" i="3"/>
  <c r="D73" i="3"/>
  <c r="D72" i="3"/>
  <c r="D71" i="3"/>
  <c r="D70" i="3"/>
  <c r="S11" i="1"/>
  <c r="U11" i="1" s="1"/>
  <c r="W12" i="1" s="1"/>
  <c r="I301" i="3"/>
  <c r="M301" i="3"/>
  <c r="T301" i="3" s="1"/>
  <c r="T302" i="3"/>
  <c r="I60" i="3"/>
  <c r="D59" i="3"/>
  <c r="D58" i="3"/>
  <c r="T13" i="3"/>
  <c r="T936" i="3"/>
  <c r="M1115" i="5"/>
  <c r="D589" i="3"/>
  <c r="D434" i="5"/>
  <c r="T34" i="3"/>
  <c r="I260" i="3"/>
  <c r="D239" i="3"/>
  <c r="M260" i="3"/>
  <c r="I203" i="5"/>
  <c r="I206" i="5" s="1"/>
  <c r="M203" i="5"/>
  <c r="M206" i="5" s="1"/>
  <c r="I858" i="3"/>
  <c r="M858" i="3"/>
  <c r="T858" i="3" s="1"/>
  <c r="I120" i="3"/>
  <c r="M120" i="3"/>
  <c r="H1320" i="3"/>
  <c r="I908" i="5"/>
  <c r="M908" i="5"/>
  <c r="M444" i="5"/>
  <c r="I444" i="5"/>
  <c r="D430" i="5"/>
  <c r="D506" i="3"/>
  <c r="I506" i="3" s="1"/>
  <c r="I520" i="3"/>
  <c r="I882" i="5"/>
  <c r="D866" i="5"/>
  <c r="M882" i="5"/>
  <c r="T882" i="3" s="1"/>
  <c r="M575" i="5"/>
  <c r="I63" i="5"/>
  <c r="M63" i="5"/>
  <c r="K44" i="2"/>
  <c r="K44" i="1"/>
  <c r="AE44" i="1" s="1"/>
  <c r="I298" i="3"/>
  <c r="D300" i="3"/>
  <c r="I300" i="3" s="1"/>
  <c r="P99" i="3"/>
  <c r="M556" i="5"/>
  <c r="I556" i="5"/>
  <c r="D543" i="5"/>
  <c r="I585" i="5"/>
  <c r="D589" i="5"/>
  <c r="D624" i="5" s="1"/>
  <c r="M585" i="5"/>
  <c r="D276" i="3"/>
  <c r="I276" i="3" s="1"/>
  <c r="I283" i="3" s="1"/>
  <c r="I578" i="3"/>
  <c r="G27" i="2"/>
  <c r="G38" i="2" s="1"/>
  <c r="G49" i="2" s="1"/>
  <c r="G27" i="1"/>
  <c r="G38" i="1" s="1"/>
  <c r="G49" i="1" s="1"/>
  <c r="D614" i="3"/>
  <c r="D591" i="3"/>
  <c r="M666" i="5"/>
  <c r="M725" i="5" s="1"/>
  <c r="D913" i="5"/>
  <c r="M853" i="5"/>
  <c r="R147" i="3"/>
  <c r="T147" i="3"/>
  <c r="D278" i="5"/>
  <c r="D603" i="3"/>
  <c r="I42" i="3"/>
  <c r="P46" i="3"/>
  <c r="AE30" i="1"/>
  <c r="I522" i="3" l="1"/>
  <c r="K46" i="2"/>
  <c r="I164" i="3"/>
  <c r="I480" i="3"/>
  <c r="I584" i="3"/>
  <c r="M584" i="3"/>
  <c r="T584" i="3" s="1"/>
  <c r="D595" i="3"/>
  <c r="I594" i="3"/>
  <c r="I983" i="3"/>
  <c r="K31" i="1"/>
  <c r="AE31" i="1" s="1"/>
  <c r="I1049" i="3"/>
  <c r="I178" i="3"/>
  <c r="I150" i="3"/>
  <c r="I192" i="3"/>
  <c r="I549" i="3"/>
  <c r="I304" i="3"/>
  <c r="I508" i="3"/>
  <c r="K23" i="2" s="1"/>
  <c r="K33" i="1"/>
  <c r="AE33" i="1" s="1"/>
  <c r="T950" i="3"/>
  <c r="T56" i="3"/>
  <c r="I178" i="5"/>
  <c r="T260" i="3"/>
  <c r="T922" i="3"/>
  <c r="M536" i="5"/>
  <c r="I983" i="5"/>
  <c r="T52" i="3"/>
  <c r="M913" i="5"/>
  <c r="I913" i="5"/>
  <c r="M864" i="5"/>
  <c r="I864" i="5"/>
  <c r="K40" i="2"/>
  <c r="K40" i="1"/>
  <c r="I881" i="3"/>
  <c r="K25" i="1"/>
  <c r="AE25" i="1" s="1"/>
  <c r="K25" i="2"/>
  <c r="K23" i="1"/>
  <c r="K29" i="2"/>
  <c r="K29" i="1"/>
  <c r="I614" i="3"/>
  <c r="M614" i="3"/>
  <c r="T614" i="3" s="1"/>
  <c r="I543" i="5"/>
  <c r="M543" i="5"/>
  <c r="M866" i="5"/>
  <c r="I866" i="5"/>
  <c r="M430" i="5"/>
  <c r="I430" i="5"/>
  <c r="I253" i="3"/>
  <c r="D232" i="3"/>
  <c r="D255" i="3"/>
  <c r="I59" i="3"/>
  <c r="M59" i="3"/>
  <c r="I73" i="3"/>
  <c r="M73" i="3"/>
  <c r="M114" i="5"/>
  <c r="I114" i="5"/>
  <c r="M256" i="5"/>
  <c r="I256" i="5"/>
  <c r="D235" i="5"/>
  <c r="R12" i="2"/>
  <c r="R11" i="2"/>
  <c r="T11" i="2" s="1"/>
  <c r="M429" i="5"/>
  <c r="I429" i="5"/>
  <c r="M802" i="3"/>
  <c r="T802" i="3" s="1"/>
  <c r="I802" i="3"/>
  <c r="T88" i="3"/>
  <c r="T866" i="3"/>
  <c r="I340" i="5"/>
  <c r="D319" i="5"/>
  <c r="M340" i="5"/>
  <c r="M894" i="5"/>
  <c r="I894" i="5"/>
  <c r="D897" i="5"/>
  <c r="I93" i="3"/>
  <c r="M93" i="3"/>
  <c r="T93" i="3" s="1"/>
  <c r="P78" i="3"/>
  <c r="D78" i="3"/>
  <c r="I78" i="3" s="1"/>
  <c r="D77" i="3"/>
  <c r="I77" i="3" s="1"/>
  <c r="M159" i="5"/>
  <c r="I159" i="5"/>
  <c r="D160" i="5"/>
  <c r="D817" i="5"/>
  <c r="M814" i="5"/>
  <c r="I814" i="5"/>
  <c r="D798" i="5"/>
  <c r="T203" i="3"/>
  <c r="I59" i="5"/>
  <c r="M59" i="5"/>
  <c r="M101" i="5"/>
  <c r="M41" i="5"/>
  <c r="I41" i="5"/>
  <c r="D38" i="5"/>
  <c r="D37" i="5"/>
  <c r="R119" i="3"/>
  <c r="M797" i="5"/>
  <c r="I797" i="5"/>
  <c r="M562" i="5"/>
  <c r="M861" i="5"/>
  <c r="I861" i="5"/>
  <c r="I606" i="3"/>
  <c r="M606" i="3"/>
  <c r="T606" i="3" s="1"/>
  <c r="I602" i="3"/>
  <c r="M22" i="5"/>
  <c r="I22" i="5"/>
  <c r="I575" i="3"/>
  <c r="A22" i="1"/>
  <c r="M613" i="5"/>
  <c r="I613" i="5"/>
  <c r="R112" i="3"/>
  <c r="T112" i="3"/>
  <c r="I544" i="5"/>
  <c r="M544" i="5"/>
  <c r="D897" i="3"/>
  <c r="I897" i="3" s="1"/>
  <c r="I603" i="3"/>
  <c r="M603" i="3"/>
  <c r="T603" i="3" s="1"/>
  <c r="D257" i="3"/>
  <c r="I434" i="5"/>
  <c r="M434" i="5"/>
  <c r="I70" i="3"/>
  <c r="M70" i="3"/>
  <c r="I74" i="3"/>
  <c r="M74" i="3"/>
  <c r="D75" i="5"/>
  <c r="D74" i="5"/>
  <c r="D71" i="5"/>
  <c r="D73" i="5"/>
  <c r="D70" i="5"/>
  <c r="D72" i="5"/>
  <c r="M432" i="5"/>
  <c r="I432" i="5"/>
  <c r="K22" i="2"/>
  <c r="K22" i="1"/>
  <c r="M862" i="5"/>
  <c r="I862" i="5"/>
  <c r="M582" i="3"/>
  <c r="I582" i="3"/>
  <c r="M452" i="5"/>
  <c r="I132" i="3"/>
  <c r="I136" i="3" s="1"/>
  <c r="D118" i="3"/>
  <c r="I118" i="3" s="1"/>
  <c r="T51" i="3"/>
  <c r="N46" i="2"/>
  <c r="X46" i="2" s="1"/>
  <c r="M435" i="5"/>
  <c r="I435" i="5"/>
  <c r="M591" i="5"/>
  <c r="I591" i="5"/>
  <c r="M896" i="5"/>
  <c r="I896" i="5"/>
  <c r="AI15" i="1"/>
  <c r="I17" i="1"/>
  <c r="M816" i="5"/>
  <c r="I816" i="5"/>
  <c r="D800" i="5"/>
  <c r="M815" i="5"/>
  <c r="I815" i="5"/>
  <c r="I41" i="3"/>
  <c r="D38" i="3"/>
  <c r="D37" i="3"/>
  <c r="D108" i="3"/>
  <c r="M275" i="5"/>
  <c r="I275" i="5"/>
  <c r="M431" i="5"/>
  <c r="I431" i="5"/>
  <c r="T30" i="3"/>
  <c r="A22" i="2"/>
  <c r="M58" i="5"/>
  <c r="I58" i="5"/>
  <c r="I101" i="5"/>
  <c r="I43" i="5"/>
  <c r="M43" i="5"/>
  <c r="M358" i="5"/>
  <c r="I358" i="5"/>
  <c r="D360" i="5"/>
  <c r="M860" i="5"/>
  <c r="I860" i="5"/>
  <c r="T581" i="3"/>
  <c r="M300" i="5"/>
  <c r="M304" i="5" s="1"/>
  <c r="I300" i="5"/>
  <c r="I304" i="5" s="1"/>
  <c r="M541" i="5"/>
  <c r="I541" i="5"/>
  <c r="I55" i="5"/>
  <c r="M55" i="5"/>
  <c r="I616" i="3"/>
  <c r="D617" i="3"/>
  <c r="K42" i="2"/>
  <c r="K42" i="1"/>
  <c r="AE42" i="1" s="1"/>
  <c r="M20" i="5"/>
  <c r="I20" i="5"/>
  <c r="D19" i="5"/>
  <c r="D18" i="5"/>
  <c r="M830" i="5"/>
  <c r="I830" i="5"/>
  <c r="I122" i="3"/>
  <c r="M803" i="3"/>
  <c r="I803" i="3"/>
  <c r="D320" i="3"/>
  <c r="I320" i="3" s="1"/>
  <c r="I341" i="3"/>
  <c r="D342" i="3"/>
  <c r="I466" i="5"/>
  <c r="M379" i="5"/>
  <c r="I379" i="5"/>
  <c r="I901" i="3"/>
  <c r="I278" i="5"/>
  <c r="M278" i="5"/>
  <c r="M911" i="5"/>
  <c r="M917" i="5" s="1"/>
  <c r="I911" i="5"/>
  <c r="M622" i="5"/>
  <c r="I256" i="3"/>
  <c r="D235" i="3"/>
  <c r="D258" i="3"/>
  <c r="I239" i="3"/>
  <c r="M239" i="3"/>
  <c r="I71" i="3"/>
  <c r="M71" i="3"/>
  <c r="I75" i="3"/>
  <c r="M75" i="3"/>
  <c r="M1294" i="3"/>
  <c r="T1291" i="3"/>
  <c r="M322" i="5"/>
  <c r="T322" i="3" s="1"/>
  <c r="I322" i="5"/>
  <c r="I796" i="5"/>
  <c r="M796" i="5"/>
  <c r="D279" i="5"/>
  <c r="M239" i="5"/>
  <c r="I239" i="5"/>
  <c r="M881" i="5"/>
  <c r="M885" i="5" s="1"/>
  <c r="D865" i="5"/>
  <c r="I881" i="5"/>
  <c r="I885" i="5" s="1"/>
  <c r="I452" i="5"/>
  <c r="M592" i="5"/>
  <c r="T592" i="3" s="1"/>
  <c r="I592" i="5"/>
  <c r="M337" i="5"/>
  <c r="I337" i="5"/>
  <c r="D316" i="5"/>
  <c r="M323" i="5"/>
  <c r="I323" i="5"/>
  <c r="I895" i="5"/>
  <c r="M895" i="5"/>
  <c r="M120" i="5"/>
  <c r="I120" i="5"/>
  <c r="M178" i="5"/>
  <c r="T11" i="3"/>
  <c r="I803" i="5"/>
  <c r="M803" i="5"/>
  <c r="I276" i="5"/>
  <c r="M276" i="5"/>
  <c r="T87" i="3"/>
  <c r="M542" i="5"/>
  <c r="I542" i="5"/>
  <c r="T55" i="3"/>
  <c r="M44" i="5"/>
  <c r="I44" i="5"/>
  <c r="T259" i="3"/>
  <c r="M23" i="5"/>
  <c r="I23" i="5"/>
  <c r="I734" i="3"/>
  <c r="I615" i="3"/>
  <c r="M615" i="3"/>
  <c r="I832" i="5"/>
  <c r="M832" i="5"/>
  <c r="D817" i="3"/>
  <c r="I814" i="3"/>
  <c r="D798" i="3"/>
  <c r="I798" i="3" s="1"/>
  <c r="M466" i="5"/>
  <c r="I382" i="5"/>
  <c r="M382" i="5"/>
  <c r="D863" i="5"/>
  <c r="I591" i="3"/>
  <c r="I589" i="3"/>
  <c r="T120" i="3"/>
  <c r="R120" i="3"/>
  <c r="I58" i="3"/>
  <c r="I66" i="3" s="1"/>
  <c r="M58" i="3"/>
  <c r="T58" i="3" s="1"/>
  <c r="Y12" i="1"/>
  <c r="W11" i="1"/>
  <c r="I72" i="3"/>
  <c r="M72" i="3"/>
  <c r="I76" i="3"/>
  <c r="M76" i="3"/>
  <c r="M436" i="5"/>
  <c r="T436" i="3" s="1"/>
  <c r="I436" i="5"/>
  <c r="I879" i="3"/>
  <c r="D863" i="3"/>
  <c r="I863" i="3" s="1"/>
  <c r="I580" i="5"/>
  <c r="M580" i="5"/>
  <c r="M57" i="5"/>
  <c r="T57" i="3" s="1"/>
  <c r="I57" i="5"/>
  <c r="M119" i="5"/>
  <c r="T119" i="3" s="1"/>
  <c r="I119" i="5"/>
  <c r="M604" i="5"/>
  <c r="M611" i="5" s="1"/>
  <c r="I604" i="5"/>
  <c r="I611" i="5" s="1"/>
  <c r="I253" i="5"/>
  <c r="M253" i="5"/>
  <c r="D232" i="5"/>
  <c r="D255" i="5"/>
  <c r="M54" i="5"/>
  <c r="T54" i="3" s="1"/>
  <c r="I54" i="5"/>
  <c r="I66" i="5" s="1"/>
  <c r="T85" i="3"/>
  <c r="M238" i="5"/>
  <c r="I238" i="5"/>
  <c r="M545" i="5"/>
  <c r="I545" i="5"/>
  <c r="I92" i="3"/>
  <c r="I101" i="3" s="1"/>
  <c r="M92" i="3"/>
  <c r="T92" i="3" s="1"/>
  <c r="D132" i="5"/>
  <c r="M131" i="5"/>
  <c r="I131" i="5"/>
  <c r="D117" i="5"/>
  <c r="M546" i="5"/>
  <c r="I546" i="5"/>
  <c r="I26" i="3"/>
  <c r="I503" i="5"/>
  <c r="I508" i="5" s="1"/>
  <c r="M503" i="5"/>
  <c r="I547" i="5"/>
  <c r="M547" i="5"/>
  <c r="T867" i="3"/>
  <c r="M42" i="5"/>
  <c r="I42" i="5"/>
  <c r="I361" i="5"/>
  <c r="M361" i="5"/>
  <c r="D318" i="3"/>
  <c r="I318" i="3" s="1"/>
  <c r="I238" i="3"/>
  <c r="M238" i="3"/>
  <c r="T238" i="3" s="1"/>
  <c r="D913" i="3"/>
  <c r="I913" i="3" s="1"/>
  <c r="I917" i="3" s="1"/>
  <c r="I562" i="5"/>
  <c r="D78" i="5"/>
  <c r="D77" i="5"/>
  <c r="M107" i="5" s="1"/>
  <c r="I607" i="3"/>
  <c r="D611" i="3"/>
  <c r="D624" i="3" s="1"/>
  <c r="M21" i="5"/>
  <c r="I21" i="5"/>
  <c r="M116" i="5"/>
  <c r="I116" i="5"/>
  <c r="D384" i="3"/>
  <c r="I384" i="3" s="1"/>
  <c r="I388" i="3" s="1"/>
  <c r="I617" i="3"/>
  <c r="D799" i="5"/>
  <c r="I816" i="3"/>
  <c r="D800" i="3"/>
  <c r="I800" i="3" s="1"/>
  <c r="T819" i="3"/>
  <c r="M508" i="5"/>
  <c r="T323" i="3"/>
  <c r="I885" i="3" l="1"/>
  <c r="Y11" i="1"/>
  <c r="AA12" i="1" s="1"/>
  <c r="I917" i="5"/>
  <c r="I799" i="5"/>
  <c r="M799" i="5"/>
  <c r="D623" i="3"/>
  <c r="I255" i="3"/>
  <c r="D234" i="3"/>
  <c r="D233" i="5"/>
  <c r="M254" i="5"/>
  <c r="I254" i="5"/>
  <c r="K43" i="1"/>
  <c r="AE43" i="1" s="1"/>
  <c r="K43" i="2"/>
  <c r="M316" i="5"/>
  <c r="I316" i="5"/>
  <c r="I235" i="3"/>
  <c r="D229" i="3"/>
  <c r="D321" i="3"/>
  <c r="I321" i="3" s="1"/>
  <c r="I325" i="3" s="1"/>
  <c r="I342" i="3"/>
  <c r="I346" i="3" s="1"/>
  <c r="T803" i="3"/>
  <c r="M593" i="5"/>
  <c r="M595" i="5" s="1"/>
  <c r="I593" i="5"/>
  <c r="M46" i="2"/>
  <c r="M72" i="5"/>
  <c r="I72" i="5"/>
  <c r="M74" i="5"/>
  <c r="I74" i="5"/>
  <c r="A23" i="1"/>
  <c r="M38" i="5"/>
  <c r="I38" i="5"/>
  <c r="M319" i="5"/>
  <c r="I319" i="5"/>
  <c r="I438" i="5"/>
  <c r="AE29" i="1"/>
  <c r="D257" i="5"/>
  <c r="M831" i="5"/>
  <c r="I831" i="5"/>
  <c r="I77" i="5"/>
  <c r="M77" i="5"/>
  <c r="M255" i="5"/>
  <c r="I255" i="5"/>
  <c r="D234" i="5"/>
  <c r="I593" i="3"/>
  <c r="M593" i="3"/>
  <c r="I863" i="5"/>
  <c r="M863" i="5"/>
  <c r="T239" i="3"/>
  <c r="K19" i="1"/>
  <c r="K19" i="2"/>
  <c r="M18" i="5"/>
  <c r="I18" i="5"/>
  <c r="M106" i="5"/>
  <c r="I549" i="5"/>
  <c r="M359" i="5"/>
  <c r="I359" i="5"/>
  <c r="D362" i="5"/>
  <c r="I37" i="3"/>
  <c r="M37" i="3"/>
  <c r="M70" i="5"/>
  <c r="I70" i="5"/>
  <c r="I75" i="5"/>
  <c r="M75" i="5"/>
  <c r="T75" i="3" s="1"/>
  <c r="T70" i="3"/>
  <c r="I257" i="3"/>
  <c r="D236" i="3"/>
  <c r="I604" i="3"/>
  <c r="M604" i="3"/>
  <c r="T604" i="3" s="1"/>
  <c r="M66" i="5"/>
  <c r="I817" i="5"/>
  <c r="I821" i="5" s="1"/>
  <c r="M817" i="5"/>
  <c r="M821" i="5" s="1"/>
  <c r="M438" i="5"/>
  <c r="M235" i="5"/>
  <c r="I235" i="5"/>
  <c r="D229" i="5"/>
  <c r="I254" i="3"/>
  <c r="D233" i="3"/>
  <c r="AE40" i="1"/>
  <c r="M78" i="5"/>
  <c r="I78" i="5"/>
  <c r="M132" i="5"/>
  <c r="M136" i="5" s="1"/>
  <c r="I132" i="5"/>
  <c r="I136" i="5" s="1"/>
  <c r="D118" i="5"/>
  <c r="M232" i="5"/>
  <c r="I232" i="5"/>
  <c r="D226" i="5"/>
  <c r="T72" i="3"/>
  <c r="I595" i="3"/>
  <c r="I597" i="3" s="1"/>
  <c r="I817" i="3"/>
  <c r="D801" i="3"/>
  <c r="I801" i="3" s="1"/>
  <c r="M338" i="5"/>
  <c r="I338" i="5"/>
  <c r="D317" i="5"/>
  <c r="D341" i="5"/>
  <c r="M865" i="5"/>
  <c r="I865" i="5"/>
  <c r="M279" i="5"/>
  <c r="M283" i="5" s="1"/>
  <c r="I279" i="5"/>
  <c r="M380" i="5"/>
  <c r="I380" i="5"/>
  <c r="D383" i="5"/>
  <c r="D833" i="5"/>
  <c r="D801" i="5" s="1"/>
  <c r="I19" i="5"/>
  <c r="M19" i="5"/>
  <c r="T19" i="3" s="1"/>
  <c r="M549" i="5"/>
  <c r="M360" i="5"/>
  <c r="I360" i="5"/>
  <c r="I38" i="3"/>
  <c r="M38" i="3"/>
  <c r="AI17" i="1"/>
  <c r="I49" i="1"/>
  <c r="M73" i="5"/>
  <c r="T73" i="3" s="1"/>
  <c r="I73" i="5"/>
  <c r="I76" i="5"/>
  <c r="M76" i="5"/>
  <c r="T76" i="3" s="1"/>
  <c r="I81" i="3"/>
  <c r="M615" i="5"/>
  <c r="T615" i="3" s="1"/>
  <c r="I615" i="5"/>
  <c r="I617" i="5" s="1"/>
  <c r="I619" i="5" s="1"/>
  <c r="I611" i="3"/>
  <c r="I619" i="3" s="1"/>
  <c r="M798" i="5"/>
  <c r="I798" i="5"/>
  <c r="I160" i="5"/>
  <c r="M160" i="5"/>
  <c r="M164" i="5" s="1"/>
  <c r="I897" i="5"/>
  <c r="M897" i="5"/>
  <c r="M901" i="5" s="1"/>
  <c r="U12" i="2"/>
  <c r="U11" i="2"/>
  <c r="V11" i="2" s="1"/>
  <c r="T59" i="3"/>
  <c r="D226" i="3"/>
  <c r="I232" i="3"/>
  <c r="K26" i="1"/>
  <c r="AE23" i="1"/>
  <c r="D865" i="3"/>
  <c r="I865" i="3" s="1"/>
  <c r="I869" i="3" s="1"/>
  <c r="K45" i="2"/>
  <c r="K48" i="2" s="1"/>
  <c r="I117" i="5"/>
  <c r="M117" i="5"/>
  <c r="M582" i="5"/>
  <c r="M589" i="5" s="1"/>
  <c r="I582" i="5"/>
  <c r="I589" i="5" s="1"/>
  <c r="I815" i="3"/>
  <c r="D799" i="3"/>
  <c r="I799" i="3" s="1"/>
  <c r="I805" i="3" s="1"/>
  <c r="D339" i="5"/>
  <c r="P1294" i="3"/>
  <c r="T1294" i="3"/>
  <c r="M46" i="1"/>
  <c r="I258" i="3"/>
  <c r="D237" i="3"/>
  <c r="D623" i="5"/>
  <c r="M623" i="5" s="1"/>
  <c r="M624" i="5" s="1"/>
  <c r="D381" i="5"/>
  <c r="M105" i="5"/>
  <c r="I283" i="5"/>
  <c r="M800" i="5"/>
  <c r="I800" i="5"/>
  <c r="I595" i="5"/>
  <c r="AE22" i="1"/>
  <c r="I71" i="5"/>
  <c r="M71" i="5"/>
  <c r="T71" i="3" s="1"/>
  <c r="T74" i="3"/>
  <c r="M617" i="5"/>
  <c r="M619" i="5" s="1"/>
  <c r="M37" i="5"/>
  <c r="I37" i="5"/>
  <c r="I47" i="5" s="1"/>
  <c r="I164" i="5"/>
  <c r="P80" i="3"/>
  <c r="P79" i="3"/>
  <c r="I901" i="5"/>
  <c r="I262" i="3"/>
  <c r="A23" i="2"/>
  <c r="K26" i="2"/>
  <c r="K45" i="1" l="1"/>
  <c r="AA11" i="1"/>
  <c r="M597" i="5"/>
  <c r="T38" i="3"/>
  <c r="M47" i="5"/>
  <c r="T593" i="3"/>
  <c r="I597" i="5"/>
  <c r="I801" i="5"/>
  <c r="I805" i="5" s="1"/>
  <c r="M801" i="5"/>
  <c r="M805" i="5" s="1"/>
  <c r="K27" i="1"/>
  <c r="K27" i="2"/>
  <c r="K28" i="2"/>
  <c r="K28" i="1"/>
  <c r="D108" i="5"/>
  <c r="M104" i="5"/>
  <c r="M108" i="5" s="1"/>
  <c r="R237" i="3"/>
  <c r="I237" i="3"/>
  <c r="M383" i="5"/>
  <c r="I383" i="5"/>
  <c r="D384" i="5"/>
  <c r="M118" i="5"/>
  <c r="M122" i="5" s="1"/>
  <c r="I118" i="5"/>
  <c r="I122" i="5" s="1"/>
  <c r="T37" i="3"/>
  <c r="M26" i="5"/>
  <c r="T18" i="3"/>
  <c r="I869" i="5"/>
  <c r="M234" i="5"/>
  <c r="I234" i="5"/>
  <c r="T582" i="3"/>
  <c r="K15" i="1"/>
  <c r="M341" i="5"/>
  <c r="I341" i="5"/>
  <c r="D320" i="5"/>
  <c r="D342" i="5"/>
  <c r="M226" i="5"/>
  <c r="D227" i="3"/>
  <c r="R228" i="3" s="1"/>
  <c r="I233" i="3"/>
  <c r="I81" i="5"/>
  <c r="I47" i="3"/>
  <c r="I257" i="5"/>
  <c r="D236" i="5"/>
  <c r="M257" i="5"/>
  <c r="D258" i="5"/>
  <c r="AA46" i="2"/>
  <c r="Q46" i="2"/>
  <c r="Z46" i="2"/>
  <c r="K15" i="2"/>
  <c r="A24" i="2"/>
  <c r="A25" i="2" s="1"/>
  <c r="A26" i="2" s="1"/>
  <c r="A27" i="2"/>
  <c r="A28" i="2" s="1"/>
  <c r="M381" i="5"/>
  <c r="I381" i="5"/>
  <c r="AC46" i="1"/>
  <c r="AF46" i="1" s="1"/>
  <c r="U46" i="1"/>
  <c r="W46" i="1" s="1"/>
  <c r="AE26" i="1"/>
  <c r="I317" i="5"/>
  <c r="M317" i="5"/>
  <c r="I821" i="3"/>
  <c r="K48" i="1"/>
  <c r="AE45" i="1"/>
  <c r="M81" i="5"/>
  <c r="M362" i="5"/>
  <c r="I362" i="5"/>
  <c r="D363" i="5"/>
  <c r="AE19" i="1"/>
  <c r="I234" i="3"/>
  <c r="R234" i="3"/>
  <c r="M339" i="5"/>
  <c r="I339" i="5"/>
  <c r="D318" i="5"/>
  <c r="M833" i="5"/>
  <c r="M837" i="5" s="1"/>
  <c r="I833" i="5"/>
  <c r="I837" i="5" s="1"/>
  <c r="M229" i="5"/>
  <c r="D230" i="3"/>
  <c r="R231" i="3" s="1"/>
  <c r="I236" i="3"/>
  <c r="I26" i="5"/>
  <c r="M869" i="5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D227" i="5"/>
  <c r="M227" i="5" s="1"/>
  <c r="M233" i="5"/>
  <c r="I233" i="5"/>
  <c r="I241" i="3" l="1"/>
  <c r="K20" i="2"/>
  <c r="K20" i="1"/>
  <c r="M318" i="5"/>
  <c r="I318" i="5"/>
  <c r="M363" i="5"/>
  <c r="M367" i="5" s="1"/>
  <c r="I363" i="5"/>
  <c r="O46" i="1"/>
  <c r="S46" i="1" s="1"/>
  <c r="Y46" i="2"/>
  <c r="M236" i="5"/>
  <c r="D230" i="5"/>
  <c r="I236" i="5"/>
  <c r="K14" i="2"/>
  <c r="K14" i="1"/>
  <c r="AJ15" i="1"/>
  <c r="AE15" i="1"/>
  <c r="I367" i="5"/>
  <c r="I1320" i="3"/>
  <c r="AE48" i="1"/>
  <c r="M258" i="5"/>
  <c r="M262" i="5" s="1"/>
  <c r="D237" i="5"/>
  <c r="I258" i="5"/>
  <c r="I262" i="5" s="1"/>
  <c r="M342" i="5"/>
  <c r="M346" i="5" s="1"/>
  <c r="I342" i="5"/>
  <c r="I346" i="5" s="1"/>
  <c r="D321" i="5"/>
  <c r="M384" i="5"/>
  <c r="M388" i="5" s="1"/>
  <c r="I384" i="5"/>
  <c r="I388" i="5" s="1"/>
  <c r="AE27" i="1"/>
  <c r="A29" i="2"/>
  <c r="M320" i="5"/>
  <c r="I320" i="5"/>
  <c r="AE28" i="1"/>
  <c r="A30" i="2" l="1"/>
  <c r="A31" i="2" s="1"/>
  <c r="A32" i="2" s="1"/>
  <c r="A33" i="2" s="1"/>
  <c r="A34" i="2" s="1"/>
  <c r="A35" i="2" s="1"/>
  <c r="A36" i="2" s="1"/>
  <c r="A37" i="2" s="1"/>
  <c r="A38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Y46" i="1"/>
  <c r="AD46" i="1"/>
  <c r="AG46" i="1" s="1"/>
  <c r="M228" i="5"/>
  <c r="M230" i="5"/>
  <c r="AE20" i="1"/>
  <c r="K21" i="1"/>
  <c r="K38" i="1"/>
  <c r="I321" i="5"/>
  <c r="M321" i="5"/>
  <c r="M325" i="5" s="1"/>
  <c r="I237" i="5"/>
  <c r="I241" i="5" s="1"/>
  <c r="M237" i="5"/>
  <c r="M241" i="5" s="1"/>
  <c r="AJ14" i="1"/>
  <c r="K17" i="1"/>
  <c r="AE14" i="1"/>
  <c r="I325" i="5"/>
  <c r="K21" i="2"/>
  <c r="K38" i="2"/>
  <c r="K17" i="2"/>
  <c r="I1320" i="5" l="1"/>
  <c r="K49" i="2"/>
  <c r="M55" i="2" s="1"/>
  <c r="M1320" i="5"/>
  <c r="AE38" i="1"/>
  <c r="K49" i="1"/>
  <c r="M231" i="5"/>
  <c r="AJ17" i="1"/>
  <c r="AE17" i="1"/>
  <c r="AH17" i="1"/>
  <c r="AE21" i="1"/>
  <c r="AH21" i="1"/>
  <c r="AA46" i="1"/>
  <c r="AH49" i="1" l="1"/>
  <c r="AE49" i="1"/>
  <c r="AH34" i="1"/>
  <c r="AH36" i="1"/>
  <c r="AH35" i="1"/>
  <c r="AH33" i="1"/>
  <c r="AH29" i="1"/>
  <c r="AH22" i="1"/>
  <c r="AH26" i="1"/>
  <c r="AH45" i="1"/>
  <c r="AH48" i="1"/>
  <c r="AH27" i="1"/>
  <c r="AH28" i="1"/>
  <c r="M69" i="2"/>
  <c r="O44" i="2" s="1"/>
  <c r="N44" i="2" s="1"/>
  <c r="M66" i="2"/>
  <c r="O41" i="2" s="1"/>
  <c r="N41" i="2" s="1"/>
  <c r="M61" i="2"/>
  <c r="O27" i="2" s="1"/>
  <c r="N27" i="2" s="1"/>
  <c r="M57" i="2"/>
  <c r="M67" i="2"/>
  <c r="O42" i="2" s="1"/>
  <c r="N42" i="2" s="1"/>
  <c r="M59" i="2"/>
  <c r="O22" i="2" s="1"/>
  <c r="N22" i="2" s="1"/>
  <c r="M65" i="2"/>
  <c r="O40" i="2" s="1"/>
  <c r="N40" i="2" s="1"/>
  <c r="M58" i="2"/>
  <c r="M68" i="2"/>
  <c r="O43" i="2" s="1"/>
  <c r="N43" i="2" s="1"/>
  <c r="M63" i="2"/>
  <c r="M60" i="2"/>
  <c r="O35" i="2"/>
  <c r="N35" i="2" s="1"/>
  <c r="M62" i="2"/>
  <c r="O28" i="2" s="1"/>
  <c r="N28" i="2" s="1"/>
  <c r="O25" i="2" l="1"/>
  <c r="N25" i="2" s="1"/>
  <c r="O24" i="2"/>
  <c r="N24" i="2" s="1"/>
  <c r="O23" i="2"/>
  <c r="N23" i="2" s="1"/>
  <c r="O32" i="2"/>
  <c r="N32" i="2" s="1"/>
  <c r="O31" i="2"/>
  <c r="N31" i="2" s="1"/>
  <c r="O30" i="2"/>
  <c r="N30" i="2" s="1"/>
  <c r="O29" i="2"/>
  <c r="N29" i="2" s="1"/>
  <c r="N45" i="2"/>
  <c r="X40" i="2"/>
  <c r="M40" i="2"/>
  <c r="X27" i="2"/>
  <c r="M27" i="2"/>
  <c r="X22" i="2"/>
  <c r="M22" i="2"/>
  <c r="X41" i="2"/>
  <c r="M41" i="2"/>
  <c r="X28" i="2"/>
  <c r="M28" i="2"/>
  <c r="X43" i="2"/>
  <c r="M43" i="2"/>
  <c r="X42" i="2"/>
  <c r="M42" i="2"/>
  <c r="X44" i="2"/>
  <c r="M44" i="2"/>
  <c r="X35" i="2"/>
  <c r="M35" i="2"/>
  <c r="O20" i="2"/>
  <c r="N20" i="2" s="1"/>
  <c r="O19" i="2"/>
  <c r="N19" i="2" s="1"/>
  <c r="O15" i="2"/>
  <c r="N15" i="2" s="1"/>
  <c r="O14" i="2"/>
  <c r="N14" i="2" s="1"/>
  <c r="N21" i="2" l="1"/>
  <c r="N38" i="2"/>
  <c r="X19" i="2"/>
  <c r="M19" i="2"/>
  <c r="P765" i="3"/>
  <c r="U44" i="2"/>
  <c r="AC44" i="2" s="1"/>
  <c r="P729" i="3"/>
  <c r="U43" i="2"/>
  <c r="AC43" i="2" s="1"/>
  <c r="P629" i="3"/>
  <c r="T41" i="2"/>
  <c r="P580" i="3"/>
  <c r="U27" i="2"/>
  <c r="AC27" i="2" s="1"/>
  <c r="O45" i="2"/>
  <c r="X45" i="2" s="1"/>
  <c r="N48" i="2"/>
  <c r="X32" i="2"/>
  <c r="M32" i="2"/>
  <c r="X20" i="2"/>
  <c r="M20" i="2"/>
  <c r="X29" i="2"/>
  <c r="M29" i="2"/>
  <c r="N26" i="2"/>
  <c r="X23" i="2"/>
  <c r="M23" i="2"/>
  <c r="N17" i="2"/>
  <c r="X14" i="2"/>
  <c r="M14" i="2"/>
  <c r="P654" i="3"/>
  <c r="T42" i="2"/>
  <c r="P793" i="3"/>
  <c r="U28" i="2"/>
  <c r="AC28" i="2" s="1"/>
  <c r="Z28" i="2"/>
  <c r="P428" i="3"/>
  <c r="Z22" i="2"/>
  <c r="U22" i="2"/>
  <c r="AC22" i="2" s="1"/>
  <c r="P392" i="3"/>
  <c r="T40" i="2"/>
  <c r="M45" i="2"/>
  <c r="X30" i="2"/>
  <c r="N33" i="2"/>
  <c r="M30" i="2"/>
  <c r="X24" i="2"/>
  <c r="M24" i="2"/>
  <c r="P1262" i="3"/>
  <c r="X15" i="2"/>
  <c r="M15" i="2"/>
  <c r="X31" i="2"/>
  <c r="M31" i="2"/>
  <c r="X25" i="2"/>
  <c r="M25" i="2"/>
  <c r="Z43" i="2" l="1"/>
  <c r="Z44" i="2"/>
  <c r="P1265" i="3"/>
  <c r="P657" i="3"/>
  <c r="O17" i="2"/>
  <c r="X17" i="2" s="1"/>
  <c r="P923" i="3"/>
  <c r="P1214" i="3"/>
  <c r="T32" i="2"/>
  <c r="Q41" i="1"/>
  <c r="U41" i="2"/>
  <c r="AC41" i="2" s="1"/>
  <c r="P732" i="3"/>
  <c r="P112" i="3"/>
  <c r="M21" i="2"/>
  <c r="M38" i="2"/>
  <c r="T19" i="2"/>
  <c r="P796" i="3"/>
  <c r="N49" i="2"/>
  <c r="O48" i="2"/>
  <c r="X48" i="2" s="1"/>
  <c r="O21" i="2"/>
  <c r="X21" i="2" s="1"/>
  <c r="P1121" i="3"/>
  <c r="M33" i="2"/>
  <c r="P1168" i="3"/>
  <c r="O33" i="2"/>
  <c r="X33" i="2" s="1"/>
  <c r="M48" i="2"/>
  <c r="P432" i="3"/>
  <c r="P431" i="3"/>
  <c r="Q42" i="1"/>
  <c r="U42" i="2"/>
  <c r="AC42" i="2" s="1"/>
  <c r="M26" i="2"/>
  <c r="Z27" i="2"/>
  <c r="P583" i="3"/>
  <c r="P395" i="3"/>
  <c r="O26" i="2"/>
  <c r="X26" i="2" s="1"/>
  <c r="P1273" i="3"/>
  <c r="T24" i="2"/>
  <c r="Q40" i="1"/>
  <c r="Q45" i="1" s="1"/>
  <c r="Q48" i="1" s="1"/>
  <c r="T45" i="2"/>
  <c r="U40" i="2"/>
  <c r="AC40" i="2" s="1"/>
  <c r="T14" i="2"/>
  <c r="P13" i="3"/>
  <c r="M17" i="2"/>
  <c r="P224" i="3"/>
  <c r="P632" i="3"/>
  <c r="P768" i="3"/>
  <c r="K764" i="3" s="1"/>
  <c r="O38" i="2"/>
  <c r="X38" i="2" s="1"/>
  <c r="P233" i="3" l="1"/>
  <c r="K223" i="3" s="1"/>
  <c r="P17" i="3"/>
  <c r="P18" i="3"/>
  <c r="Z40" i="2"/>
  <c r="U24" i="2"/>
  <c r="AC24" i="2" s="1"/>
  <c r="Q24" i="1"/>
  <c r="K594" i="3"/>
  <c r="K583" i="3"/>
  <c r="K579" i="3"/>
  <c r="K578" i="3"/>
  <c r="K588" i="3"/>
  <c r="K587" i="3"/>
  <c r="K586" i="3"/>
  <c r="K580" i="3"/>
  <c r="K431" i="3"/>
  <c r="K427" i="3"/>
  <c r="K430" i="3"/>
  <c r="K434" i="3"/>
  <c r="K433" i="3"/>
  <c r="K429" i="3"/>
  <c r="K432" i="3"/>
  <c r="Q14" i="1"/>
  <c r="U14" i="2"/>
  <c r="AC14" i="2" s="1"/>
  <c r="Z14" i="2"/>
  <c r="T15" i="2"/>
  <c r="U45" i="2"/>
  <c r="AC45" i="2" s="1"/>
  <c r="Z45" i="2"/>
  <c r="T48" i="2"/>
  <c r="P499" i="3"/>
  <c r="U26" i="2"/>
  <c r="AC26" i="2" s="1"/>
  <c r="Z42" i="2"/>
  <c r="P1124" i="3"/>
  <c r="X49" i="2"/>
  <c r="O49" i="2"/>
  <c r="N54" i="2"/>
  <c r="Q19" i="1"/>
  <c r="U19" i="2"/>
  <c r="Z19" i="2" s="1"/>
  <c r="T20" i="2"/>
  <c r="U21" i="2"/>
  <c r="AC21" i="2" s="1"/>
  <c r="Z21" i="2"/>
  <c r="P1217" i="3"/>
  <c r="K641" i="3"/>
  <c r="K635" i="3"/>
  <c r="K640" i="3"/>
  <c r="K637" i="3"/>
  <c r="K634" i="3"/>
  <c r="K643" i="3"/>
  <c r="K642" i="3"/>
  <c r="K639" i="3"/>
  <c r="K632" i="3"/>
  <c r="K630" i="3"/>
  <c r="K646" i="3"/>
  <c r="K644" i="3"/>
  <c r="K631" i="3"/>
  <c r="K633" i="3"/>
  <c r="P1276" i="3"/>
  <c r="K395" i="3"/>
  <c r="K394" i="3"/>
  <c r="K393" i="3"/>
  <c r="T23" i="2"/>
  <c r="L38" i="4"/>
  <c r="L37" i="4"/>
  <c r="P436" i="3"/>
  <c r="P437" i="3"/>
  <c r="P115" i="3"/>
  <c r="K117" i="3" s="1"/>
  <c r="K730" i="3"/>
  <c r="K729" i="3"/>
  <c r="K728" i="3"/>
  <c r="U32" i="2"/>
  <c r="AC32" i="2" s="1"/>
  <c r="Q32" i="1"/>
  <c r="Z32" i="2"/>
  <c r="P926" i="3"/>
  <c r="K785" i="3"/>
  <c r="S764" i="3"/>
  <c r="K778" i="3"/>
  <c r="K771" i="3"/>
  <c r="M764" i="3"/>
  <c r="U17" i="2"/>
  <c r="AC17" i="2" s="1"/>
  <c r="Z17" i="2"/>
  <c r="M49" i="2"/>
  <c r="P1171" i="3"/>
  <c r="K796" i="3"/>
  <c r="K792" i="3"/>
  <c r="K799" i="3"/>
  <c r="K797" i="3"/>
  <c r="Z41" i="2"/>
  <c r="K717" i="3"/>
  <c r="K710" i="3"/>
  <c r="K706" i="3"/>
  <c r="K703" i="3"/>
  <c r="K694" i="3"/>
  <c r="K689" i="3"/>
  <c r="K686" i="3"/>
  <c r="K681" i="3"/>
  <c r="K716" i="3"/>
  <c r="K709" i="3"/>
  <c r="K705" i="3"/>
  <c r="K702" i="3"/>
  <c r="K696" i="3"/>
  <c r="K693" i="3"/>
  <c r="K688" i="3"/>
  <c r="K685" i="3"/>
  <c r="K680" i="3"/>
  <c r="K661" i="3"/>
  <c r="K656" i="3"/>
  <c r="K654" i="3"/>
  <c r="K715" i="3"/>
  <c r="K712" i="3"/>
  <c r="K708" i="3"/>
  <c r="K692" i="3"/>
  <c r="K684" i="3"/>
  <c r="K679" i="3"/>
  <c r="K675" i="3"/>
  <c r="K660" i="3"/>
  <c r="K714" i="3"/>
  <c r="K711" i="3"/>
  <c r="K691" i="3"/>
  <c r="K690" i="3"/>
  <c r="K683" i="3"/>
  <c r="K682" i="3"/>
  <c r="K678" i="3"/>
  <c r="K674" i="3"/>
  <c r="K671" i="3"/>
  <c r="K659" i="3"/>
  <c r="K657" i="3"/>
  <c r="K655" i="3"/>
  <c r="K653" i="3"/>
  <c r="K670" i="3"/>
  <c r="K673" i="3"/>
  <c r="K662" i="3"/>
  <c r="K677" i="3"/>
  <c r="K1267" i="3"/>
  <c r="K1266" i="3"/>
  <c r="K1265" i="3"/>
  <c r="K1264" i="3"/>
  <c r="K1263" i="3"/>
  <c r="K1262" i="3"/>
  <c r="P116" i="3" l="1"/>
  <c r="M1264" i="3"/>
  <c r="T1264" i="3" s="1"/>
  <c r="S1264" i="3"/>
  <c r="S677" i="3"/>
  <c r="M677" i="3"/>
  <c r="T677" i="3" s="1"/>
  <c r="S653" i="3"/>
  <c r="M653" i="3"/>
  <c r="S671" i="3"/>
  <c r="M671" i="3"/>
  <c r="T671" i="3" s="1"/>
  <c r="S683" i="3"/>
  <c r="M683" i="3"/>
  <c r="T683" i="3" s="1"/>
  <c r="S714" i="3"/>
  <c r="M714" i="3"/>
  <c r="T714" i="3" s="1"/>
  <c r="S684" i="3"/>
  <c r="M684" i="3"/>
  <c r="T684" i="3" s="1"/>
  <c r="S715" i="3"/>
  <c r="M715" i="3"/>
  <c r="T715" i="3" s="1"/>
  <c r="S680" i="3"/>
  <c r="M680" i="3"/>
  <c r="T680" i="3" s="1"/>
  <c r="S696" i="3"/>
  <c r="M696" i="3"/>
  <c r="T696" i="3" s="1"/>
  <c r="S716" i="3"/>
  <c r="M716" i="3"/>
  <c r="T716" i="3" s="1"/>
  <c r="S694" i="3"/>
  <c r="M694" i="3"/>
  <c r="T694" i="3" s="1"/>
  <c r="S717" i="3"/>
  <c r="M717" i="3"/>
  <c r="T717" i="3" s="1"/>
  <c r="K877" i="3"/>
  <c r="K909" i="3"/>
  <c r="K893" i="3"/>
  <c r="K829" i="3"/>
  <c r="K813" i="3"/>
  <c r="S797" i="3"/>
  <c r="M797" i="3"/>
  <c r="T797" i="3" s="1"/>
  <c r="K861" i="3"/>
  <c r="K845" i="3"/>
  <c r="D111" i="4"/>
  <c r="D112" i="4" s="1"/>
  <c r="Q56" i="2"/>
  <c r="R35" i="2" s="1"/>
  <c r="Q35" i="2" s="1"/>
  <c r="T55" i="2"/>
  <c r="T35" i="2" s="1"/>
  <c r="F42" i="4"/>
  <c r="F43" i="4" s="1"/>
  <c r="K923" i="3"/>
  <c r="K421" i="3"/>
  <c r="M394" i="3"/>
  <c r="T394" i="3" s="1"/>
  <c r="K412" i="3"/>
  <c r="K403" i="3"/>
  <c r="S394" i="3"/>
  <c r="S631" i="3"/>
  <c r="M631" i="3"/>
  <c r="T631" i="3" s="1"/>
  <c r="S632" i="3"/>
  <c r="M632" i="3"/>
  <c r="T632" i="3" s="1"/>
  <c r="S634" i="3"/>
  <c r="M634" i="3"/>
  <c r="T634" i="3" s="1"/>
  <c r="S641" i="3"/>
  <c r="M641" i="3"/>
  <c r="T641" i="3" s="1"/>
  <c r="P502" i="3"/>
  <c r="K1249" i="3"/>
  <c r="K969" i="3"/>
  <c r="K489" i="3"/>
  <c r="S433" i="3"/>
  <c r="K475" i="3"/>
  <c r="M433" i="3"/>
  <c r="T433" i="3" s="1"/>
  <c r="K461" i="3"/>
  <c r="K447" i="3"/>
  <c r="D16" i="4"/>
  <c r="K1247" i="3"/>
  <c r="K967" i="3"/>
  <c r="K487" i="3"/>
  <c r="K473" i="3"/>
  <c r="S431" i="3"/>
  <c r="K459" i="3"/>
  <c r="K445" i="3"/>
  <c r="M431" i="3"/>
  <c r="T431" i="3" s="1"/>
  <c r="K610" i="3"/>
  <c r="M588" i="3"/>
  <c r="T588" i="3" s="1"/>
  <c r="S588" i="3"/>
  <c r="S594" i="3"/>
  <c r="M594" i="3"/>
  <c r="T594" i="3" s="1"/>
  <c r="K616" i="3"/>
  <c r="M1265" i="3"/>
  <c r="T1265" i="3" s="1"/>
  <c r="S1265" i="3"/>
  <c r="S662" i="3"/>
  <c r="M662" i="3"/>
  <c r="T662" i="3" s="1"/>
  <c r="S655" i="3"/>
  <c r="M655" i="3"/>
  <c r="T655" i="3" s="1"/>
  <c r="S674" i="3"/>
  <c r="M674" i="3"/>
  <c r="T674" i="3" s="1"/>
  <c r="S690" i="3"/>
  <c r="M690" i="3"/>
  <c r="T690" i="3" s="1"/>
  <c r="S660" i="3"/>
  <c r="M660" i="3"/>
  <c r="T660" i="3" s="1"/>
  <c r="S692" i="3"/>
  <c r="M692" i="3"/>
  <c r="T692" i="3" s="1"/>
  <c r="S654" i="3"/>
  <c r="M654" i="3"/>
  <c r="T654" i="3" s="1"/>
  <c r="S685" i="3"/>
  <c r="M685" i="3"/>
  <c r="T685" i="3" s="1"/>
  <c r="S702" i="3"/>
  <c r="M702" i="3"/>
  <c r="S681" i="3"/>
  <c r="M681" i="3"/>
  <c r="T681" i="3" s="1"/>
  <c r="S703" i="3"/>
  <c r="M703" i="3"/>
  <c r="T703" i="3" s="1"/>
  <c r="K879" i="3"/>
  <c r="K911" i="3"/>
  <c r="K895" i="3"/>
  <c r="K831" i="3"/>
  <c r="K801" i="3"/>
  <c r="K815" i="3"/>
  <c r="S799" i="3"/>
  <c r="M799" i="3"/>
  <c r="T799" i="3" s="1"/>
  <c r="K863" i="3"/>
  <c r="K847" i="3"/>
  <c r="T764" i="3"/>
  <c r="K766" i="3"/>
  <c r="S785" i="3"/>
  <c r="M785" i="3"/>
  <c r="K746" i="3"/>
  <c r="S728" i="3"/>
  <c r="K737" i="3"/>
  <c r="K755" i="3"/>
  <c r="M728" i="3"/>
  <c r="F44" i="4"/>
  <c r="F45" i="4" s="1"/>
  <c r="K937" i="3"/>
  <c r="K422" i="3"/>
  <c r="K413" i="3"/>
  <c r="S395" i="3"/>
  <c r="K404" i="3"/>
  <c r="M395" i="3"/>
  <c r="T395" i="3" s="1"/>
  <c r="S644" i="3"/>
  <c r="M644" i="3"/>
  <c r="T644" i="3" s="1"/>
  <c r="S639" i="3"/>
  <c r="M639" i="3"/>
  <c r="T639" i="3" s="1"/>
  <c r="S637" i="3"/>
  <c r="M637" i="3"/>
  <c r="T637" i="3" s="1"/>
  <c r="Q15" i="1"/>
  <c r="Q17" i="1" s="1"/>
  <c r="Z15" i="2"/>
  <c r="U15" i="2"/>
  <c r="AC15" i="2" s="1"/>
  <c r="K1250" i="3"/>
  <c r="K970" i="3"/>
  <c r="K490" i="3"/>
  <c r="S434" i="3"/>
  <c r="K476" i="3"/>
  <c r="M434" i="3"/>
  <c r="T434" i="3" s="1"/>
  <c r="K462" i="3"/>
  <c r="K448" i="3"/>
  <c r="K602" i="3"/>
  <c r="K591" i="3"/>
  <c r="S580" i="3"/>
  <c r="M580" i="3"/>
  <c r="T580" i="3" s="1"/>
  <c r="K600" i="3"/>
  <c r="S578" i="3"/>
  <c r="M578" i="3"/>
  <c r="K78" i="3"/>
  <c r="K77" i="3"/>
  <c r="K370" i="3"/>
  <c r="K349" i="3"/>
  <c r="K307" i="3"/>
  <c r="K286" i="3"/>
  <c r="S223" i="3"/>
  <c r="K328" i="3"/>
  <c r="M223" i="3"/>
  <c r="K244" i="3"/>
  <c r="K265" i="3"/>
  <c r="M1262" i="3"/>
  <c r="S1262" i="3"/>
  <c r="S673" i="3"/>
  <c r="M673" i="3"/>
  <c r="T673" i="3" s="1"/>
  <c r="S678" i="3"/>
  <c r="M678" i="3"/>
  <c r="T678" i="3" s="1"/>
  <c r="S691" i="3"/>
  <c r="M691" i="3"/>
  <c r="T691" i="3" s="1"/>
  <c r="S675" i="3"/>
  <c r="M675" i="3"/>
  <c r="T675" i="3" s="1"/>
  <c r="S708" i="3"/>
  <c r="M708" i="3"/>
  <c r="T708" i="3" s="1"/>
  <c r="S656" i="3"/>
  <c r="M656" i="3"/>
  <c r="T656" i="3" s="1"/>
  <c r="S688" i="3"/>
  <c r="M688" i="3"/>
  <c r="T688" i="3" s="1"/>
  <c r="S705" i="3"/>
  <c r="M705" i="3"/>
  <c r="T705" i="3" s="1"/>
  <c r="S686" i="3"/>
  <c r="M686" i="3"/>
  <c r="T686" i="3" s="1"/>
  <c r="S706" i="3"/>
  <c r="M706" i="3"/>
  <c r="T706" i="3" s="1"/>
  <c r="K872" i="3"/>
  <c r="K904" i="3"/>
  <c r="K888" i="3"/>
  <c r="K824" i="3"/>
  <c r="K808" i="3"/>
  <c r="S792" i="3"/>
  <c r="K856" i="3"/>
  <c r="K840" i="3"/>
  <c r="K793" i="3"/>
  <c r="M792" i="3"/>
  <c r="S771" i="3"/>
  <c r="M771" i="3"/>
  <c r="K747" i="3"/>
  <c r="K738" i="3"/>
  <c r="K756" i="3"/>
  <c r="S729" i="3"/>
  <c r="M729" i="3"/>
  <c r="T729" i="3" s="1"/>
  <c r="K116" i="3"/>
  <c r="K114" i="3"/>
  <c r="K111" i="3"/>
  <c r="K115" i="3"/>
  <c r="U23" i="2"/>
  <c r="Q23" i="1"/>
  <c r="T25" i="2"/>
  <c r="S646" i="3"/>
  <c r="M646" i="3"/>
  <c r="T646" i="3" s="1"/>
  <c r="S642" i="3"/>
  <c r="M642" i="3"/>
  <c r="T642" i="3" s="1"/>
  <c r="S640" i="3"/>
  <c r="M640" i="3"/>
  <c r="T640" i="3" s="1"/>
  <c r="Q20" i="1"/>
  <c r="Q21" i="1" s="1"/>
  <c r="U20" i="2"/>
  <c r="AC20" i="2" s="1"/>
  <c r="Z26" i="2"/>
  <c r="U48" i="2"/>
  <c r="AC48" i="2" s="1"/>
  <c r="K1248" i="3"/>
  <c r="K968" i="3"/>
  <c r="K488" i="3"/>
  <c r="S432" i="3"/>
  <c r="K474" i="3"/>
  <c r="K460" i="3"/>
  <c r="M432" i="3"/>
  <c r="T432" i="3" s="1"/>
  <c r="K446" i="3"/>
  <c r="D15" i="4"/>
  <c r="K1246" i="3"/>
  <c r="K966" i="3"/>
  <c r="K486" i="3"/>
  <c r="M430" i="3"/>
  <c r="T430" i="3" s="1"/>
  <c r="K472" i="3"/>
  <c r="K458" i="3"/>
  <c r="S430" i="3"/>
  <c r="K444" i="3"/>
  <c r="K608" i="3"/>
  <c r="M586" i="3"/>
  <c r="T586" i="3" s="1"/>
  <c r="S586" i="3"/>
  <c r="K601" i="3"/>
  <c r="S579" i="3"/>
  <c r="M579" i="3"/>
  <c r="T579" i="3" s="1"/>
  <c r="Z24" i="2"/>
  <c r="M1266" i="3"/>
  <c r="T1266" i="3" s="1"/>
  <c r="S1266" i="3"/>
  <c r="S657" i="3"/>
  <c r="M657" i="3"/>
  <c r="T657" i="3" s="1"/>
  <c r="M1263" i="3"/>
  <c r="T1263" i="3" s="1"/>
  <c r="S1263" i="3"/>
  <c r="M1267" i="3"/>
  <c r="T1267" i="3" s="1"/>
  <c r="S1267" i="3"/>
  <c r="S670" i="3"/>
  <c r="M670" i="3"/>
  <c r="S659" i="3"/>
  <c r="M659" i="3"/>
  <c r="T659" i="3" s="1"/>
  <c r="S682" i="3"/>
  <c r="M682" i="3"/>
  <c r="T682" i="3" s="1"/>
  <c r="S711" i="3"/>
  <c r="M711" i="3"/>
  <c r="T711" i="3" s="1"/>
  <c r="S679" i="3"/>
  <c r="M679" i="3"/>
  <c r="T679" i="3" s="1"/>
  <c r="S712" i="3"/>
  <c r="M712" i="3"/>
  <c r="T712" i="3" s="1"/>
  <c r="S661" i="3"/>
  <c r="M661" i="3"/>
  <c r="T661" i="3" s="1"/>
  <c r="S693" i="3"/>
  <c r="M693" i="3"/>
  <c r="T693" i="3" s="1"/>
  <c r="S709" i="3"/>
  <c r="M709" i="3"/>
  <c r="T709" i="3" s="1"/>
  <c r="S689" i="3"/>
  <c r="M689" i="3"/>
  <c r="T689" i="3" s="1"/>
  <c r="S710" i="3"/>
  <c r="M710" i="3"/>
  <c r="T710" i="3" s="1"/>
  <c r="K876" i="3"/>
  <c r="K908" i="3"/>
  <c r="K892" i="3"/>
  <c r="K828" i="3"/>
  <c r="K812" i="3"/>
  <c r="S796" i="3"/>
  <c r="K860" i="3"/>
  <c r="K844" i="3"/>
  <c r="M796" i="3"/>
  <c r="T796" i="3" s="1"/>
  <c r="S778" i="3"/>
  <c r="M778" i="3"/>
  <c r="K748" i="3"/>
  <c r="K739" i="3"/>
  <c r="S730" i="3"/>
  <c r="K757" i="3"/>
  <c r="M730" i="3"/>
  <c r="T730" i="3" s="1"/>
  <c r="K1202" i="3"/>
  <c r="K173" i="3"/>
  <c r="K159" i="3"/>
  <c r="K215" i="3"/>
  <c r="K187" i="3"/>
  <c r="K131" i="3"/>
  <c r="M117" i="3"/>
  <c r="K145" i="3"/>
  <c r="S117" i="3"/>
  <c r="K201" i="3"/>
  <c r="Q117" i="3"/>
  <c r="K420" i="3"/>
  <c r="K411" i="3"/>
  <c r="M393" i="3"/>
  <c r="K402" i="3"/>
  <c r="S393" i="3"/>
  <c r="S633" i="3"/>
  <c r="M633" i="3"/>
  <c r="T633" i="3" s="1"/>
  <c r="S630" i="3"/>
  <c r="M630" i="3"/>
  <c r="S643" i="3"/>
  <c r="M643" i="3"/>
  <c r="T643" i="3" s="1"/>
  <c r="S635" i="3"/>
  <c r="M635" i="3"/>
  <c r="T635" i="3" s="1"/>
  <c r="AC19" i="2"/>
  <c r="T31" i="2"/>
  <c r="D17" i="4"/>
  <c r="K1245" i="3"/>
  <c r="K965" i="3"/>
  <c r="K485" i="3"/>
  <c r="K471" i="3"/>
  <c r="M429" i="3"/>
  <c r="T429" i="3" s="1"/>
  <c r="K457" i="3"/>
  <c r="K443" i="3"/>
  <c r="S429" i="3"/>
  <c r="D14" i="4"/>
  <c r="F14" i="4" s="1"/>
  <c r="K483" i="3"/>
  <c r="K469" i="3"/>
  <c r="S427" i="3"/>
  <c r="K455" i="3"/>
  <c r="M427" i="3"/>
  <c r="K441" i="3"/>
  <c r="K609" i="3"/>
  <c r="M587" i="3"/>
  <c r="T587" i="3" s="1"/>
  <c r="P586" i="3"/>
  <c r="S587" i="3"/>
  <c r="K605" i="3"/>
  <c r="S583" i="3"/>
  <c r="M583" i="3"/>
  <c r="T583" i="3" s="1"/>
  <c r="S443" i="3" l="1"/>
  <c r="M443" i="3"/>
  <c r="T443" i="3" s="1"/>
  <c r="T427" i="3"/>
  <c r="S457" i="3"/>
  <c r="M457" i="3"/>
  <c r="T457" i="3" s="1"/>
  <c r="M411" i="3"/>
  <c r="S411" i="3"/>
  <c r="S187" i="3"/>
  <c r="M187" i="3"/>
  <c r="T187" i="3" s="1"/>
  <c r="S739" i="3"/>
  <c r="M739" i="3"/>
  <c r="T739" i="3" s="1"/>
  <c r="M812" i="3"/>
  <c r="T812" i="3" s="1"/>
  <c r="S812" i="3"/>
  <c r="S458" i="3"/>
  <c r="M458" i="3"/>
  <c r="T458" i="3" s="1"/>
  <c r="S966" i="3"/>
  <c r="K1098" i="3"/>
  <c r="K1032" i="3"/>
  <c r="M966" i="3"/>
  <c r="T966" i="3" s="1"/>
  <c r="S488" i="3"/>
  <c r="M488" i="3"/>
  <c r="T488" i="3" s="1"/>
  <c r="AC23" i="2"/>
  <c r="T29" i="2"/>
  <c r="T30" i="2"/>
  <c r="K1201" i="3"/>
  <c r="D8" i="4"/>
  <c r="K172" i="3"/>
  <c r="K214" i="3"/>
  <c r="K186" i="3"/>
  <c r="K130" i="3"/>
  <c r="Q116" i="3"/>
  <c r="K200" i="3"/>
  <c r="K158" i="3"/>
  <c r="K144" i="3"/>
  <c r="S116" i="3"/>
  <c r="M116" i="3"/>
  <c r="S738" i="3"/>
  <c r="M738" i="3"/>
  <c r="T738" i="3" s="1"/>
  <c r="T792" i="3"/>
  <c r="S904" i="3"/>
  <c r="M904" i="3"/>
  <c r="S265" i="3"/>
  <c r="M265" i="3"/>
  <c r="S370" i="3"/>
  <c r="M370" i="3"/>
  <c r="S591" i="3"/>
  <c r="K613" i="3"/>
  <c r="M591" i="3"/>
  <c r="S970" i="3"/>
  <c r="K1036" i="3"/>
  <c r="M970" i="3"/>
  <c r="T970" i="3" s="1"/>
  <c r="K1102" i="3"/>
  <c r="M413" i="3"/>
  <c r="T413" i="3" s="1"/>
  <c r="S413" i="3"/>
  <c r="T728" i="3"/>
  <c r="K732" i="3"/>
  <c r="S746" i="3"/>
  <c r="M746" i="3"/>
  <c r="K881" i="3"/>
  <c r="K913" i="3"/>
  <c r="K897" i="3"/>
  <c r="K833" i="3"/>
  <c r="S801" i="3"/>
  <c r="K817" i="3"/>
  <c r="K865" i="3"/>
  <c r="K849" i="3"/>
  <c r="M801" i="3"/>
  <c r="T801" i="3" s="1"/>
  <c r="M879" i="3"/>
  <c r="T879" i="3" s="1"/>
  <c r="S879" i="3"/>
  <c r="S445" i="3"/>
  <c r="M445" i="3"/>
  <c r="T445" i="3" s="1"/>
  <c r="S487" i="3"/>
  <c r="M487" i="3"/>
  <c r="T487" i="3" s="1"/>
  <c r="S447" i="3"/>
  <c r="M447" i="3"/>
  <c r="T447" i="3" s="1"/>
  <c r="Z35" i="2"/>
  <c r="U35" i="2"/>
  <c r="AC35" i="2" s="1"/>
  <c r="Q35" i="1"/>
  <c r="S909" i="3"/>
  <c r="M909" i="3"/>
  <c r="T909" i="3" s="1"/>
  <c r="M469" i="3"/>
  <c r="S469" i="3"/>
  <c r="S485" i="3"/>
  <c r="M485" i="3"/>
  <c r="T485" i="3" s="1"/>
  <c r="S455" i="3"/>
  <c r="M455" i="3"/>
  <c r="D31" i="4"/>
  <c r="F31" i="4" s="1"/>
  <c r="K921" i="3" s="1"/>
  <c r="D32" i="4"/>
  <c r="F32" i="4" s="1"/>
  <c r="K935" i="3" s="1"/>
  <c r="S1245" i="3"/>
  <c r="M1245" i="3"/>
  <c r="M648" i="3"/>
  <c r="T630" i="3"/>
  <c r="S420" i="3"/>
  <c r="M420" i="3"/>
  <c r="M145" i="3"/>
  <c r="S145" i="3"/>
  <c r="S215" i="3"/>
  <c r="M215" i="3"/>
  <c r="T215" i="3" s="1"/>
  <c r="S748" i="3"/>
  <c r="M748" i="3"/>
  <c r="T748" i="3" s="1"/>
  <c r="S844" i="3"/>
  <c r="M844" i="3"/>
  <c r="T844" i="3" s="1"/>
  <c r="S828" i="3"/>
  <c r="M828" i="3"/>
  <c r="T828" i="3" s="1"/>
  <c r="M698" i="3"/>
  <c r="T698" i="3" s="1"/>
  <c r="T670" i="3"/>
  <c r="S608" i="3"/>
  <c r="M608" i="3"/>
  <c r="T608" i="3" s="1"/>
  <c r="M472" i="3"/>
  <c r="T472" i="3" s="1"/>
  <c r="S472" i="3"/>
  <c r="S1246" i="3"/>
  <c r="M1246" i="3"/>
  <c r="T1246" i="3" s="1"/>
  <c r="S460" i="3"/>
  <c r="M460" i="3"/>
  <c r="T460" i="3" s="1"/>
  <c r="K1100" i="3"/>
  <c r="S968" i="3"/>
  <c r="K1034" i="3"/>
  <c r="M968" i="3"/>
  <c r="T968" i="3" s="1"/>
  <c r="Z48" i="2"/>
  <c r="U25" i="2"/>
  <c r="AC25" i="2" s="1"/>
  <c r="Q25" i="1"/>
  <c r="D7" i="4"/>
  <c r="K1200" i="3"/>
  <c r="K171" i="3"/>
  <c r="K213" i="3"/>
  <c r="K185" i="3"/>
  <c r="Q115" i="3"/>
  <c r="K157" i="3"/>
  <c r="K199" i="3"/>
  <c r="K129" i="3"/>
  <c r="S115" i="3"/>
  <c r="M115" i="3"/>
  <c r="K143" i="3"/>
  <c r="S747" i="3"/>
  <c r="M747" i="3"/>
  <c r="T747" i="3" s="1"/>
  <c r="K873" i="3"/>
  <c r="K905" i="3"/>
  <c r="K889" i="3"/>
  <c r="K825" i="3"/>
  <c r="K809" i="3"/>
  <c r="S793" i="3"/>
  <c r="M793" i="3"/>
  <c r="T793" i="3" s="1"/>
  <c r="K857" i="3"/>
  <c r="K841" i="3"/>
  <c r="M808" i="3"/>
  <c r="S808" i="3"/>
  <c r="S872" i="3"/>
  <c r="M872" i="3"/>
  <c r="S244" i="3"/>
  <c r="M244" i="3"/>
  <c r="M286" i="3"/>
  <c r="S286" i="3"/>
  <c r="S77" i="3"/>
  <c r="K39" i="3"/>
  <c r="M77" i="3"/>
  <c r="S600" i="3"/>
  <c r="M600" i="3"/>
  <c r="S602" i="3"/>
  <c r="M602" i="3"/>
  <c r="T602" i="3" s="1"/>
  <c r="M476" i="3"/>
  <c r="T476" i="3" s="1"/>
  <c r="S476" i="3"/>
  <c r="M1250" i="3"/>
  <c r="T1250" i="3" s="1"/>
  <c r="S1250" i="3"/>
  <c r="S422" i="3"/>
  <c r="M422" i="3"/>
  <c r="T422" i="3" s="1"/>
  <c r="S755" i="3"/>
  <c r="M755" i="3"/>
  <c r="T785" i="3"/>
  <c r="S831" i="3"/>
  <c r="M831" i="3"/>
  <c r="T831" i="3" s="1"/>
  <c r="M719" i="3"/>
  <c r="T719" i="3" s="1"/>
  <c r="T702" i="3"/>
  <c r="S616" i="3"/>
  <c r="M616" i="3"/>
  <c r="T616" i="3" s="1"/>
  <c r="S459" i="3"/>
  <c r="M459" i="3"/>
  <c r="T459" i="3" s="1"/>
  <c r="K1099" i="3"/>
  <c r="S967" i="3"/>
  <c r="K1033" i="3"/>
  <c r="M967" i="3"/>
  <c r="T967" i="3" s="1"/>
  <c r="S461" i="3"/>
  <c r="M461" i="3"/>
  <c r="T461" i="3" s="1"/>
  <c r="S489" i="3"/>
  <c r="M489" i="3"/>
  <c r="T489" i="3" s="1"/>
  <c r="S421" i="3"/>
  <c r="M421" i="3"/>
  <c r="T421" i="3" s="1"/>
  <c r="S845" i="3"/>
  <c r="M845" i="3"/>
  <c r="T845" i="3" s="1"/>
  <c r="M813" i="3"/>
  <c r="T813" i="3" s="1"/>
  <c r="S813" i="3"/>
  <c r="M877" i="3"/>
  <c r="T877" i="3" s="1"/>
  <c r="S877" i="3"/>
  <c r="S441" i="3"/>
  <c r="M441" i="3"/>
  <c r="S483" i="3"/>
  <c r="M483" i="3"/>
  <c r="S965" i="3"/>
  <c r="K1097" i="3"/>
  <c r="K1031" i="3"/>
  <c r="M965" i="3"/>
  <c r="S1202" i="3"/>
  <c r="M1202" i="3"/>
  <c r="T1202" i="3" s="1"/>
  <c r="S876" i="3"/>
  <c r="M876" i="3"/>
  <c r="T876" i="3" s="1"/>
  <c r="S605" i="3"/>
  <c r="M605" i="3"/>
  <c r="T605" i="3" s="1"/>
  <c r="S609" i="3"/>
  <c r="M609" i="3"/>
  <c r="T609" i="3" s="1"/>
  <c r="M471" i="3"/>
  <c r="T471" i="3" s="1"/>
  <c r="S471" i="3"/>
  <c r="S402" i="3"/>
  <c r="M402" i="3"/>
  <c r="T117" i="3"/>
  <c r="R117" i="3"/>
  <c r="M159" i="3"/>
  <c r="S159" i="3"/>
  <c r="S757" i="3"/>
  <c r="M757" i="3"/>
  <c r="T757" i="3" s="1"/>
  <c r="T778" i="3"/>
  <c r="S860" i="3"/>
  <c r="M860" i="3"/>
  <c r="T860" i="3" s="1"/>
  <c r="S892" i="3"/>
  <c r="M892" i="3"/>
  <c r="T892" i="3" s="1"/>
  <c r="S601" i="3"/>
  <c r="M601" i="3"/>
  <c r="T601" i="3" s="1"/>
  <c r="S444" i="3"/>
  <c r="M444" i="3"/>
  <c r="T444" i="3" s="1"/>
  <c r="D42" i="4"/>
  <c r="D44" i="4"/>
  <c r="M474" i="3"/>
  <c r="T474" i="3" s="1"/>
  <c r="S474" i="3"/>
  <c r="S1248" i="3"/>
  <c r="M1248" i="3"/>
  <c r="T1248" i="3" s="1"/>
  <c r="Z20" i="2"/>
  <c r="Q26" i="1"/>
  <c r="D6" i="4"/>
  <c r="F6" i="4" s="1"/>
  <c r="K167" i="3"/>
  <c r="K209" i="3"/>
  <c r="K181" i="3"/>
  <c r="K153" i="3"/>
  <c r="Q111" i="3"/>
  <c r="K195" i="3"/>
  <c r="K125" i="3"/>
  <c r="S111" i="3"/>
  <c r="M111" i="3"/>
  <c r="K139" i="3"/>
  <c r="T771" i="3"/>
  <c r="S840" i="3"/>
  <c r="M840" i="3"/>
  <c r="S824" i="3"/>
  <c r="M824" i="3"/>
  <c r="T223" i="3"/>
  <c r="M307" i="3"/>
  <c r="S307" i="3"/>
  <c r="S78" i="3"/>
  <c r="K40" i="3"/>
  <c r="M78" i="3"/>
  <c r="T78" i="3" s="1"/>
  <c r="S448" i="3"/>
  <c r="M448" i="3"/>
  <c r="T448" i="3" s="1"/>
  <c r="S404" i="3"/>
  <c r="M404" i="3"/>
  <c r="T404" i="3" s="1"/>
  <c r="K1069" i="3"/>
  <c r="M937" i="3"/>
  <c r="T937" i="3" s="1"/>
  <c r="K1003" i="3"/>
  <c r="S937" i="3"/>
  <c r="S737" i="3"/>
  <c r="M737" i="3"/>
  <c r="S847" i="3"/>
  <c r="M847" i="3"/>
  <c r="T847" i="3" s="1"/>
  <c r="R801" i="3"/>
  <c r="S895" i="3"/>
  <c r="M895" i="3"/>
  <c r="T895" i="3" s="1"/>
  <c r="S610" i="3"/>
  <c r="M610" i="3"/>
  <c r="T610" i="3" s="1"/>
  <c r="S1247" i="3"/>
  <c r="M1247" i="3"/>
  <c r="T1247" i="3" s="1"/>
  <c r="S969" i="3"/>
  <c r="K1035" i="3"/>
  <c r="M969" i="3"/>
  <c r="T969" i="3" s="1"/>
  <c r="K1101" i="3"/>
  <c r="S403" i="3"/>
  <c r="M403" i="3"/>
  <c r="T403" i="3" s="1"/>
  <c r="K989" i="3"/>
  <c r="S923" i="3"/>
  <c r="K1055" i="3"/>
  <c r="M923" i="3"/>
  <c r="T923" i="3" s="1"/>
  <c r="Q55" i="2"/>
  <c r="O35" i="1"/>
  <c r="Y35" i="2"/>
  <c r="S861" i="3"/>
  <c r="M861" i="3"/>
  <c r="T861" i="3" s="1"/>
  <c r="S829" i="3"/>
  <c r="M829" i="3"/>
  <c r="T829" i="3" s="1"/>
  <c r="T653" i="3"/>
  <c r="K663" i="3"/>
  <c r="Q31" i="1"/>
  <c r="U31" i="2"/>
  <c r="AC31" i="2" s="1"/>
  <c r="T393" i="3"/>
  <c r="M397" i="3"/>
  <c r="S201" i="3"/>
  <c r="M201" i="3"/>
  <c r="T201" i="3" s="1"/>
  <c r="S131" i="3"/>
  <c r="M131" i="3"/>
  <c r="S173" i="3"/>
  <c r="M173" i="3"/>
  <c r="T173" i="3" s="1"/>
  <c r="S908" i="3"/>
  <c r="M908" i="3"/>
  <c r="T908" i="3" s="1"/>
  <c r="S486" i="3"/>
  <c r="M486" i="3"/>
  <c r="T486" i="3" s="1"/>
  <c r="S446" i="3"/>
  <c r="M446" i="3"/>
  <c r="T446" i="3" s="1"/>
  <c r="Z23" i="2"/>
  <c r="K1199" i="3"/>
  <c r="D9" i="4"/>
  <c r="K170" i="3"/>
  <c r="K156" i="3"/>
  <c r="K212" i="3"/>
  <c r="K184" i="3"/>
  <c r="K142" i="3"/>
  <c r="S114" i="3"/>
  <c r="M114" i="3"/>
  <c r="K198" i="3"/>
  <c r="Q114" i="3"/>
  <c r="K128" i="3"/>
  <c r="S756" i="3"/>
  <c r="M756" i="3"/>
  <c r="T756" i="3" s="1"/>
  <c r="S856" i="3"/>
  <c r="M856" i="3"/>
  <c r="S888" i="3"/>
  <c r="M888" i="3"/>
  <c r="T1262" i="3"/>
  <c r="K1268" i="3"/>
  <c r="S328" i="3"/>
  <c r="M328" i="3"/>
  <c r="M349" i="3"/>
  <c r="S349" i="3"/>
  <c r="T578" i="3"/>
  <c r="S462" i="3"/>
  <c r="M462" i="3"/>
  <c r="T462" i="3" s="1"/>
  <c r="S490" i="3"/>
  <c r="M490" i="3"/>
  <c r="T490" i="3" s="1"/>
  <c r="K787" i="3"/>
  <c r="K780" i="3"/>
  <c r="K773" i="3"/>
  <c r="S766" i="3"/>
  <c r="M766" i="3"/>
  <c r="S863" i="3"/>
  <c r="M863" i="3"/>
  <c r="T863" i="3" s="1"/>
  <c r="M815" i="3"/>
  <c r="T815" i="3" s="1"/>
  <c r="S815" i="3"/>
  <c r="S911" i="3"/>
  <c r="M911" i="3"/>
  <c r="T911" i="3" s="1"/>
  <c r="M473" i="3"/>
  <c r="T473" i="3" s="1"/>
  <c r="S473" i="3"/>
  <c r="D45" i="4"/>
  <c r="D43" i="4"/>
  <c r="M475" i="3"/>
  <c r="T475" i="3" s="1"/>
  <c r="S475" i="3"/>
  <c r="S1249" i="3"/>
  <c r="M1249" i="3"/>
  <c r="T1249" i="3" s="1"/>
  <c r="M412" i="3"/>
  <c r="T412" i="3" s="1"/>
  <c r="S412" i="3"/>
  <c r="L79" i="4"/>
  <c r="K1143" i="3" s="1"/>
  <c r="L75" i="4"/>
  <c r="K1137" i="3" s="1"/>
  <c r="J69" i="4"/>
  <c r="K1130" i="3" s="1"/>
  <c r="F63" i="4"/>
  <c r="K1121" i="3" s="1"/>
  <c r="L82" i="4"/>
  <c r="K1147" i="3" s="1"/>
  <c r="L78" i="4"/>
  <c r="K1141" i="3" s="1"/>
  <c r="L74" i="4"/>
  <c r="K1135" i="3" s="1"/>
  <c r="J68" i="4"/>
  <c r="K1129" i="3" s="1"/>
  <c r="F62" i="4"/>
  <c r="K1120" i="3" s="1"/>
  <c r="L81" i="4"/>
  <c r="K1146" i="3" s="1"/>
  <c r="L77" i="4"/>
  <c r="K1140" i="3" s="1"/>
  <c r="L73" i="4"/>
  <c r="K1134" i="3" s="1"/>
  <c r="J67" i="4"/>
  <c r="K1128" i="3" s="1"/>
  <c r="F61" i="4"/>
  <c r="K1119" i="3" s="1"/>
  <c r="J66" i="4"/>
  <c r="K1127" i="3" s="1"/>
  <c r="L80" i="4"/>
  <c r="K1144" i="3" s="1"/>
  <c r="L76" i="4"/>
  <c r="K1138" i="3" s="1"/>
  <c r="J70" i="4"/>
  <c r="K1131" i="3" s="1"/>
  <c r="S893" i="3"/>
  <c r="M893" i="3"/>
  <c r="T893" i="3" s="1"/>
  <c r="Z31" i="2" l="1"/>
  <c r="K1213" i="3"/>
  <c r="S1120" i="3"/>
  <c r="M1120" i="3"/>
  <c r="T1120" i="3" s="1"/>
  <c r="K1167" i="3"/>
  <c r="K1176" i="3"/>
  <c r="M1129" i="3"/>
  <c r="T1129" i="3" s="1"/>
  <c r="K1222" i="3"/>
  <c r="S1129" i="3"/>
  <c r="K1174" i="3"/>
  <c r="M1127" i="3"/>
  <c r="T1127" i="3" s="1"/>
  <c r="K1220" i="3"/>
  <c r="S1127" i="3"/>
  <c r="K1187" i="3"/>
  <c r="M1140" i="3"/>
  <c r="T1140" i="3" s="1"/>
  <c r="S1140" i="3"/>
  <c r="K1233" i="3"/>
  <c r="K1228" i="3"/>
  <c r="S1135" i="3"/>
  <c r="K1182" i="3"/>
  <c r="M1135" i="3"/>
  <c r="T1135" i="3" s="1"/>
  <c r="S1130" i="3"/>
  <c r="K1177" i="3"/>
  <c r="M1130" i="3"/>
  <c r="T1130" i="3" s="1"/>
  <c r="K1223" i="3"/>
  <c r="S1268" i="3"/>
  <c r="M1268" i="3"/>
  <c r="T114" i="3"/>
  <c r="R114" i="3"/>
  <c r="S212" i="3"/>
  <c r="M212" i="3"/>
  <c r="T212" i="3" s="1"/>
  <c r="M1199" i="3"/>
  <c r="S1199" i="3"/>
  <c r="R43" i="2"/>
  <c r="Q43" i="2" s="1"/>
  <c r="R42" i="2"/>
  <c r="Q42" i="2" s="1"/>
  <c r="R41" i="2"/>
  <c r="Q41" i="2" s="1"/>
  <c r="R28" i="2"/>
  <c r="Q28" i="2" s="1"/>
  <c r="R20" i="2"/>
  <c r="Q20" i="2" s="1"/>
  <c r="R19" i="2"/>
  <c r="Q19" i="2" s="1"/>
  <c r="R15" i="2"/>
  <c r="Q15" i="2" s="1"/>
  <c r="R14" i="2"/>
  <c r="Q14" i="2" s="1"/>
  <c r="R31" i="2"/>
  <c r="Q31" i="2" s="1"/>
  <c r="R40" i="2"/>
  <c r="Q40" i="2" s="1"/>
  <c r="R27" i="2"/>
  <c r="Q27" i="2" s="1"/>
  <c r="R44" i="2"/>
  <c r="Q44" i="2" s="1"/>
  <c r="R30" i="2"/>
  <c r="Q30" i="2" s="1"/>
  <c r="R25" i="2"/>
  <c r="Q25" i="2" s="1"/>
  <c r="R24" i="2"/>
  <c r="Q24" i="2" s="1"/>
  <c r="R23" i="2"/>
  <c r="Q23" i="2" s="1"/>
  <c r="R32" i="2"/>
  <c r="Q32" i="2" s="1"/>
  <c r="R29" i="2"/>
  <c r="Q29" i="2" s="1"/>
  <c r="R22" i="2"/>
  <c r="Q22" i="2" s="1"/>
  <c r="S989" i="3"/>
  <c r="M989" i="3"/>
  <c r="T989" i="3" s="1"/>
  <c r="T737" i="3"/>
  <c r="T840" i="3"/>
  <c r="S139" i="3"/>
  <c r="M139" i="3"/>
  <c r="S195" i="3"/>
  <c r="M195" i="3"/>
  <c r="S209" i="3"/>
  <c r="M209" i="3"/>
  <c r="T159" i="3"/>
  <c r="R159" i="3"/>
  <c r="M406" i="3"/>
  <c r="T402" i="3"/>
  <c r="T965" i="3"/>
  <c r="T483" i="3"/>
  <c r="S39" i="3"/>
  <c r="M39" i="3"/>
  <c r="T244" i="3"/>
  <c r="S889" i="3"/>
  <c r="M889" i="3"/>
  <c r="T889" i="3" s="1"/>
  <c r="M129" i="3"/>
  <c r="S129" i="3"/>
  <c r="S185" i="3"/>
  <c r="M185" i="3"/>
  <c r="T185" i="3" s="1"/>
  <c r="M1100" i="3"/>
  <c r="T1100" i="3" s="1"/>
  <c r="S1100" i="3"/>
  <c r="T145" i="3"/>
  <c r="R145" i="3"/>
  <c r="P648" i="3"/>
  <c r="T648" i="3"/>
  <c r="P628" i="3"/>
  <c r="M41" i="1"/>
  <c r="K987" i="3"/>
  <c r="S921" i="3"/>
  <c r="K1053" i="3"/>
  <c r="M921" i="3"/>
  <c r="S881" i="3"/>
  <c r="M881" i="3"/>
  <c r="T881" i="3" s="1"/>
  <c r="S1102" i="3"/>
  <c r="M1102" i="3"/>
  <c r="T1102" i="3" s="1"/>
  <c r="M595" i="3"/>
  <c r="T595" i="3" s="1"/>
  <c r="T591" i="3"/>
  <c r="M144" i="3"/>
  <c r="S144" i="3"/>
  <c r="M130" i="3"/>
  <c r="S130" i="3"/>
  <c r="M1032" i="3"/>
  <c r="T1032" i="3" s="1"/>
  <c r="S1032" i="3"/>
  <c r="M415" i="3"/>
  <c r="T411" i="3"/>
  <c r="S1147" i="3"/>
  <c r="K1194" i="3"/>
  <c r="M1147" i="3"/>
  <c r="T1147" i="3" s="1"/>
  <c r="K1240" i="3"/>
  <c r="M1134" i="3"/>
  <c r="T1134" i="3" s="1"/>
  <c r="K1181" i="3"/>
  <c r="S1134" i="3"/>
  <c r="K1227" i="3"/>
  <c r="K1178" i="3"/>
  <c r="K1224" i="3"/>
  <c r="S1131" i="3"/>
  <c r="M1131" i="3"/>
  <c r="T1131" i="3" s="1"/>
  <c r="K1212" i="3"/>
  <c r="M1119" i="3"/>
  <c r="K1166" i="3"/>
  <c r="S1119" i="3"/>
  <c r="K1193" i="3"/>
  <c r="K1239" i="3"/>
  <c r="S1146" i="3"/>
  <c r="M1146" i="3"/>
  <c r="T1146" i="3" s="1"/>
  <c r="K1234" i="3"/>
  <c r="S1141" i="3"/>
  <c r="K1188" i="3"/>
  <c r="M1141" i="3"/>
  <c r="T1141" i="3" s="1"/>
  <c r="K1230" i="3"/>
  <c r="S1137" i="3"/>
  <c r="K1184" i="3"/>
  <c r="M1137" i="3"/>
  <c r="T1137" i="3" s="1"/>
  <c r="D52" i="4"/>
  <c r="F52" i="4" s="1"/>
  <c r="K933" i="3" s="1"/>
  <c r="H43" i="4"/>
  <c r="L43" i="4" s="1"/>
  <c r="K927" i="3" s="1"/>
  <c r="S773" i="3"/>
  <c r="M773" i="3"/>
  <c r="T349" i="3"/>
  <c r="T856" i="3"/>
  <c r="S128" i="3"/>
  <c r="M128" i="3"/>
  <c r="M156" i="3"/>
  <c r="S156" i="3"/>
  <c r="M1035" i="3"/>
  <c r="T1035" i="3" s="1"/>
  <c r="S1035" i="3"/>
  <c r="S1069" i="3"/>
  <c r="M1069" i="3"/>
  <c r="T1069" i="3" s="1"/>
  <c r="T111" i="3"/>
  <c r="R111" i="3"/>
  <c r="S167" i="3"/>
  <c r="M167" i="3"/>
  <c r="H44" i="4"/>
  <c r="L44" i="4" s="1"/>
  <c r="K940" i="3" s="1"/>
  <c r="D53" i="4"/>
  <c r="F53" i="4" s="1"/>
  <c r="K946" i="3" s="1"/>
  <c r="M1031" i="3"/>
  <c r="S1031" i="3"/>
  <c r="M1033" i="3"/>
  <c r="T1033" i="3" s="1"/>
  <c r="S1033" i="3"/>
  <c r="T600" i="3"/>
  <c r="T808" i="3"/>
  <c r="S905" i="3"/>
  <c r="M905" i="3"/>
  <c r="T905" i="3" s="1"/>
  <c r="S143" i="3"/>
  <c r="M143" i="3"/>
  <c r="S199" i="3"/>
  <c r="M199" i="3"/>
  <c r="T199" i="3" s="1"/>
  <c r="S213" i="3"/>
  <c r="M213" i="3"/>
  <c r="T213" i="3" s="1"/>
  <c r="M424" i="3"/>
  <c r="T420" i="3"/>
  <c r="T1245" i="3"/>
  <c r="T455" i="3"/>
  <c r="S849" i="3"/>
  <c r="M849" i="3"/>
  <c r="T849" i="3" s="1"/>
  <c r="S833" i="3"/>
  <c r="M833" i="3"/>
  <c r="T833" i="3" s="1"/>
  <c r="T746" i="3"/>
  <c r="S613" i="3"/>
  <c r="M613" i="3"/>
  <c r="T265" i="3"/>
  <c r="S158" i="3"/>
  <c r="M158" i="3"/>
  <c r="S186" i="3"/>
  <c r="M186" i="3"/>
  <c r="T186" i="3" s="1"/>
  <c r="M1201" i="3"/>
  <c r="T1201" i="3" s="1"/>
  <c r="S1201" i="3"/>
  <c r="S1098" i="3"/>
  <c r="M1098" i="3"/>
  <c r="T1098" i="3" s="1"/>
  <c r="K1221" i="3"/>
  <c r="S1128" i="3"/>
  <c r="K1175" i="3"/>
  <c r="M1128" i="3"/>
  <c r="T1128" i="3" s="1"/>
  <c r="K1236" i="3"/>
  <c r="S1143" i="3"/>
  <c r="K1190" i="3"/>
  <c r="M1143" i="3"/>
  <c r="T1143" i="3" s="1"/>
  <c r="D54" i="4"/>
  <c r="F54" i="4" s="1"/>
  <c r="K947" i="3" s="1"/>
  <c r="H45" i="4"/>
  <c r="L45" i="4" s="1"/>
  <c r="K941" i="3" s="1"/>
  <c r="S780" i="3"/>
  <c r="M780" i="3"/>
  <c r="T328" i="3"/>
  <c r="S142" i="3"/>
  <c r="M142" i="3"/>
  <c r="S170" i="3"/>
  <c r="M170" i="3"/>
  <c r="T170" i="3" s="1"/>
  <c r="T131" i="3"/>
  <c r="R131" i="3"/>
  <c r="T397" i="3"/>
  <c r="P397" i="3"/>
  <c r="P391" i="3"/>
  <c r="M40" i="1"/>
  <c r="M1055" i="3"/>
  <c r="T1055" i="3" s="1"/>
  <c r="S1055" i="3"/>
  <c r="T307" i="3"/>
  <c r="T824" i="3"/>
  <c r="M153" i="3"/>
  <c r="S153" i="3"/>
  <c r="D51" i="4"/>
  <c r="F51" i="4" s="1"/>
  <c r="K932" i="3" s="1"/>
  <c r="H42" i="4"/>
  <c r="L42" i="4" s="1"/>
  <c r="K926" i="3" s="1"/>
  <c r="S1097" i="3"/>
  <c r="M1097" i="3"/>
  <c r="T441" i="3"/>
  <c r="T755" i="3"/>
  <c r="T872" i="3"/>
  <c r="S841" i="3"/>
  <c r="M841" i="3"/>
  <c r="T841" i="3" s="1"/>
  <c r="S809" i="3"/>
  <c r="M809" i="3"/>
  <c r="T809" i="3" s="1"/>
  <c r="M873" i="3"/>
  <c r="T873" i="3" s="1"/>
  <c r="S873" i="3"/>
  <c r="T115" i="3"/>
  <c r="R115" i="3"/>
  <c r="S157" i="3"/>
  <c r="M157" i="3"/>
  <c r="S171" i="3"/>
  <c r="M171" i="3"/>
  <c r="T171" i="3" s="1"/>
  <c r="Z25" i="2"/>
  <c r="M1034" i="3"/>
  <c r="T1034" i="3" s="1"/>
  <c r="S1034" i="3"/>
  <c r="T469" i="3"/>
  <c r="S865" i="3"/>
  <c r="M865" i="3"/>
  <c r="T865" i="3" s="1"/>
  <c r="S897" i="3"/>
  <c r="M897" i="3"/>
  <c r="T897" i="3" s="1"/>
  <c r="M1036" i="3"/>
  <c r="T1036" i="3" s="1"/>
  <c r="S1036" i="3"/>
  <c r="R116" i="3"/>
  <c r="T116" i="3"/>
  <c r="S200" i="3"/>
  <c r="M200" i="3"/>
  <c r="T200" i="3" s="1"/>
  <c r="S214" i="3"/>
  <c r="M214" i="3"/>
  <c r="T214" i="3" s="1"/>
  <c r="U30" i="2"/>
  <c r="AC30" i="2" s="1"/>
  <c r="Q30" i="1"/>
  <c r="Q33" i="1" s="1"/>
  <c r="T33" i="2"/>
  <c r="K1185" i="3"/>
  <c r="M1138" i="3"/>
  <c r="T1138" i="3" s="1"/>
  <c r="S1138" i="3"/>
  <c r="K1231" i="3"/>
  <c r="K1191" i="3"/>
  <c r="M1144" i="3"/>
  <c r="T1144" i="3" s="1"/>
  <c r="K1237" i="3"/>
  <c r="S1144" i="3"/>
  <c r="K1168" i="3"/>
  <c r="K1214" i="3"/>
  <c r="M1121" i="3"/>
  <c r="T1121" i="3" s="1"/>
  <c r="S1121" i="3"/>
  <c r="T766" i="3"/>
  <c r="M768" i="3"/>
  <c r="S787" i="3"/>
  <c r="M787" i="3"/>
  <c r="T888" i="3"/>
  <c r="S198" i="3"/>
  <c r="M198" i="3"/>
  <c r="T198" i="3" s="1"/>
  <c r="S184" i="3"/>
  <c r="M184" i="3"/>
  <c r="T184" i="3" s="1"/>
  <c r="S663" i="3"/>
  <c r="M663" i="3"/>
  <c r="S1101" i="3"/>
  <c r="M1101" i="3"/>
  <c r="T1101" i="3" s="1"/>
  <c r="S1003" i="3"/>
  <c r="M1003" i="3"/>
  <c r="T1003" i="3" s="1"/>
  <c r="S40" i="3"/>
  <c r="M40" i="3"/>
  <c r="T40" i="3" s="1"/>
  <c r="P234" i="3"/>
  <c r="M125" i="3"/>
  <c r="S125" i="3"/>
  <c r="S181" i="3"/>
  <c r="M181" i="3"/>
  <c r="M1099" i="3"/>
  <c r="T1099" i="3" s="1"/>
  <c r="S1099" i="3"/>
  <c r="T77" i="3"/>
  <c r="M81" i="3"/>
  <c r="T286" i="3"/>
  <c r="S857" i="3"/>
  <c r="M857" i="3"/>
  <c r="T857" i="3" s="1"/>
  <c r="S825" i="3"/>
  <c r="M825" i="3"/>
  <c r="T825" i="3" s="1"/>
  <c r="M1200" i="3"/>
  <c r="T1200" i="3" s="1"/>
  <c r="S1200" i="3"/>
  <c r="M935" i="3"/>
  <c r="T935" i="3" s="1"/>
  <c r="K1067" i="3"/>
  <c r="K1001" i="3"/>
  <c r="S935" i="3"/>
  <c r="M817" i="3"/>
  <c r="T817" i="3" s="1"/>
  <c r="S817" i="3"/>
  <c r="S913" i="3"/>
  <c r="M913" i="3"/>
  <c r="T913" i="3" s="1"/>
  <c r="K750" i="3"/>
  <c r="S732" i="3"/>
  <c r="K741" i="3"/>
  <c r="K759" i="3"/>
  <c r="M732" i="3"/>
  <c r="T370" i="3"/>
  <c r="T904" i="3"/>
  <c r="S172" i="3"/>
  <c r="M172" i="3"/>
  <c r="T172" i="3" s="1"/>
  <c r="Q29" i="1"/>
  <c r="Q38" i="1" s="1"/>
  <c r="Q49" i="1" s="1"/>
  <c r="U29" i="2"/>
  <c r="AC29" i="2" s="1"/>
  <c r="T38" i="2"/>
  <c r="K435" i="3"/>
  <c r="K118" i="3" l="1"/>
  <c r="K1203" i="3" s="1"/>
  <c r="K174" i="3"/>
  <c r="K216" i="3"/>
  <c r="K146" i="3"/>
  <c r="Q118" i="3"/>
  <c r="K202" i="3"/>
  <c r="S118" i="3"/>
  <c r="K132" i="3"/>
  <c r="T81" i="3"/>
  <c r="P81" i="3"/>
  <c r="T181" i="3"/>
  <c r="K235" i="3"/>
  <c r="K233" i="3"/>
  <c r="K237" i="3"/>
  <c r="K232" i="3"/>
  <c r="K234" i="3"/>
  <c r="K236" i="3"/>
  <c r="M1237" i="3"/>
  <c r="T1237" i="3" s="1"/>
  <c r="S1237" i="3"/>
  <c r="U33" i="2"/>
  <c r="AC33" i="2" s="1"/>
  <c r="T153" i="3"/>
  <c r="R153" i="3"/>
  <c r="P394" i="3"/>
  <c r="P393" i="3"/>
  <c r="S1190" i="3"/>
  <c r="M1190" i="3"/>
  <c r="T1190" i="3" s="1"/>
  <c r="S1175" i="3"/>
  <c r="M1175" i="3"/>
  <c r="T1175" i="3" s="1"/>
  <c r="R143" i="3"/>
  <c r="T143" i="3"/>
  <c r="M946" i="3"/>
  <c r="T946" i="3" s="1"/>
  <c r="K1078" i="3"/>
  <c r="K1012" i="3"/>
  <c r="S946" i="3"/>
  <c r="T773" i="3"/>
  <c r="M775" i="3"/>
  <c r="S1227" i="3"/>
  <c r="M1227" i="3"/>
  <c r="T1227" i="3" s="1"/>
  <c r="S1240" i="3"/>
  <c r="M1240" i="3"/>
  <c r="T1240" i="3" s="1"/>
  <c r="O23" i="1"/>
  <c r="Y23" i="2"/>
  <c r="Q26" i="2"/>
  <c r="O44" i="1"/>
  <c r="Y44" i="2"/>
  <c r="Y14" i="2"/>
  <c r="O14" i="1"/>
  <c r="Q17" i="2"/>
  <c r="O28" i="1"/>
  <c r="Y28" i="2"/>
  <c r="S1223" i="3"/>
  <c r="M1223" i="3"/>
  <c r="T1223" i="3" s="1"/>
  <c r="S1233" i="3"/>
  <c r="M1233" i="3"/>
  <c r="T1233" i="3" s="1"/>
  <c r="S1167" i="3"/>
  <c r="M1167" i="3"/>
  <c r="T1167" i="3" s="1"/>
  <c r="U38" i="2"/>
  <c r="AC38" i="2" s="1"/>
  <c r="T49" i="2"/>
  <c r="S741" i="3"/>
  <c r="M741" i="3"/>
  <c r="S1001" i="3"/>
  <c r="M1001" i="3"/>
  <c r="T1001" i="3" s="1"/>
  <c r="T768" i="3"/>
  <c r="P764" i="3"/>
  <c r="M44" i="1"/>
  <c r="M1214" i="3"/>
  <c r="T1214" i="3" s="1"/>
  <c r="S1214" i="3"/>
  <c r="K992" i="3"/>
  <c r="K929" i="3"/>
  <c r="S926" i="3"/>
  <c r="K1058" i="3"/>
  <c r="M926" i="3"/>
  <c r="T926" i="3" s="1"/>
  <c r="M941" i="3"/>
  <c r="T941" i="3" s="1"/>
  <c r="K1073" i="3"/>
  <c r="K1007" i="3"/>
  <c r="K944" i="3"/>
  <c r="S941" i="3"/>
  <c r="R158" i="3"/>
  <c r="T158" i="3"/>
  <c r="M940" i="3"/>
  <c r="T940" i="3" s="1"/>
  <c r="K1072" i="3"/>
  <c r="K1006" i="3"/>
  <c r="K943" i="3"/>
  <c r="S940" i="3"/>
  <c r="T156" i="3"/>
  <c r="R156" i="3"/>
  <c r="S1184" i="3"/>
  <c r="M1184" i="3"/>
  <c r="T1184" i="3" s="1"/>
  <c r="S1188" i="3"/>
  <c r="M1188" i="3"/>
  <c r="T1188" i="3" s="1"/>
  <c r="M1166" i="3"/>
  <c r="S1166" i="3"/>
  <c r="P415" i="3"/>
  <c r="T415" i="3"/>
  <c r="T130" i="3"/>
  <c r="R130" i="3"/>
  <c r="S987" i="3"/>
  <c r="M987" i="3"/>
  <c r="R129" i="3"/>
  <c r="T129" i="3"/>
  <c r="T209" i="3"/>
  <c r="R139" i="3"/>
  <c r="T139" i="3"/>
  <c r="O22" i="1"/>
  <c r="Y22" i="2"/>
  <c r="Y24" i="2"/>
  <c r="O24" i="1"/>
  <c r="Y27" i="2"/>
  <c r="O27" i="1"/>
  <c r="Y15" i="2"/>
  <c r="O15" i="1"/>
  <c r="Y41" i="2"/>
  <c r="O41" i="1"/>
  <c r="S41" i="1" s="1"/>
  <c r="T1199" i="3"/>
  <c r="S1182" i="3"/>
  <c r="M1182" i="3"/>
  <c r="T1182" i="3" s="1"/>
  <c r="S1220" i="3"/>
  <c r="M1220" i="3"/>
  <c r="T1220" i="3" s="1"/>
  <c r="S1222" i="3"/>
  <c r="M1222" i="3"/>
  <c r="T1222" i="3" s="1"/>
  <c r="K1251" i="3"/>
  <c r="K971" i="3"/>
  <c r="K491" i="3"/>
  <c r="S435" i="3"/>
  <c r="K477" i="3"/>
  <c r="M435" i="3"/>
  <c r="K463" i="3"/>
  <c r="K449" i="3"/>
  <c r="S759" i="3"/>
  <c r="M759" i="3"/>
  <c r="Z29" i="2"/>
  <c r="S1067" i="3"/>
  <c r="M1067" i="3"/>
  <c r="T1067" i="3" s="1"/>
  <c r="S1168" i="3"/>
  <c r="M1168" i="3"/>
  <c r="T1168" i="3" s="1"/>
  <c r="S1191" i="3"/>
  <c r="M1191" i="3"/>
  <c r="T1191" i="3" s="1"/>
  <c r="S1185" i="3"/>
  <c r="M1185" i="3"/>
  <c r="T1185" i="3" s="1"/>
  <c r="K998" i="3"/>
  <c r="S932" i="3"/>
  <c r="K1064" i="3"/>
  <c r="M932" i="3"/>
  <c r="T932" i="3" s="1"/>
  <c r="M947" i="3"/>
  <c r="T947" i="3" s="1"/>
  <c r="K1079" i="3"/>
  <c r="K1013" i="3"/>
  <c r="S947" i="3"/>
  <c r="S1236" i="3"/>
  <c r="M1236" i="3"/>
  <c r="T1236" i="3" s="1"/>
  <c r="S1221" i="3"/>
  <c r="M1221" i="3"/>
  <c r="T1221" i="3" s="1"/>
  <c r="T613" i="3"/>
  <c r="M617" i="3"/>
  <c r="T617" i="3" s="1"/>
  <c r="P584" i="3"/>
  <c r="K585" i="3"/>
  <c r="T167" i="3"/>
  <c r="R128" i="3"/>
  <c r="T128" i="3"/>
  <c r="K993" i="3"/>
  <c r="K930" i="3"/>
  <c r="S927" i="3"/>
  <c r="M927" i="3"/>
  <c r="T927" i="3" s="1"/>
  <c r="K1059" i="3"/>
  <c r="M1239" i="3"/>
  <c r="T1239" i="3" s="1"/>
  <c r="S1239" i="3"/>
  <c r="T1119" i="3"/>
  <c r="M1224" i="3"/>
  <c r="T1224" i="3" s="1"/>
  <c r="S1224" i="3"/>
  <c r="M1181" i="3"/>
  <c r="T1181" i="3" s="1"/>
  <c r="S1181" i="3"/>
  <c r="S1194" i="3"/>
  <c r="M1194" i="3"/>
  <c r="T1194" i="3" s="1"/>
  <c r="T921" i="3"/>
  <c r="U41" i="1"/>
  <c r="W41" i="1" s="1"/>
  <c r="AC41" i="1"/>
  <c r="AF41" i="1" s="1"/>
  <c r="AA41" i="2"/>
  <c r="T39" i="3"/>
  <c r="K20" i="3"/>
  <c r="P406" i="3"/>
  <c r="T406" i="3"/>
  <c r="Y29" i="2"/>
  <c r="O29" i="1"/>
  <c r="O25" i="1"/>
  <c r="Y25" i="2"/>
  <c r="Y40" i="2"/>
  <c r="O40" i="1"/>
  <c r="S40" i="1" s="1"/>
  <c r="Q45" i="2"/>
  <c r="Y19" i="2"/>
  <c r="Q21" i="2"/>
  <c r="O19" i="1"/>
  <c r="Q38" i="2"/>
  <c r="Y42" i="2"/>
  <c r="O42" i="1"/>
  <c r="T1268" i="3"/>
  <c r="M1269" i="3"/>
  <c r="S1177" i="3"/>
  <c r="M1177" i="3"/>
  <c r="T1177" i="3" s="1"/>
  <c r="T732" i="3"/>
  <c r="M734" i="3"/>
  <c r="S750" i="3"/>
  <c r="M750" i="3"/>
  <c r="R125" i="3"/>
  <c r="T125" i="3"/>
  <c r="T663" i="3"/>
  <c r="M666" i="3"/>
  <c r="T787" i="3"/>
  <c r="M789" i="3"/>
  <c r="S1231" i="3"/>
  <c r="M1231" i="3"/>
  <c r="T1231" i="3" s="1"/>
  <c r="Z30" i="2"/>
  <c r="R157" i="3"/>
  <c r="T157" i="3"/>
  <c r="T1097" i="3"/>
  <c r="AC40" i="1"/>
  <c r="AF40" i="1" s="1"/>
  <c r="U40" i="1"/>
  <c r="AA40" i="2"/>
  <c r="T142" i="3"/>
  <c r="R142" i="3"/>
  <c r="T780" i="3"/>
  <c r="M782" i="3"/>
  <c r="K798" i="3"/>
  <c r="T424" i="3"/>
  <c r="P424" i="3"/>
  <c r="T1031" i="3"/>
  <c r="K999" i="3"/>
  <c r="S933" i="3"/>
  <c r="M933" i="3"/>
  <c r="T933" i="3" s="1"/>
  <c r="K1065" i="3"/>
  <c r="M1230" i="3"/>
  <c r="T1230" i="3" s="1"/>
  <c r="S1230" i="3"/>
  <c r="M1234" i="3"/>
  <c r="T1234" i="3" s="1"/>
  <c r="S1234" i="3"/>
  <c r="S1193" i="3"/>
  <c r="M1193" i="3"/>
  <c r="T1193" i="3" s="1"/>
  <c r="S1212" i="3"/>
  <c r="M1212" i="3"/>
  <c r="S1178" i="3"/>
  <c r="M1178" i="3"/>
  <c r="T1178" i="3" s="1"/>
  <c r="R144" i="3"/>
  <c r="T144" i="3"/>
  <c r="S1053" i="3"/>
  <c r="M1053" i="3"/>
  <c r="P631" i="3"/>
  <c r="P630" i="3"/>
  <c r="T195" i="3"/>
  <c r="Y32" i="2"/>
  <c r="O32" i="1"/>
  <c r="Q33" i="2"/>
  <c r="Y30" i="2"/>
  <c r="O30" i="1"/>
  <c r="O31" i="1"/>
  <c r="Y31" i="2"/>
  <c r="Y20" i="2"/>
  <c r="O20" i="1"/>
  <c r="Y43" i="2"/>
  <c r="O43" i="1"/>
  <c r="M1228" i="3"/>
  <c r="T1228" i="3" s="1"/>
  <c r="S1228" i="3"/>
  <c r="S1187" i="3"/>
  <c r="M1187" i="3"/>
  <c r="T1187" i="3" s="1"/>
  <c r="S1174" i="3"/>
  <c r="M1174" i="3"/>
  <c r="T1174" i="3" s="1"/>
  <c r="S1176" i="3"/>
  <c r="M1176" i="3"/>
  <c r="T1176" i="3" s="1"/>
  <c r="S1213" i="3"/>
  <c r="M1213" i="3"/>
  <c r="T1213" i="3" s="1"/>
  <c r="K160" i="3" l="1"/>
  <c r="M118" i="3"/>
  <c r="K188" i="3"/>
  <c r="K878" i="3"/>
  <c r="K910" i="3"/>
  <c r="K894" i="3"/>
  <c r="K830" i="3"/>
  <c r="K814" i="3"/>
  <c r="S798" i="3"/>
  <c r="P801" i="3"/>
  <c r="M798" i="3"/>
  <c r="K862" i="3"/>
  <c r="K846" i="3"/>
  <c r="K800" i="3"/>
  <c r="W40" i="1"/>
  <c r="T750" i="3"/>
  <c r="M752" i="3"/>
  <c r="R21" i="2"/>
  <c r="Y21" i="2" s="1"/>
  <c r="K607" i="3"/>
  <c r="S585" i="3"/>
  <c r="M585" i="3"/>
  <c r="S998" i="3"/>
  <c r="M998" i="3"/>
  <c r="T998" i="3" s="1"/>
  <c r="S449" i="3"/>
  <c r="M449" i="3"/>
  <c r="T1166" i="3"/>
  <c r="K1009" i="3"/>
  <c r="K1075" i="3"/>
  <c r="S943" i="3"/>
  <c r="M943" i="3"/>
  <c r="T943" i="3" s="1"/>
  <c r="K1010" i="3"/>
  <c r="S944" i="3"/>
  <c r="K1076" i="3"/>
  <c r="M944" i="3"/>
  <c r="T944" i="3" s="1"/>
  <c r="S992" i="3"/>
  <c r="M992" i="3"/>
  <c r="T992" i="3" s="1"/>
  <c r="P767" i="3"/>
  <c r="P766" i="3"/>
  <c r="T741" i="3"/>
  <c r="M743" i="3"/>
  <c r="O26" i="1"/>
  <c r="K381" i="3"/>
  <c r="Q234" i="3"/>
  <c r="K360" i="3"/>
  <c r="K297" i="3"/>
  <c r="K339" i="3"/>
  <c r="K255" i="3"/>
  <c r="M234" i="3"/>
  <c r="T234" i="3" s="1"/>
  <c r="K276" i="3"/>
  <c r="K318" i="3"/>
  <c r="S234" i="3"/>
  <c r="K228" i="3"/>
  <c r="K382" i="3"/>
  <c r="S235" i="3"/>
  <c r="K361" i="3"/>
  <c r="K298" i="3"/>
  <c r="K340" i="3"/>
  <c r="M235" i="3"/>
  <c r="T235" i="3" s="1"/>
  <c r="K319" i="3"/>
  <c r="K256" i="3"/>
  <c r="K277" i="3"/>
  <c r="S202" i="3"/>
  <c r="M202" i="3"/>
  <c r="S216" i="3"/>
  <c r="M216" i="3"/>
  <c r="O33" i="1"/>
  <c r="T1212" i="3"/>
  <c r="S1065" i="3"/>
  <c r="M1065" i="3"/>
  <c r="T1065" i="3" s="1"/>
  <c r="P782" i="3"/>
  <c r="T782" i="3"/>
  <c r="T789" i="3"/>
  <c r="P789" i="3"/>
  <c r="Y41" i="1"/>
  <c r="AD41" i="1"/>
  <c r="AG41" i="1" s="1"/>
  <c r="S1013" i="3"/>
  <c r="M1013" i="3"/>
  <c r="T1013" i="3" s="1"/>
  <c r="S463" i="3"/>
  <c r="M463" i="3"/>
  <c r="S491" i="3"/>
  <c r="M491" i="3"/>
  <c r="T987" i="3"/>
  <c r="S1006" i="3"/>
  <c r="M1006" i="3"/>
  <c r="T1006" i="3" s="1"/>
  <c r="S1007" i="3"/>
  <c r="M1007" i="3"/>
  <c r="T1007" i="3" s="1"/>
  <c r="S1058" i="3"/>
  <c r="M1058" i="3"/>
  <c r="T1058" i="3" s="1"/>
  <c r="R17" i="2"/>
  <c r="Y17" i="2" s="1"/>
  <c r="P775" i="3"/>
  <c r="T775" i="3"/>
  <c r="S1012" i="3"/>
  <c r="M1012" i="3"/>
  <c r="T1012" i="3" s="1"/>
  <c r="K379" i="3"/>
  <c r="Q236" i="3"/>
  <c r="M232" i="3"/>
  <c r="K358" i="3"/>
  <c r="K295" i="3"/>
  <c r="Q235" i="3"/>
  <c r="K337" i="3"/>
  <c r="K253" i="3"/>
  <c r="S232" i="3"/>
  <c r="K274" i="3"/>
  <c r="K316" i="3"/>
  <c r="S132" i="3"/>
  <c r="M132" i="3"/>
  <c r="M160" i="3"/>
  <c r="S160" i="3"/>
  <c r="Y33" i="2"/>
  <c r="R33" i="2"/>
  <c r="T1053" i="3"/>
  <c r="AD40" i="1"/>
  <c r="AG40" i="1" s="1"/>
  <c r="Y40" i="1"/>
  <c r="P734" i="3"/>
  <c r="P728" i="3"/>
  <c r="T734" i="3"/>
  <c r="M43" i="1"/>
  <c r="P1261" i="3"/>
  <c r="P1269" i="3"/>
  <c r="T1269" i="3"/>
  <c r="M35" i="1"/>
  <c r="R38" i="2"/>
  <c r="Y38" i="2" s="1"/>
  <c r="Q48" i="2"/>
  <c r="R45" i="2"/>
  <c r="Y45" i="2" s="1"/>
  <c r="M930" i="3"/>
  <c r="T930" i="3" s="1"/>
  <c r="K996" i="3"/>
  <c r="K1062" i="3"/>
  <c r="S930" i="3"/>
  <c r="S1079" i="3"/>
  <c r="M1079" i="3"/>
  <c r="T1079" i="3" s="1"/>
  <c r="S1064" i="3"/>
  <c r="M1064" i="3"/>
  <c r="T1064" i="3" s="1"/>
  <c r="T759" i="3"/>
  <c r="M761" i="3"/>
  <c r="T435" i="3"/>
  <c r="M438" i="3"/>
  <c r="K1103" i="3"/>
  <c r="S971" i="3"/>
  <c r="K1037" i="3"/>
  <c r="M971" i="3"/>
  <c r="M1072" i="3"/>
  <c r="T1072" i="3" s="1"/>
  <c r="S1072" i="3"/>
  <c r="S1073" i="3"/>
  <c r="M1073" i="3"/>
  <c r="T1073" i="3" s="1"/>
  <c r="T57" i="2"/>
  <c r="U49" i="2"/>
  <c r="AC49" i="2" s="1"/>
  <c r="O17" i="1"/>
  <c r="Y26" i="2"/>
  <c r="R26" i="2"/>
  <c r="M1078" i="3"/>
  <c r="T1078" i="3" s="1"/>
  <c r="S1078" i="3"/>
  <c r="K384" i="3"/>
  <c r="M237" i="3"/>
  <c r="T237" i="3" s="1"/>
  <c r="K363" i="3"/>
  <c r="K300" i="3"/>
  <c r="S237" i="3"/>
  <c r="K342" i="3"/>
  <c r="K321" i="3"/>
  <c r="K258" i="3"/>
  <c r="K279" i="3"/>
  <c r="K231" i="3"/>
  <c r="S146" i="3"/>
  <c r="M146" i="3"/>
  <c r="S174" i="3"/>
  <c r="M174" i="3"/>
  <c r="S999" i="3"/>
  <c r="M999" i="3"/>
  <c r="T999" i="3" s="1"/>
  <c r="T666" i="3"/>
  <c r="M725" i="3"/>
  <c r="O21" i="1"/>
  <c r="O38" i="1"/>
  <c r="O45" i="1"/>
  <c r="O48" i="1" s="1"/>
  <c r="M20" i="3"/>
  <c r="K22" i="3"/>
  <c r="S20" i="3"/>
  <c r="K21" i="3"/>
  <c r="K94" i="3"/>
  <c r="K41" i="3"/>
  <c r="K60" i="3"/>
  <c r="S1059" i="3"/>
  <c r="M1059" i="3"/>
  <c r="T1059" i="3" s="1"/>
  <c r="S993" i="3"/>
  <c r="M993" i="3"/>
  <c r="T993" i="3" s="1"/>
  <c r="M477" i="3"/>
  <c r="S477" i="3"/>
  <c r="S1251" i="3"/>
  <c r="M1251" i="3"/>
  <c r="M929" i="3"/>
  <c r="K1061" i="3"/>
  <c r="K995" i="3"/>
  <c r="S929" i="3"/>
  <c r="AC44" i="1"/>
  <c r="AF44" i="1" s="1"/>
  <c r="U44" i="1"/>
  <c r="W44" i="1" s="1"/>
  <c r="S44" i="1"/>
  <c r="AA44" i="2"/>
  <c r="Z38" i="2"/>
  <c r="Z33" i="2"/>
  <c r="K383" i="3"/>
  <c r="K362" i="3"/>
  <c r="K299" i="3"/>
  <c r="M236" i="3"/>
  <c r="T236" i="3" s="1"/>
  <c r="K341" i="3"/>
  <c r="K257" i="3"/>
  <c r="K278" i="3"/>
  <c r="S236" i="3"/>
  <c r="K320" i="3"/>
  <c r="K380" i="3"/>
  <c r="K359" i="3"/>
  <c r="K296" i="3"/>
  <c r="S233" i="3"/>
  <c r="K338" i="3"/>
  <c r="K254" i="3"/>
  <c r="K275" i="3"/>
  <c r="M233" i="3"/>
  <c r="T233" i="3" s="1"/>
  <c r="K317" i="3"/>
  <c r="R118" i="3"/>
  <c r="T118" i="3"/>
  <c r="P120" i="3"/>
  <c r="M122" i="3"/>
  <c r="S188" i="3"/>
  <c r="M188" i="3"/>
  <c r="S1203" i="3"/>
  <c r="M1203" i="3"/>
  <c r="S1061" i="3" l="1"/>
  <c r="M1061" i="3"/>
  <c r="T1061" i="3" s="1"/>
  <c r="M22" i="3"/>
  <c r="T22" i="3" s="1"/>
  <c r="K23" i="3"/>
  <c r="R19" i="3" s="1"/>
  <c r="S22" i="3"/>
  <c r="K96" i="3"/>
  <c r="K43" i="3"/>
  <c r="K62" i="3"/>
  <c r="M1037" i="3"/>
  <c r="S1037" i="3"/>
  <c r="P1264" i="3"/>
  <c r="P1263" i="3"/>
  <c r="S316" i="3"/>
  <c r="M316" i="3"/>
  <c r="AA41" i="1"/>
  <c r="T202" i="3"/>
  <c r="M206" i="3"/>
  <c r="S319" i="3"/>
  <c r="M319" i="3"/>
  <c r="T319" i="3" s="1"/>
  <c r="M361" i="3"/>
  <c r="T361" i="3" s="1"/>
  <c r="S361" i="3"/>
  <c r="S255" i="3"/>
  <c r="M255" i="3"/>
  <c r="T255" i="3" s="1"/>
  <c r="S1010" i="3"/>
  <c r="M1010" i="3"/>
  <c r="T1010" i="3" s="1"/>
  <c r="S1009" i="3"/>
  <c r="M1009" i="3"/>
  <c r="T1009" i="3" s="1"/>
  <c r="T752" i="3"/>
  <c r="P752" i="3"/>
  <c r="K880" i="3"/>
  <c r="K912" i="3"/>
  <c r="K896" i="3"/>
  <c r="K832" i="3"/>
  <c r="K816" i="3"/>
  <c r="S800" i="3"/>
  <c r="M800" i="3"/>
  <c r="T800" i="3" s="1"/>
  <c r="K864" i="3"/>
  <c r="K848" i="3"/>
  <c r="T798" i="3"/>
  <c r="S830" i="3"/>
  <c r="M830" i="3"/>
  <c r="S94" i="3"/>
  <c r="M94" i="3"/>
  <c r="S321" i="3"/>
  <c r="M321" i="3"/>
  <c r="T321" i="3" s="1"/>
  <c r="M363" i="3"/>
  <c r="T363" i="3" s="1"/>
  <c r="S363" i="3"/>
  <c r="S337" i="3"/>
  <c r="M337" i="3"/>
  <c r="S254" i="3"/>
  <c r="M254" i="3"/>
  <c r="T254" i="3" s="1"/>
  <c r="M359" i="3"/>
  <c r="T359" i="3" s="1"/>
  <c r="S359" i="3"/>
  <c r="S278" i="3"/>
  <c r="M278" i="3"/>
  <c r="T278" i="3" s="1"/>
  <c r="M299" i="3"/>
  <c r="T299" i="3" s="1"/>
  <c r="S299" i="3"/>
  <c r="T929" i="3"/>
  <c r="T477" i="3"/>
  <c r="M480" i="3"/>
  <c r="Q20" i="3"/>
  <c r="S21" i="3"/>
  <c r="K95" i="3"/>
  <c r="K42" i="3"/>
  <c r="M21" i="3"/>
  <c r="T21" i="3" s="1"/>
  <c r="K61" i="3"/>
  <c r="T20" i="3"/>
  <c r="T725" i="3"/>
  <c r="P725" i="3"/>
  <c r="P653" i="3"/>
  <c r="M42" i="1"/>
  <c r="T174" i="3"/>
  <c r="M178" i="3"/>
  <c r="M231" i="3"/>
  <c r="T231" i="3" s="1"/>
  <c r="S231" i="3"/>
  <c r="S342" i="3"/>
  <c r="M342" i="3"/>
  <c r="T342" i="3" s="1"/>
  <c r="Z49" i="2"/>
  <c r="T761" i="3"/>
  <c r="P761" i="3"/>
  <c r="S996" i="3"/>
  <c r="M996" i="3"/>
  <c r="T996" i="3" s="1"/>
  <c r="AC35" i="1"/>
  <c r="AF35" i="1" s="1"/>
  <c r="U35" i="1"/>
  <c r="W35" i="1" s="1"/>
  <c r="S35" i="1"/>
  <c r="AA35" i="2"/>
  <c r="S43" i="1"/>
  <c r="U43" i="1"/>
  <c r="W43" i="1" s="1"/>
  <c r="AC43" i="1"/>
  <c r="AF43" i="1" s="1"/>
  <c r="AA43" i="2"/>
  <c r="AA40" i="1"/>
  <c r="T160" i="3"/>
  <c r="R160" i="3"/>
  <c r="M164" i="3"/>
  <c r="S274" i="3"/>
  <c r="M274" i="3"/>
  <c r="T491" i="3"/>
  <c r="M494" i="3"/>
  <c r="P427" i="3" s="1"/>
  <c r="S318" i="3"/>
  <c r="M318" i="3"/>
  <c r="T318" i="3" s="1"/>
  <c r="S339" i="3"/>
  <c r="M339" i="3"/>
  <c r="T339" i="3" s="1"/>
  <c r="S381" i="3"/>
  <c r="M381" i="3"/>
  <c r="T381" i="3" s="1"/>
  <c r="S607" i="3"/>
  <c r="M607" i="3"/>
  <c r="P622" i="3" s="1"/>
  <c r="K622" i="3" s="1"/>
  <c r="R800" i="3"/>
  <c r="S894" i="3"/>
  <c r="M894" i="3"/>
  <c r="T188" i="3"/>
  <c r="M192" i="3"/>
  <c r="S275" i="3"/>
  <c r="M275" i="3"/>
  <c r="T275" i="3" s="1"/>
  <c r="M296" i="3"/>
  <c r="T296" i="3" s="1"/>
  <c r="S296" i="3"/>
  <c r="S1062" i="3"/>
  <c r="M1062" i="3"/>
  <c r="T1062" i="3" s="1"/>
  <c r="P239" i="3"/>
  <c r="T232" i="3"/>
  <c r="M241" i="3"/>
  <c r="T1203" i="3"/>
  <c r="M1206" i="3"/>
  <c r="T1206" i="3" s="1"/>
  <c r="R122" i="3"/>
  <c r="P122" i="3"/>
  <c r="P111" i="3"/>
  <c r="T122" i="3"/>
  <c r="M19" i="1"/>
  <c r="S317" i="3"/>
  <c r="M317" i="3"/>
  <c r="T317" i="3" s="1"/>
  <c r="S338" i="3"/>
  <c r="M338" i="3"/>
  <c r="T338" i="3" s="1"/>
  <c r="S380" i="3"/>
  <c r="M380" i="3"/>
  <c r="T380" i="3" s="1"/>
  <c r="S257" i="3"/>
  <c r="M257" i="3"/>
  <c r="T257" i="3" s="1"/>
  <c r="M362" i="3"/>
  <c r="T362" i="3" s="1"/>
  <c r="S362" i="3"/>
  <c r="T1251" i="3"/>
  <c r="M1253" i="3"/>
  <c r="T1253" i="3" s="1"/>
  <c r="S60" i="3"/>
  <c r="M60" i="3"/>
  <c r="Q19" i="3"/>
  <c r="O49" i="1"/>
  <c r="S279" i="3"/>
  <c r="M279" i="3"/>
  <c r="T279" i="3" s="1"/>
  <c r="S384" i="3"/>
  <c r="M384" i="3"/>
  <c r="T384" i="3" s="1"/>
  <c r="S1103" i="3"/>
  <c r="M1103" i="3"/>
  <c r="R48" i="2"/>
  <c r="Y48" i="2" s="1"/>
  <c r="Q49" i="2"/>
  <c r="R132" i="3"/>
  <c r="T132" i="3"/>
  <c r="M136" i="3"/>
  <c r="M295" i="3"/>
  <c r="S295" i="3"/>
  <c r="S379" i="3"/>
  <c r="M379" i="3"/>
  <c r="T216" i="3"/>
  <c r="M220" i="3"/>
  <c r="S277" i="3"/>
  <c r="M277" i="3"/>
  <c r="T277" i="3" s="1"/>
  <c r="S340" i="3"/>
  <c r="M340" i="3"/>
  <c r="T340" i="3" s="1"/>
  <c r="S382" i="3"/>
  <c r="M382" i="3"/>
  <c r="T382" i="3" s="1"/>
  <c r="S276" i="3"/>
  <c r="M276" i="3"/>
  <c r="T276" i="3" s="1"/>
  <c r="M297" i="3"/>
  <c r="T297" i="3" s="1"/>
  <c r="S297" i="3"/>
  <c r="S1076" i="3"/>
  <c r="M1076" i="3"/>
  <c r="T1076" i="3" s="1"/>
  <c r="S846" i="3"/>
  <c r="M846" i="3"/>
  <c r="S910" i="3"/>
  <c r="M910" i="3"/>
  <c r="S320" i="3"/>
  <c r="M320" i="3"/>
  <c r="T320" i="3" s="1"/>
  <c r="S341" i="3"/>
  <c r="M341" i="3"/>
  <c r="T341" i="3" s="1"/>
  <c r="S383" i="3"/>
  <c r="M383" i="3"/>
  <c r="T383" i="3" s="1"/>
  <c r="AD44" i="1"/>
  <c r="AG44" i="1" s="1"/>
  <c r="Y44" i="1"/>
  <c r="S995" i="3"/>
  <c r="M995" i="3"/>
  <c r="S41" i="3"/>
  <c r="M41" i="3"/>
  <c r="T146" i="3"/>
  <c r="R146" i="3"/>
  <c r="M150" i="3"/>
  <c r="S258" i="3"/>
  <c r="M258" i="3"/>
  <c r="T258" i="3" s="1"/>
  <c r="M300" i="3"/>
  <c r="T300" i="3" s="1"/>
  <c r="S300" i="3"/>
  <c r="T971" i="3"/>
  <c r="T438" i="3"/>
  <c r="P438" i="3"/>
  <c r="P506" i="3"/>
  <c r="P505" i="3" s="1"/>
  <c r="P731" i="3"/>
  <c r="P730" i="3"/>
  <c r="S253" i="3"/>
  <c r="M253" i="3"/>
  <c r="M358" i="3"/>
  <c r="S358" i="3"/>
  <c r="T463" i="3"/>
  <c r="M466" i="3"/>
  <c r="S256" i="3"/>
  <c r="M256" i="3"/>
  <c r="T256" i="3" s="1"/>
  <c r="M298" i="3"/>
  <c r="T298" i="3" s="1"/>
  <c r="S298" i="3"/>
  <c r="M228" i="3"/>
  <c r="S228" i="3"/>
  <c r="M360" i="3"/>
  <c r="T360" i="3" s="1"/>
  <c r="S360" i="3"/>
  <c r="P743" i="3"/>
  <c r="T743" i="3"/>
  <c r="M1075" i="3"/>
  <c r="T1075" i="3" s="1"/>
  <c r="S1075" i="3"/>
  <c r="T449" i="3"/>
  <c r="M452" i="3"/>
  <c r="T585" i="3"/>
  <c r="M589" i="3"/>
  <c r="S862" i="3"/>
  <c r="M862" i="3"/>
  <c r="M814" i="3"/>
  <c r="S814" i="3"/>
  <c r="M878" i="3"/>
  <c r="S878" i="3"/>
  <c r="M805" i="3" l="1"/>
  <c r="M22" i="1"/>
  <c r="P512" i="3"/>
  <c r="K1123" i="3" s="1"/>
  <c r="P466" i="3"/>
  <c r="T466" i="3"/>
  <c r="AC22" i="1"/>
  <c r="AF22" i="1" s="1"/>
  <c r="U22" i="1"/>
  <c r="W22" i="1" s="1"/>
  <c r="S22" i="1"/>
  <c r="AA22" i="2"/>
  <c r="T995" i="3"/>
  <c r="T846" i="3"/>
  <c r="T379" i="3"/>
  <c r="M388" i="3"/>
  <c r="R136" i="3"/>
  <c r="P136" i="3"/>
  <c r="T136" i="3"/>
  <c r="S19" i="1"/>
  <c r="AC19" i="1"/>
  <c r="AF19" i="1" s="1"/>
  <c r="U19" i="1"/>
  <c r="AA19" i="2"/>
  <c r="T192" i="3"/>
  <c r="P192" i="3"/>
  <c r="P656" i="3"/>
  <c r="P655" i="3"/>
  <c r="S42" i="3"/>
  <c r="M42" i="3"/>
  <c r="T42" i="3" s="1"/>
  <c r="S912" i="3"/>
  <c r="M912" i="3"/>
  <c r="T912" i="3" s="1"/>
  <c r="S62" i="3"/>
  <c r="M62" i="3"/>
  <c r="T62" i="3" s="1"/>
  <c r="M23" i="3"/>
  <c r="Q21" i="3"/>
  <c r="K97" i="3"/>
  <c r="K44" i="3"/>
  <c r="S23" i="3"/>
  <c r="K63" i="3"/>
  <c r="T814" i="3"/>
  <c r="T253" i="3"/>
  <c r="M262" i="3"/>
  <c r="T862" i="3"/>
  <c r="T878" i="3"/>
  <c r="T452" i="3"/>
  <c r="P452" i="3"/>
  <c r="K1124" i="3"/>
  <c r="T607" i="3"/>
  <c r="M611" i="3"/>
  <c r="T494" i="3"/>
  <c r="P494" i="3"/>
  <c r="T164" i="3"/>
  <c r="P164" i="3"/>
  <c r="R164" i="3"/>
  <c r="Y35" i="1"/>
  <c r="AD35" i="1"/>
  <c r="AG35" i="1" s="1"/>
  <c r="T178" i="3"/>
  <c r="P178" i="3"/>
  <c r="S95" i="3"/>
  <c r="M95" i="3"/>
  <c r="T95" i="3" s="1"/>
  <c r="P480" i="3"/>
  <c r="T480" i="3"/>
  <c r="T337" i="3"/>
  <c r="M346" i="3"/>
  <c r="T830" i="3"/>
  <c r="S848" i="3"/>
  <c r="M848" i="3"/>
  <c r="T848" i="3" s="1"/>
  <c r="M816" i="3"/>
  <c r="T816" i="3" s="1"/>
  <c r="S816" i="3"/>
  <c r="M880" i="3"/>
  <c r="T880" i="3" s="1"/>
  <c r="S880" i="3"/>
  <c r="S43" i="3"/>
  <c r="M43" i="3"/>
  <c r="T43" i="3" s="1"/>
  <c r="S622" i="3"/>
  <c r="K623" i="3"/>
  <c r="M622" i="3"/>
  <c r="M597" i="3"/>
  <c r="T589" i="3"/>
  <c r="K226" i="3"/>
  <c r="T228" i="3"/>
  <c r="T358" i="3"/>
  <c r="M367" i="3"/>
  <c r="P430" i="3"/>
  <c r="P429" i="3"/>
  <c r="T41" i="3"/>
  <c r="AA44" i="1"/>
  <c r="T910" i="3"/>
  <c r="T220" i="3"/>
  <c r="P220" i="3"/>
  <c r="T1103" i="3"/>
  <c r="T60" i="3"/>
  <c r="P114" i="3"/>
  <c r="P113" i="3"/>
  <c r="T894" i="3"/>
  <c r="S61" i="3"/>
  <c r="M61" i="3"/>
  <c r="T61" i="3" s="1"/>
  <c r="S864" i="3"/>
  <c r="M864" i="3"/>
  <c r="T864" i="3" s="1"/>
  <c r="S832" i="3"/>
  <c r="M832" i="3"/>
  <c r="T832" i="3" s="1"/>
  <c r="T206" i="3"/>
  <c r="P206" i="3"/>
  <c r="T316" i="3"/>
  <c r="M325" i="3"/>
  <c r="M20" i="1" s="1"/>
  <c r="M21" i="1" s="1"/>
  <c r="S96" i="3"/>
  <c r="M96" i="3"/>
  <c r="T96" i="3" s="1"/>
  <c r="L39" i="4"/>
  <c r="K502" i="3"/>
  <c r="K506" i="3"/>
  <c r="K501" i="3"/>
  <c r="K505" i="3"/>
  <c r="K500" i="3"/>
  <c r="K504" i="3"/>
  <c r="K503" i="3"/>
  <c r="T150" i="3"/>
  <c r="R150" i="3"/>
  <c r="P150" i="3"/>
  <c r="T295" i="3"/>
  <c r="M304" i="3"/>
  <c r="Q58" i="2"/>
  <c r="R49" i="2"/>
  <c r="Y49" i="2" s="1"/>
  <c r="P241" i="3"/>
  <c r="T241" i="3"/>
  <c r="P223" i="3"/>
  <c r="T274" i="3"/>
  <c r="M283" i="3"/>
  <c r="Y43" i="1"/>
  <c r="AD43" i="1"/>
  <c r="AG43" i="1" s="1"/>
  <c r="AC42" i="1"/>
  <c r="AF42" i="1" s="1"/>
  <c r="U42" i="1"/>
  <c r="S42" i="1"/>
  <c r="AA42" i="2"/>
  <c r="M45" i="1"/>
  <c r="T94" i="3"/>
  <c r="P805" i="3"/>
  <c r="T805" i="3"/>
  <c r="S896" i="3"/>
  <c r="M896" i="3"/>
  <c r="T896" i="3" s="1"/>
  <c r="T1037" i="3"/>
  <c r="M917" i="3" l="1"/>
  <c r="AC21" i="1"/>
  <c r="AF21" i="1" s="1"/>
  <c r="AA21" i="2"/>
  <c r="AD42" i="1"/>
  <c r="AG42" i="1" s="1"/>
  <c r="Y42" i="1"/>
  <c r="S45" i="1"/>
  <c r="AA43" i="1"/>
  <c r="P232" i="3"/>
  <c r="P225" i="3"/>
  <c r="K1277" i="3"/>
  <c r="K978" i="3"/>
  <c r="K545" i="3"/>
  <c r="K532" i="3"/>
  <c r="S504" i="3"/>
  <c r="K518" i="3"/>
  <c r="M504" i="3"/>
  <c r="T504" i="3" s="1"/>
  <c r="K1279" i="3"/>
  <c r="K980" i="3"/>
  <c r="K547" i="3"/>
  <c r="K534" i="3"/>
  <c r="M506" i="3"/>
  <c r="T506" i="3" s="1"/>
  <c r="K520" i="3"/>
  <c r="S506" i="3"/>
  <c r="K229" i="3"/>
  <c r="M226" i="3"/>
  <c r="K227" i="3"/>
  <c r="S226" i="3"/>
  <c r="M623" i="3"/>
  <c r="T623" i="3" s="1"/>
  <c r="S623" i="3"/>
  <c r="P346" i="3"/>
  <c r="T346" i="3"/>
  <c r="M97" i="3"/>
  <c r="S97" i="3"/>
  <c r="W19" i="1"/>
  <c r="T388" i="3"/>
  <c r="P388" i="3"/>
  <c r="W42" i="1"/>
  <c r="U45" i="1"/>
  <c r="P283" i="3"/>
  <c r="T283" i="3"/>
  <c r="D26" i="4"/>
  <c r="K974" i="3"/>
  <c r="K1273" i="3"/>
  <c r="K541" i="3"/>
  <c r="K528" i="3"/>
  <c r="K514" i="3"/>
  <c r="M500" i="3"/>
  <c r="S500" i="3"/>
  <c r="K976" i="3"/>
  <c r="D25" i="4"/>
  <c r="D47" i="4" s="1"/>
  <c r="K1275" i="3"/>
  <c r="K543" i="3"/>
  <c r="K530" i="3"/>
  <c r="K516" i="3"/>
  <c r="S502" i="3"/>
  <c r="M502" i="3"/>
  <c r="T502" i="3" s="1"/>
  <c r="T325" i="3"/>
  <c r="P325" i="3"/>
  <c r="P917" i="3"/>
  <c r="T917" i="3"/>
  <c r="P367" i="3"/>
  <c r="T367" i="3"/>
  <c r="AA35" i="1"/>
  <c r="K1170" i="3"/>
  <c r="M1123" i="3"/>
  <c r="K1216" i="3"/>
  <c r="S1123" i="3"/>
  <c r="M885" i="3"/>
  <c r="T262" i="3"/>
  <c r="P262" i="3"/>
  <c r="S63" i="3"/>
  <c r="M63" i="3"/>
  <c r="M48" i="1"/>
  <c r="AC45" i="1"/>
  <c r="AF45" i="1" s="1"/>
  <c r="AA45" i="2"/>
  <c r="P304" i="3"/>
  <c r="T304" i="3"/>
  <c r="K1278" i="3"/>
  <c r="K979" i="3"/>
  <c r="K546" i="3"/>
  <c r="K533" i="3"/>
  <c r="K519" i="3"/>
  <c r="M505" i="3"/>
  <c r="T505" i="3" s="1"/>
  <c r="S505" i="3"/>
  <c r="F46" i="4"/>
  <c r="F47" i="4" s="1"/>
  <c r="K951" i="3"/>
  <c r="P597" i="3"/>
  <c r="T597" i="3"/>
  <c r="M837" i="3"/>
  <c r="M1124" i="3"/>
  <c r="T1124" i="3" s="1"/>
  <c r="K1171" i="3"/>
  <c r="K1217" i="3"/>
  <c r="S1124" i="3"/>
  <c r="T23" i="3"/>
  <c r="M26" i="3"/>
  <c r="M853" i="3"/>
  <c r="AC20" i="1"/>
  <c r="AF20" i="1" s="1"/>
  <c r="U20" i="1"/>
  <c r="W20" i="1" s="1"/>
  <c r="S20" i="1"/>
  <c r="S21" i="1" s="1"/>
  <c r="AD21" i="1" s="1"/>
  <c r="AG21" i="1" s="1"/>
  <c r="AA20" i="2"/>
  <c r="K977" i="3"/>
  <c r="K1276" i="3"/>
  <c r="K544" i="3"/>
  <c r="K531" i="3"/>
  <c r="K517" i="3"/>
  <c r="S503" i="3"/>
  <c r="M503" i="3"/>
  <c r="T503" i="3" s="1"/>
  <c r="D24" i="4"/>
  <c r="D46" i="4" s="1"/>
  <c r="K975" i="3"/>
  <c r="K1274" i="3"/>
  <c r="K542" i="3"/>
  <c r="K529" i="3"/>
  <c r="M501" i="3"/>
  <c r="T501" i="3" s="1"/>
  <c r="K515" i="3"/>
  <c r="S501" i="3"/>
  <c r="M901" i="3"/>
  <c r="T622" i="3"/>
  <c r="M619" i="3"/>
  <c r="P579" i="3" s="1"/>
  <c r="T611" i="3"/>
  <c r="M869" i="3"/>
  <c r="M821" i="3"/>
  <c r="S44" i="3"/>
  <c r="M44" i="3"/>
  <c r="Y19" i="1"/>
  <c r="AD19" i="1"/>
  <c r="AG19" i="1" s="1"/>
  <c r="AD22" i="1"/>
  <c r="AG22" i="1" s="1"/>
  <c r="Y22" i="1"/>
  <c r="M624" i="3" l="1"/>
  <c r="P582" i="3"/>
  <c r="P581" i="3"/>
  <c r="AA22" i="1"/>
  <c r="T869" i="3"/>
  <c r="P869" i="3"/>
  <c r="P792" i="3"/>
  <c r="M28" i="1"/>
  <c r="T624" i="3"/>
  <c r="P623" i="3"/>
  <c r="K1154" i="3"/>
  <c r="K1107" i="3"/>
  <c r="K1041" i="3"/>
  <c r="S975" i="3"/>
  <c r="M975" i="3"/>
  <c r="T975" i="3" s="1"/>
  <c r="M517" i="3"/>
  <c r="T517" i="3" s="1"/>
  <c r="S517" i="3"/>
  <c r="K1156" i="3"/>
  <c r="K1109" i="3"/>
  <c r="K1043" i="3"/>
  <c r="S977" i="3"/>
  <c r="M977" i="3"/>
  <c r="T977" i="3" s="1"/>
  <c r="T837" i="3"/>
  <c r="P837" i="3"/>
  <c r="K1158" i="3"/>
  <c r="K1111" i="3"/>
  <c r="K1045" i="3"/>
  <c r="S979" i="3"/>
  <c r="M979" i="3"/>
  <c r="T979" i="3" s="1"/>
  <c r="K569" i="3"/>
  <c r="K556" i="3"/>
  <c r="S543" i="3"/>
  <c r="M543" i="3"/>
  <c r="T543" i="3" s="1"/>
  <c r="K567" i="3"/>
  <c r="K554" i="3"/>
  <c r="S541" i="3"/>
  <c r="M541" i="3"/>
  <c r="U21" i="1"/>
  <c r="W21" i="1" s="1"/>
  <c r="K573" i="3"/>
  <c r="K560" i="3"/>
  <c r="S547" i="3"/>
  <c r="M547" i="3"/>
  <c r="T547" i="3" s="1"/>
  <c r="M518" i="3"/>
  <c r="T518" i="3" s="1"/>
  <c r="S518" i="3"/>
  <c r="K1157" i="3"/>
  <c r="K1110" i="3"/>
  <c r="K1044" i="3"/>
  <c r="S978" i="3"/>
  <c r="M978" i="3"/>
  <c r="T978" i="3" s="1"/>
  <c r="AA19" i="1"/>
  <c r="T44" i="3"/>
  <c r="M47" i="3"/>
  <c r="T901" i="3"/>
  <c r="P901" i="3"/>
  <c r="S529" i="3"/>
  <c r="M529" i="3"/>
  <c r="T529" i="3" s="1"/>
  <c r="D55" i="4"/>
  <c r="F55" i="4" s="1"/>
  <c r="K960" i="3" s="1"/>
  <c r="H46" i="4"/>
  <c r="L46" i="4" s="1"/>
  <c r="K954" i="3" s="1"/>
  <c r="S531" i="3"/>
  <c r="M531" i="3"/>
  <c r="T531" i="3" s="1"/>
  <c r="T853" i="3"/>
  <c r="P853" i="3"/>
  <c r="M1217" i="3"/>
  <c r="T1217" i="3" s="1"/>
  <c r="S1217" i="3"/>
  <c r="M27" i="1"/>
  <c r="K1083" i="3"/>
  <c r="K1017" i="3"/>
  <c r="S951" i="3"/>
  <c r="M951" i="3"/>
  <c r="M519" i="3"/>
  <c r="T519" i="3" s="1"/>
  <c r="S519" i="3"/>
  <c r="S1278" i="3"/>
  <c r="M1278" i="3"/>
  <c r="T1278" i="3" s="1"/>
  <c r="M1216" i="3"/>
  <c r="S1216" i="3"/>
  <c r="S1275" i="3"/>
  <c r="M1275" i="3"/>
  <c r="T1275" i="3" s="1"/>
  <c r="T500" i="3"/>
  <c r="M508" i="3"/>
  <c r="S1273" i="3"/>
  <c r="M1273" i="3"/>
  <c r="S227" i="3"/>
  <c r="M227" i="3"/>
  <c r="T227" i="3" s="1"/>
  <c r="K230" i="3"/>
  <c r="M520" i="3"/>
  <c r="T520" i="3" s="1"/>
  <c r="S520" i="3"/>
  <c r="K1159" i="3"/>
  <c r="K1112" i="3"/>
  <c r="K1046" i="3"/>
  <c r="S980" i="3"/>
  <c r="M980" i="3"/>
  <c r="T980" i="3" s="1"/>
  <c r="S1277" i="3"/>
  <c r="M1277" i="3"/>
  <c r="T1277" i="3" s="1"/>
  <c r="K568" i="3"/>
  <c r="K555" i="3"/>
  <c r="S542" i="3"/>
  <c r="M542" i="3"/>
  <c r="T542" i="3" s="1"/>
  <c r="K570" i="3"/>
  <c r="K557" i="3"/>
  <c r="S544" i="3"/>
  <c r="M544" i="3"/>
  <c r="T544" i="3" s="1"/>
  <c r="AD20" i="1"/>
  <c r="AG20" i="1" s="1"/>
  <c r="Y20" i="1"/>
  <c r="T26" i="3"/>
  <c r="P26" i="3"/>
  <c r="M1171" i="3"/>
  <c r="T1171" i="3" s="1"/>
  <c r="S1171" i="3"/>
  <c r="S533" i="3"/>
  <c r="M533" i="3"/>
  <c r="T533" i="3" s="1"/>
  <c r="AC48" i="1"/>
  <c r="AF48" i="1" s="1"/>
  <c r="AA48" i="2"/>
  <c r="T1123" i="3"/>
  <c r="M1150" i="3"/>
  <c r="M516" i="3"/>
  <c r="T516" i="3" s="1"/>
  <c r="S516" i="3"/>
  <c r="D56" i="4"/>
  <c r="F56" i="4" s="1"/>
  <c r="K961" i="3" s="1"/>
  <c r="H47" i="4"/>
  <c r="L47" i="4" s="1"/>
  <c r="K955" i="3" s="1"/>
  <c r="M514" i="3"/>
  <c r="S514" i="3"/>
  <c r="K1153" i="3"/>
  <c r="K1106" i="3"/>
  <c r="K1040" i="3"/>
  <c r="S974" i="3"/>
  <c r="M974" i="3"/>
  <c r="U48" i="1"/>
  <c r="W45" i="1"/>
  <c r="T226" i="3"/>
  <c r="M1279" i="3"/>
  <c r="T1279" i="3" s="1"/>
  <c r="S1279" i="3"/>
  <c r="S532" i="3"/>
  <c r="M532" i="3"/>
  <c r="T532" i="3" s="1"/>
  <c r="S48" i="1"/>
  <c r="AD45" i="1"/>
  <c r="AG45" i="1" s="1"/>
  <c r="T619" i="3"/>
  <c r="P619" i="3"/>
  <c r="P821" i="3"/>
  <c r="T821" i="3"/>
  <c r="M515" i="3"/>
  <c r="T515" i="3" s="1"/>
  <c r="S515" i="3"/>
  <c r="S1274" i="3"/>
  <c r="M1274" i="3"/>
  <c r="T1274" i="3" s="1"/>
  <c r="S1276" i="3"/>
  <c r="M1276" i="3"/>
  <c r="T1276" i="3" s="1"/>
  <c r="K572" i="3"/>
  <c r="K559" i="3"/>
  <c r="S546" i="3"/>
  <c r="M546" i="3"/>
  <c r="T546" i="3" s="1"/>
  <c r="T63" i="3"/>
  <c r="M66" i="3"/>
  <c r="T885" i="3"/>
  <c r="P885" i="3"/>
  <c r="M1170" i="3"/>
  <c r="S1170" i="3"/>
  <c r="S530" i="3"/>
  <c r="M530" i="3"/>
  <c r="T530" i="3" s="1"/>
  <c r="K1155" i="3"/>
  <c r="K1108" i="3"/>
  <c r="K1042" i="3"/>
  <c r="S976" i="3"/>
  <c r="M976" i="3"/>
  <c r="T976" i="3" s="1"/>
  <c r="S528" i="3"/>
  <c r="M528" i="3"/>
  <c r="T97" i="3"/>
  <c r="M101" i="3"/>
  <c r="M14" i="1" s="1"/>
  <c r="M229" i="3"/>
  <c r="T229" i="3" s="1"/>
  <c r="S229" i="3"/>
  <c r="S534" i="3"/>
  <c r="M534" i="3"/>
  <c r="T534" i="3" s="1"/>
  <c r="K571" i="3"/>
  <c r="K558" i="3"/>
  <c r="S545" i="3"/>
  <c r="M545" i="3"/>
  <c r="T545" i="3" s="1"/>
  <c r="AA42" i="1"/>
  <c r="Y45" i="1"/>
  <c r="P106" i="3"/>
  <c r="K104" i="3" s="1"/>
  <c r="U14" i="1" l="1"/>
  <c r="AC14" i="1"/>
  <c r="AF14" i="1" s="1"/>
  <c r="S14" i="1"/>
  <c r="AA14" i="2"/>
  <c r="K106" i="3"/>
  <c r="S104" i="3"/>
  <c r="M104" i="3"/>
  <c r="K105" i="3"/>
  <c r="AA45" i="1"/>
  <c r="Y48" i="1"/>
  <c r="S558" i="3"/>
  <c r="M558" i="3"/>
  <c r="T558" i="3" s="1"/>
  <c r="T528" i="3"/>
  <c r="M536" i="3"/>
  <c r="S1042" i="3"/>
  <c r="M1042" i="3"/>
  <c r="T1042" i="3" s="1"/>
  <c r="T974" i="3"/>
  <c r="M981" i="3"/>
  <c r="T981" i="3" s="1"/>
  <c r="S1153" i="3"/>
  <c r="M1153" i="3"/>
  <c r="K1093" i="3"/>
  <c r="S961" i="3"/>
  <c r="M961" i="3"/>
  <c r="T961" i="3" s="1"/>
  <c r="K1027" i="3"/>
  <c r="S1112" i="3"/>
  <c r="M1112" i="3"/>
  <c r="T1112" i="3" s="1"/>
  <c r="S230" i="3"/>
  <c r="M230" i="3"/>
  <c r="T230" i="3" s="1"/>
  <c r="T1273" i="3"/>
  <c r="M1280" i="3"/>
  <c r="T951" i="3"/>
  <c r="AC27" i="1"/>
  <c r="AF27" i="1" s="1"/>
  <c r="U27" i="1"/>
  <c r="W27" i="1" s="1"/>
  <c r="S27" i="1"/>
  <c r="AA27" i="2"/>
  <c r="K1092" i="3"/>
  <c r="S960" i="3"/>
  <c r="M960" i="3"/>
  <c r="T960" i="3" s="1"/>
  <c r="K1026" i="3"/>
  <c r="S560" i="3"/>
  <c r="M560" i="3"/>
  <c r="T560" i="3" s="1"/>
  <c r="S1043" i="3"/>
  <c r="M1043" i="3"/>
  <c r="T1043" i="3" s="1"/>
  <c r="S1107" i="3"/>
  <c r="M1107" i="3"/>
  <c r="T1107" i="3" s="1"/>
  <c r="AC28" i="1"/>
  <c r="AF28" i="1" s="1"/>
  <c r="U28" i="1"/>
  <c r="W28" i="1" s="1"/>
  <c r="S28" i="1"/>
  <c r="AA28" i="2"/>
  <c r="M571" i="3"/>
  <c r="T571" i="3" s="1"/>
  <c r="S571" i="3"/>
  <c r="S1108" i="3"/>
  <c r="M1108" i="3"/>
  <c r="T1108" i="3" s="1"/>
  <c r="P66" i="3"/>
  <c r="T66" i="3"/>
  <c r="M15" i="1"/>
  <c r="M17" i="1" s="1"/>
  <c r="S559" i="3"/>
  <c r="M559" i="3"/>
  <c r="T559" i="3" s="1"/>
  <c r="AA20" i="1"/>
  <c r="S557" i="3"/>
  <c r="M557" i="3"/>
  <c r="T557" i="3" s="1"/>
  <c r="S555" i="3"/>
  <c r="M555" i="3"/>
  <c r="T555" i="3" s="1"/>
  <c r="S1159" i="3"/>
  <c r="M1159" i="3"/>
  <c r="T1159" i="3" s="1"/>
  <c r="T47" i="3"/>
  <c r="P47" i="3"/>
  <c r="Y21" i="1"/>
  <c r="S1044" i="3"/>
  <c r="M1044" i="3"/>
  <c r="T1044" i="3" s="1"/>
  <c r="M573" i="3"/>
  <c r="T573" i="3" s="1"/>
  <c r="S573" i="3"/>
  <c r="S554" i="3"/>
  <c r="M554" i="3"/>
  <c r="S556" i="3"/>
  <c r="M556" i="3"/>
  <c r="T556" i="3" s="1"/>
  <c r="S1045" i="3"/>
  <c r="M1045" i="3"/>
  <c r="T1045" i="3" s="1"/>
  <c r="S1109" i="3"/>
  <c r="M1109" i="3"/>
  <c r="T1109" i="3" s="1"/>
  <c r="S1154" i="3"/>
  <c r="M1154" i="3"/>
  <c r="T1154" i="3" s="1"/>
  <c r="P795" i="3"/>
  <c r="P794" i="3"/>
  <c r="P101" i="3"/>
  <c r="T101" i="3"/>
  <c r="S1155" i="3"/>
  <c r="M1155" i="3"/>
  <c r="T1155" i="3" s="1"/>
  <c r="T1170" i="3"/>
  <c r="M1196" i="3"/>
  <c r="M572" i="3"/>
  <c r="T572" i="3" s="1"/>
  <c r="S572" i="3"/>
  <c r="AD48" i="1"/>
  <c r="AG48" i="1" s="1"/>
  <c r="S1040" i="3"/>
  <c r="M1040" i="3"/>
  <c r="T514" i="3"/>
  <c r="M522" i="3"/>
  <c r="P12" i="3"/>
  <c r="M570" i="3"/>
  <c r="T570" i="3" s="1"/>
  <c r="S570" i="3"/>
  <c r="M568" i="3"/>
  <c r="T568" i="3" s="1"/>
  <c r="S568" i="3"/>
  <c r="P509" i="3"/>
  <c r="T508" i="3"/>
  <c r="M23" i="1"/>
  <c r="S1017" i="3"/>
  <c r="M1017" i="3"/>
  <c r="S1110" i="3"/>
  <c r="M1110" i="3"/>
  <c r="T1110" i="3" s="1"/>
  <c r="M567" i="3"/>
  <c r="S567" i="3"/>
  <c r="M569" i="3"/>
  <c r="T569" i="3" s="1"/>
  <c r="S569" i="3"/>
  <c r="S1111" i="3"/>
  <c r="M1111" i="3"/>
  <c r="T1111" i="3" s="1"/>
  <c r="S1156" i="3"/>
  <c r="M1156" i="3"/>
  <c r="T1156" i="3" s="1"/>
  <c r="W48" i="1"/>
  <c r="S1106" i="3"/>
  <c r="M1106" i="3"/>
  <c r="K958" i="3"/>
  <c r="S955" i="3"/>
  <c r="K1087" i="3"/>
  <c r="M955" i="3"/>
  <c r="T955" i="3" s="1"/>
  <c r="K1021" i="3"/>
  <c r="T1150" i="3"/>
  <c r="S1046" i="3"/>
  <c r="M1046" i="3"/>
  <c r="T1046" i="3" s="1"/>
  <c r="T1216" i="3"/>
  <c r="M1242" i="3"/>
  <c r="M1083" i="3"/>
  <c r="S1083" i="3"/>
  <c r="K957" i="3"/>
  <c r="S954" i="3"/>
  <c r="K1086" i="3"/>
  <c r="M954" i="3"/>
  <c r="T954" i="3" s="1"/>
  <c r="K1020" i="3"/>
  <c r="S1157" i="3"/>
  <c r="M1157" i="3"/>
  <c r="T1157" i="3" s="1"/>
  <c r="T541" i="3"/>
  <c r="M549" i="3"/>
  <c r="S1158" i="3"/>
  <c r="M1158" i="3"/>
  <c r="T1158" i="3" s="1"/>
  <c r="S1041" i="3"/>
  <c r="M1041" i="3"/>
  <c r="T1041" i="3" s="1"/>
  <c r="P238" i="3" l="1"/>
  <c r="AC17" i="1"/>
  <c r="AF17" i="1" s="1"/>
  <c r="AA17" i="2"/>
  <c r="S1026" i="3"/>
  <c r="M1026" i="3"/>
  <c r="T1026" i="3" s="1"/>
  <c r="W14" i="1"/>
  <c r="S1086" i="3"/>
  <c r="M1086" i="3"/>
  <c r="T1086" i="3" s="1"/>
  <c r="T1083" i="3"/>
  <c r="T1106" i="3"/>
  <c r="M1113" i="3"/>
  <c r="T1113" i="3" s="1"/>
  <c r="R241" i="3"/>
  <c r="T567" i="3"/>
  <c r="M575" i="3"/>
  <c r="T1040" i="3"/>
  <c r="M1047" i="3"/>
  <c r="T1047" i="3" s="1"/>
  <c r="AA21" i="1"/>
  <c r="AD27" i="1"/>
  <c r="AG27" i="1" s="1"/>
  <c r="Y27" i="1"/>
  <c r="K107" i="3"/>
  <c r="S105" i="3"/>
  <c r="M105" i="3"/>
  <c r="T105" i="3" s="1"/>
  <c r="S1021" i="3"/>
  <c r="M1021" i="3"/>
  <c r="T1021" i="3" s="1"/>
  <c r="M1160" i="3"/>
  <c r="T1153" i="3"/>
  <c r="M106" i="3"/>
  <c r="T106" i="3" s="1"/>
  <c r="S106" i="3"/>
  <c r="T1242" i="3"/>
  <c r="M1255" i="3"/>
  <c r="S1087" i="3"/>
  <c r="M1087" i="3"/>
  <c r="T1087" i="3" s="1"/>
  <c r="AC23" i="1"/>
  <c r="AF23" i="1" s="1"/>
  <c r="U23" i="1"/>
  <c r="S23" i="1"/>
  <c r="AA23" i="2"/>
  <c r="P16" i="3"/>
  <c r="P14" i="3"/>
  <c r="P1280" i="3"/>
  <c r="P1272" i="3"/>
  <c r="T1280" i="3"/>
  <c r="M24" i="1"/>
  <c r="T536" i="3"/>
  <c r="P536" i="3"/>
  <c r="T104" i="3"/>
  <c r="AD14" i="1"/>
  <c r="AG14" i="1" s="1"/>
  <c r="AK14" i="1"/>
  <c r="Y14" i="1"/>
  <c r="K1090" i="3"/>
  <c r="M958" i="3"/>
  <c r="T958" i="3" s="1"/>
  <c r="K1024" i="3"/>
  <c r="S958" i="3"/>
  <c r="T1017" i="3"/>
  <c r="S1027" i="3"/>
  <c r="M1027" i="3"/>
  <c r="T1027" i="3" s="1"/>
  <c r="T549" i="3"/>
  <c r="P549" i="3"/>
  <c r="M25" i="1"/>
  <c r="S1020" i="3"/>
  <c r="M1020" i="3"/>
  <c r="T1020" i="3" s="1"/>
  <c r="K1089" i="3"/>
  <c r="M957" i="3"/>
  <c r="T957" i="3" s="1"/>
  <c r="K1023" i="3"/>
  <c r="S957" i="3"/>
  <c r="P522" i="3"/>
  <c r="T522" i="3"/>
  <c r="M1208" i="3"/>
  <c r="T1196" i="3"/>
  <c r="T554" i="3"/>
  <c r="M562" i="3"/>
  <c r="AC15" i="1"/>
  <c r="AF15" i="1" s="1"/>
  <c r="U15" i="1"/>
  <c r="W15" i="1" s="1"/>
  <c r="S15" i="1"/>
  <c r="AA15" i="2"/>
  <c r="AD28" i="1"/>
  <c r="AG28" i="1" s="1"/>
  <c r="Y28" i="1"/>
  <c r="S1092" i="3"/>
  <c r="M1092" i="3"/>
  <c r="T1092" i="3" s="1"/>
  <c r="S1093" i="3"/>
  <c r="M1093" i="3"/>
  <c r="T1093" i="3" s="1"/>
  <c r="AA48" i="1"/>
  <c r="M962" i="3" l="1"/>
  <c r="P562" i="3"/>
  <c r="T562" i="3"/>
  <c r="M1023" i="3"/>
  <c r="T1023" i="3" s="1"/>
  <c r="S1023" i="3"/>
  <c r="S1090" i="3"/>
  <c r="M1090" i="3"/>
  <c r="T1090" i="3" s="1"/>
  <c r="T1160" i="3"/>
  <c r="M1162" i="3"/>
  <c r="P575" i="3"/>
  <c r="T575" i="3"/>
  <c r="T1208" i="3"/>
  <c r="P1167" i="3"/>
  <c r="P1208" i="3"/>
  <c r="M31" i="1"/>
  <c r="Y15" i="1"/>
  <c r="Y17" i="1" s="1"/>
  <c r="AD15" i="1"/>
  <c r="AG15" i="1" s="1"/>
  <c r="AK15" i="1"/>
  <c r="AC25" i="1"/>
  <c r="AF25" i="1" s="1"/>
  <c r="U25" i="1"/>
  <c r="W25" i="1" s="1"/>
  <c r="S25" i="1"/>
  <c r="AA25" i="2"/>
  <c r="AA14" i="1"/>
  <c r="S24" i="1"/>
  <c r="U24" i="1"/>
  <c r="W24" i="1" s="1"/>
  <c r="AC24" i="1"/>
  <c r="AF24" i="1" s="1"/>
  <c r="AA24" i="2"/>
  <c r="M26" i="1"/>
  <c r="S107" i="3"/>
  <c r="M107" i="3"/>
  <c r="AA28" i="1"/>
  <c r="S1089" i="3"/>
  <c r="M1089" i="3"/>
  <c r="T1089" i="3" s="1"/>
  <c r="M983" i="3"/>
  <c r="T962" i="3"/>
  <c r="M1024" i="3"/>
  <c r="T1024" i="3" s="1"/>
  <c r="S1024" i="3"/>
  <c r="AM14" i="1"/>
  <c r="AL14" i="1"/>
  <c r="S26" i="1"/>
  <c r="AD26" i="1" s="1"/>
  <c r="AG26" i="1" s="1"/>
  <c r="AD23" i="1"/>
  <c r="AG23" i="1" s="1"/>
  <c r="Y23" i="1"/>
  <c r="AA27" i="1"/>
  <c r="U17" i="1"/>
  <c r="W17" i="1" s="1"/>
  <c r="S17" i="1"/>
  <c r="P1275" i="3"/>
  <c r="P1274" i="3"/>
  <c r="W23" i="1"/>
  <c r="T1255" i="3"/>
  <c r="P1255" i="3"/>
  <c r="P1213" i="3"/>
  <c r="M32" i="1"/>
  <c r="M1028" i="3" l="1"/>
  <c r="U26" i="1"/>
  <c r="W26" i="1" s="1"/>
  <c r="M1094" i="3"/>
  <c r="AD25" i="1"/>
  <c r="AG25" i="1" s="1"/>
  <c r="Y25" i="1"/>
  <c r="P1170" i="3"/>
  <c r="P1169" i="3"/>
  <c r="T1162" i="3"/>
  <c r="P1120" i="3"/>
  <c r="P1162" i="3"/>
  <c r="M30" i="1"/>
  <c r="P1216" i="3"/>
  <c r="P1215" i="3"/>
  <c r="AK17" i="1"/>
  <c r="AD17" i="1"/>
  <c r="AG17" i="1" s="1"/>
  <c r="T107" i="3"/>
  <c r="M108" i="3"/>
  <c r="AA17" i="1"/>
  <c r="AA15" i="1"/>
  <c r="AC31" i="1"/>
  <c r="AF31" i="1" s="1"/>
  <c r="U31" i="1"/>
  <c r="W31" i="1" s="1"/>
  <c r="S31" i="1"/>
  <c r="AA31" i="2"/>
  <c r="M1049" i="3"/>
  <c r="T1028" i="3"/>
  <c r="S32" i="1"/>
  <c r="U32" i="1"/>
  <c r="W32" i="1" s="1"/>
  <c r="AC32" i="1"/>
  <c r="AF32" i="1" s="1"/>
  <c r="AA32" i="2"/>
  <c r="AA23" i="1"/>
  <c r="T983" i="3"/>
  <c r="P983" i="3"/>
  <c r="P922" i="3"/>
  <c r="M29" i="1"/>
  <c r="M1320" i="3"/>
  <c r="P498" i="3"/>
  <c r="AC26" i="1"/>
  <c r="AF26" i="1" s="1"/>
  <c r="AA26" i="2"/>
  <c r="Y24" i="1"/>
  <c r="AD24" i="1"/>
  <c r="AG24" i="1" s="1"/>
  <c r="AM15" i="1"/>
  <c r="AL15" i="1"/>
  <c r="AA24" i="1" l="1"/>
  <c r="S29" i="1"/>
  <c r="AC29" i="1"/>
  <c r="AF29" i="1" s="1"/>
  <c r="U29" i="1"/>
  <c r="AA29" i="2"/>
  <c r="M38" i="1"/>
  <c r="P925" i="3"/>
  <c r="P924" i="3"/>
  <c r="P1049" i="3"/>
  <c r="T1049" i="3"/>
  <c r="AL17" i="1"/>
  <c r="AM17" i="1"/>
  <c r="P511" i="3"/>
  <c r="P504" i="3"/>
  <c r="P501" i="3"/>
  <c r="P500" i="3"/>
  <c r="Y26" i="1"/>
  <c r="T108" i="3"/>
  <c r="P107" i="3"/>
  <c r="P1123" i="3"/>
  <c r="P1122" i="3"/>
  <c r="AA25" i="1"/>
  <c r="T1320" i="3"/>
  <c r="P1320" i="3"/>
  <c r="Y32" i="1"/>
  <c r="AD32" i="1"/>
  <c r="AG32" i="1" s="1"/>
  <c r="AD31" i="1"/>
  <c r="AG31" i="1" s="1"/>
  <c r="Y31" i="1"/>
  <c r="S30" i="1"/>
  <c r="U30" i="1"/>
  <c r="M33" i="1"/>
  <c r="AC30" i="1"/>
  <c r="AF30" i="1" s="1"/>
  <c r="AA30" i="2"/>
  <c r="M1115" i="3"/>
  <c r="T1094" i="3"/>
  <c r="AA31" i="1" l="1"/>
  <c r="P1115" i="3"/>
  <c r="T1115" i="3"/>
  <c r="U33" i="1"/>
  <c r="W33" i="1" s="1"/>
  <c r="W30" i="1"/>
  <c r="Y30" i="1"/>
  <c r="S33" i="1"/>
  <c r="AD33" i="1" s="1"/>
  <c r="AG33" i="1" s="1"/>
  <c r="AD30" i="1"/>
  <c r="AG30" i="1" s="1"/>
  <c r="AC38" i="1"/>
  <c r="AF38" i="1" s="1"/>
  <c r="AA38" i="2"/>
  <c r="M49" i="1"/>
  <c r="Y29" i="1"/>
  <c r="AD29" i="1"/>
  <c r="AG29" i="1" s="1"/>
  <c r="S38" i="1"/>
  <c r="AA32" i="1"/>
  <c r="AC33" i="1"/>
  <c r="AF33" i="1" s="1"/>
  <c r="AA33" i="2"/>
  <c r="AA26" i="1"/>
  <c r="W29" i="1"/>
  <c r="U38" i="1"/>
  <c r="W38" i="1" l="1"/>
  <c r="U49" i="1"/>
  <c r="W49" i="1" s="1"/>
  <c r="AC49" i="1"/>
  <c r="AF49" i="1" s="1"/>
  <c r="AA49" i="2"/>
  <c r="AD38" i="1"/>
  <c r="AG38" i="1" s="1"/>
  <c r="S49" i="1"/>
  <c r="AD49" i="1" s="1"/>
  <c r="AG49" i="1" s="1"/>
  <c r="AA30" i="1"/>
  <c r="Y33" i="1"/>
  <c r="Y38" i="1"/>
  <c r="AA29" i="1"/>
  <c r="AA38" i="1" l="1"/>
  <c r="Y49" i="1"/>
  <c r="AA33" i="1"/>
  <c r="AA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Zhang, James</author>
  </authors>
  <commentList>
    <comment ref="N54" authorId="0" shapeId="0" xr:uid="{0A1E1585-961C-4A30-8826-3827E8E0B7F9}">
      <text>
        <r>
          <rPr>
            <b/>
            <sz val="9"/>
            <color indexed="81"/>
            <rFont val="Tahoma"/>
            <family val="2"/>
          </rPr>
          <t>Goal Seek target zero value cell</t>
        </r>
      </text>
    </comment>
    <comment ref="N56" authorId="0" shapeId="0" xr:uid="{88A6BA7D-721E-4790-9C65-059E73ECFBB3}">
      <text>
        <r>
          <rPr>
            <b/>
            <sz val="9"/>
            <color indexed="81"/>
            <rFont val="Tahoma"/>
            <family val="2"/>
          </rPr>
          <t>Goal Seek adjust cell</t>
        </r>
      </text>
    </comment>
    <comment ref="Q57" authorId="0" shapeId="0" xr:uid="{5B6DC0FF-8041-4A4A-A131-A0B8CC8358CF}">
      <text>
        <r>
          <rPr>
            <b/>
            <sz val="9"/>
            <color indexed="81"/>
            <rFont val="Tahoma"/>
            <family val="2"/>
          </rPr>
          <t>Goal seek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Zhang, James</author>
  </authors>
  <commentList>
    <comment ref="P507" authorId="0" shapeId="0" xr:uid="{BF922425-9A29-438C-9B02-41115E304AD6}">
      <text>
        <r>
          <rPr>
            <b/>
            <sz val="9"/>
            <color indexed="81"/>
            <rFont val="Tahoma"/>
            <family val="2"/>
          </rPr>
          <t>Goal Seek adjust cell to minimize cell P500</t>
        </r>
      </text>
    </comment>
  </commentList>
</comments>
</file>

<file path=xl/sharedStrings.xml><?xml version="1.0" encoding="utf-8"?>
<sst xmlns="http://schemas.openxmlformats.org/spreadsheetml/2006/main" count="4260" uniqueCount="492">
  <si>
    <t>Table A - Proposed Price Change</t>
  </si>
  <si>
    <t>Rocky Mountain Power</t>
  </si>
  <si>
    <t>Estimated Effect of Proposed Changes</t>
  </si>
  <si>
    <t>on Revenues from Electric Sales to Ultimate Consumers in Utah</t>
  </si>
  <si>
    <t>No. of</t>
  </si>
  <si>
    <t xml:space="preserve">Present </t>
  </si>
  <si>
    <t>Proposed</t>
  </si>
  <si>
    <t>Base</t>
  </si>
  <si>
    <t>Net</t>
  </si>
  <si>
    <t>Line</t>
  </si>
  <si>
    <t>Sch</t>
  </si>
  <si>
    <t>Customer</t>
  </si>
  <si>
    <t>MWh</t>
  </si>
  <si>
    <t>ICA</t>
  </si>
  <si>
    <t>WMBA</t>
  </si>
  <si>
    <t>Base Change</t>
  </si>
  <si>
    <t>Net Change</t>
  </si>
  <si>
    <t xml:space="preserve">Avg </t>
  </si>
  <si>
    <t>No.</t>
  </si>
  <si>
    <t>Description</t>
  </si>
  <si>
    <t>Forecast</t>
  </si>
  <si>
    <t>($000)</t>
  </si>
  <si>
    <t>(%)</t>
  </si>
  <si>
    <t>¢/kWh</t>
  </si>
  <si>
    <t>Monthly Average - Net</t>
  </si>
  <si>
    <t>Step 1</t>
  </si>
  <si>
    <t>Present</t>
  </si>
  <si>
    <t>Change</t>
  </si>
  <si>
    <t>Pres Rev</t>
  </si>
  <si>
    <t>%</t>
  </si>
  <si>
    <t>kWh</t>
  </si>
  <si>
    <t>$</t>
  </si>
  <si>
    <t>∆</t>
  </si>
  <si>
    <t>Residential</t>
  </si>
  <si>
    <t>1/3</t>
  </si>
  <si>
    <t>Res. Optional TOD</t>
  </si>
  <si>
    <t>2/2E</t>
  </si>
  <si>
    <t>AGA/Revenue Credit</t>
  </si>
  <si>
    <t>Total Residential</t>
  </si>
  <si>
    <t>Commercial &amp; Industrial</t>
  </si>
  <si>
    <t>Gen. Svc. Dist.</t>
  </si>
  <si>
    <t>Gen. Svc. Dist. Energy TOD</t>
  </si>
  <si>
    <t>6A</t>
  </si>
  <si>
    <t>Subtotal Schedule 6</t>
  </si>
  <si>
    <t>Gen. Svc. Dist. &gt; 1,000 kW</t>
  </si>
  <si>
    <t>Gen. Svc. High Voltage</t>
  </si>
  <si>
    <t>Gen. Svc. High Voltage, Former Contract 2</t>
  </si>
  <si>
    <t>9-C2</t>
  </si>
  <si>
    <t>Gen. Svc. H.V. Energy TOD</t>
  </si>
  <si>
    <t>9A</t>
  </si>
  <si>
    <t>Subtotal Schedule 9</t>
  </si>
  <si>
    <t>Irrigation</t>
  </si>
  <si>
    <t>Gen. Svc. Dist. Small</t>
  </si>
  <si>
    <t>Partial Req. Svc. &gt;= 1,000 kW</t>
  </si>
  <si>
    <t>Svc. From Ren. Ene. Facilities</t>
  </si>
  <si>
    <t>32-9</t>
  </si>
  <si>
    <t>32-6</t>
  </si>
  <si>
    <t>32-8</t>
  </si>
  <si>
    <t>Subtotal Schedule 32</t>
  </si>
  <si>
    <t>Ren. Ene. Pur. for Qlf. Cust, Option 2</t>
  </si>
  <si>
    <t>Contract 1</t>
  </si>
  <si>
    <t>Contract 3</t>
  </si>
  <si>
    <t>Total Commercial &amp; Industrial</t>
  </si>
  <si>
    <t>Public Street Lighting</t>
  </si>
  <si>
    <t>Security Area Lighting</t>
  </si>
  <si>
    <t>Street Lighting - Company Owned</t>
  </si>
  <si>
    <t>Street Lighting - Customer Owned</t>
  </si>
  <si>
    <t>Metered Outdoor Lighting</t>
  </si>
  <si>
    <t>Traffic Signal Systems</t>
  </si>
  <si>
    <t>Subtotal Public Street Lighting</t>
  </si>
  <si>
    <t>Security AR LG-Contracts (PTL)</t>
  </si>
  <si>
    <t>Total Public Street Lighting</t>
  </si>
  <si>
    <t>Total Sales to Ultimate Customers</t>
  </si>
  <si>
    <t>Proposed Rate Spread and Calculation of Adjustment Schedule Prices</t>
  </si>
  <si>
    <t>Base Revenue</t>
  </si>
  <si>
    <t>T&amp;D</t>
  </si>
  <si>
    <t>Allocation</t>
  </si>
  <si>
    <t>Spread %</t>
  </si>
  <si>
    <t>Order rev increase</t>
  </si>
  <si>
    <t>Reconsideration rev increase</t>
  </si>
  <si>
    <t>Target increase ($000)</t>
  </si>
  <si>
    <t>overall avg</t>
  </si>
  <si>
    <t>Spread Adj</t>
  </si>
  <si>
    <t>Res 1, 2,2E,3</t>
  </si>
  <si>
    <t>6,6A</t>
  </si>
  <si>
    <t>8</t>
  </si>
  <si>
    <t>9, 9A, 31, 32, C2</t>
  </si>
  <si>
    <t>C1</t>
  </si>
  <si>
    <t>34, C3</t>
  </si>
  <si>
    <t>15M</t>
  </si>
  <si>
    <t>15T</t>
  </si>
  <si>
    <t>Rocky Mountain Power - State of Utah</t>
  </si>
  <si>
    <t>Blocking Based on Adjusted Actuals and Forecasted Loads</t>
  </si>
  <si>
    <t>Units</t>
  </si>
  <si>
    <t>Revenue</t>
  </si>
  <si>
    <t>Price</t>
  </si>
  <si>
    <t>rounding</t>
  </si>
  <si>
    <t>Total Customer</t>
  </si>
  <si>
    <t xml:space="preserve">    Single Family - 1 Phase</t>
  </si>
  <si>
    <t>Res 1, 2, 2E, 3, 135, 136, 137</t>
  </si>
  <si>
    <t xml:space="preserve">    Multi Family - 1 Phase</t>
  </si>
  <si>
    <t>In Rate</t>
  </si>
  <si>
    <t xml:space="preserve">    Single Family - 3 Phase</t>
  </si>
  <si>
    <t>Target</t>
  </si>
  <si>
    <t xml:space="preserve">    Multi Family - 3 Phase</t>
  </si>
  <si>
    <t>D</t>
  </si>
  <si>
    <t>Aggregate Charge</t>
  </si>
  <si>
    <t>Non-Standard Meter Reading Fee</t>
  </si>
  <si>
    <t>In Rate Change</t>
  </si>
  <si>
    <t>Paperless Bill Credit</t>
  </si>
  <si>
    <t>Target Change</t>
  </si>
  <si>
    <t>On-Peak kWh (Jun - Sept)</t>
  </si>
  <si>
    <t>¢</t>
  </si>
  <si>
    <t>Energy %</t>
  </si>
  <si>
    <t>Off-Peak kWh (Jun - Sept)</t>
  </si>
  <si>
    <t>season</t>
  </si>
  <si>
    <t>First 400 kWh (Jun-Sept)</t>
  </si>
  <si>
    <t>tier</t>
  </si>
  <si>
    <t>All add'l kWh (Jun-Sept)</t>
  </si>
  <si>
    <t>Basic Charge</t>
  </si>
  <si>
    <t>First 400 kWh (Oct-May)</t>
  </si>
  <si>
    <t>All add'l kWh (Oct-May)</t>
  </si>
  <si>
    <t>Avg Usage - A</t>
  </si>
  <si>
    <t>Subscriber Solar kWh</t>
  </si>
  <si>
    <t>Avg Usage - S</t>
  </si>
  <si>
    <t>Unbilled</t>
  </si>
  <si>
    <t>Avg Usage - W</t>
  </si>
  <si>
    <t>Total</t>
  </si>
  <si>
    <t>Sch73</t>
  </si>
  <si>
    <t>G</t>
  </si>
  <si>
    <t>T</t>
  </si>
  <si>
    <t>On-Peak kWh</t>
  </si>
  <si>
    <t>Off-Peak kWh</t>
  </si>
  <si>
    <t>LOW INCOME LIFELINE CREDIT</t>
  </si>
  <si>
    <t>Schedule 1 New Time of Use Option</t>
  </si>
  <si>
    <t>On-Peak kWh New TOU (Jun-Sept)</t>
  </si>
  <si>
    <t>on-off ratio</t>
  </si>
  <si>
    <t>Off-Peak kWh New TOU (Jun-Sept)</t>
  </si>
  <si>
    <t>On-Peak kWh New TOU (Oct-May)</t>
  </si>
  <si>
    <t>Res Energy Rev</t>
  </si>
  <si>
    <t>Off-Peak kWh New TOU (Oct-May)</t>
  </si>
  <si>
    <t>Res TOU Energy Rev</t>
  </si>
  <si>
    <t>Schedule 6 - TOTAL</t>
  </si>
  <si>
    <t>Customer Charge</t>
  </si>
  <si>
    <t>Facilities kW</t>
  </si>
  <si>
    <t>All kW (Jun - Sept)</t>
  </si>
  <si>
    <t>All kW (Oct - May)</t>
  </si>
  <si>
    <t>Non-energy change</t>
  </si>
  <si>
    <t>kWh (Jun-Sept)</t>
  </si>
  <si>
    <t>kWh (Oct-May)</t>
  </si>
  <si>
    <t>Voltage Discount</t>
  </si>
  <si>
    <t>Schedule 6 (135-136-137) - TOTAL</t>
  </si>
  <si>
    <t>Schedule 6A - TOTAL</t>
  </si>
  <si>
    <t>All kWh under 50 kWh/kW (Jun-Sept) - New</t>
  </si>
  <si>
    <t>All additional kWh (Jun-Sept) - New</t>
  </si>
  <si>
    <t>Off-Pk kWh (Jun-Sept) - New</t>
  </si>
  <si>
    <t>All kWh under 50 kWh/kW (Oct-May) - New</t>
  </si>
  <si>
    <t>All additional (Oct-May) - New</t>
  </si>
  <si>
    <t>Off-Pk kWh (Oct-May) - New</t>
  </si>
  <si>
    <t>All kWh under 50 kWh/kW (Jun-Sept)</t>
  </si>
  <si>
    <t>All additional kWh (Jun-Sept)</t>
  </si>
  <si>
    <t>Off-Pk kWh (Jun-Sept)</t>
  </si>
  <si>
    <t>Non-Basic Change</t>
  </si>
  <si>
    <t>All kWh under 50 kWh/kW (Oct-May)</t>
  </si>
  <si>
    <t>kWh rate ratio</t>
  </si>
  <si>
    <t>All additional (Oct-May)</t>
  </si>
  <si>
    <t>season diff</t>
  </si>
  <si>
    <t>Off-Pk kWh (Oct-May)</t>
  </si>
  <si>
    <t>off credit</t>
  </si>
  <si>
    <t>New TOU rev</t>
  </si>
  <si>
    <t>Old TOU rev</t>
  </si>
  <si>
    <t>Schedule 6A(135-136-137)- TOTAL</t>
  </si>
  <si>
    <t>Schedule No. 7 - TOTAL</t>
  </si>
  <si>
    <t>Customers</t>
  </si>
  <si>
    <t>kWh Included</t>
  </si>
  <si>
    <t>Level 1 (0-5,500 LED Equivalent Lumens)</t>
  </si>
  <si>
    <t>Level 2 (5,501-12,000 LED Equivalent Lumens)</t>
  </si>
  <si>
    <t>Level 3 (12,001 and Greater LED Equivalent Lumens)</t>
  </si>
  <si>
    <t>Total (kWh, Revenue)</t>
  </si>
  <si>
    <t>Schedule 8 -TOTAL</t>
  </si>
  <si>
    <t>On-Peak kW (Jun - Sept)</t>
  </si>
  <si>
    <t>On-Peak kW (Oct - May)</t>
  </si>
  <si>
    <t>Target Change Net</t>
  </si>
  <si>
    <t>On-Peak kWh (Oct - May)</t>
  </si>
  <si>
    <t>scalar on-off diff</t>
  </si>
  <si>
    <t>Off-Peak kWh (Oct - May)</t>
  </si>
  <si>
    <t>Season ratio</t>
  </si>
  <si>
    <t>FkW %</t>
  </si>
  <si>
    <t>kW%</t>
  </si>
  <si>
    <t>Schedule 9 - TOTAL</t>
  </si>
  <si>
    <t>Sch 9,31,32,9A,C2</t>
  </si>
  <si>
    <t>Facilities Special Credit</t>
  </si>
  <si>
    <t>In Rate Change-No PPA&amp;SUP</t>
  </si>
  <si>
    <t>Target Change-No PPA&amp;SUP</t>
  </si>
  <si>
    <t>Adj</t>
  </si>
  <si>
    <t>season ratio</t>
  </si>
  <si>
    <t>Sch 9 Change</t>
  </si>
  <si>
    <t>Schedule 9A - TOTAL</t>
  </si>
  <si>
    <t>Annual Cust. Serv. Chg. - Secondary</t>
  </si>
  <si>
    <t>Sch 10,</t>
  </si>
  <si>
    <t>Annual Cust. Serv. Chg. - Primary</t>
  </si>
  <si>
    <t>Monthly Cust. Serv. Chg. Season</t>
  </si>
  <si>
    <t>Aggregate Charge Season</t>
  </si>
  <si>
    <t>Paperless Bill Credit Season</t>
  </si>
  <si>
    <t>All kW Season</t>
  </si>
  <si>
    <t>First 30,000 kWh Season</t>
  </si>
  <si>
    <t>All add'l kWh Season</t>
  </si>
  <si>
    <t>On-Peak kWh Season</t>
  </si>
  <si>
    <t>Off-Peak kWh Season</t>
  </si>
  <si>
    <t>Total On Season</t>
  </si>
  <si>
    <t>Post Season</t>
  </si>
  <si>
    <t>Monthly Cust. Serv. Chg. Post Season</t>
  </si>
  <si>
    <t>Aggregate Charge Post Season</t>
  </si>
  <si>
    <t>Paperless Bill Credit Post Season</t>
  </si>
  <si>
    <t>All kWh Post Season</t>
  </si>
  <si>
    <t>Total Post Season</t>
  </si>
  <si>
    <t>Schedule 10 New Irrigation Time of Use Option</t>
  </si>
  <si>
    <t>On-Peak kWh New TOU (Irrigation Season)</t>
  </si>
  <si>
    <t>Irr Season Energy Rev</t>
  </si>
  <si>
    <t>Off-Peak kWh New TOU (Irrigation Season)</t>
  </si>
  <si>
    <t>Irr Season TOU Energy Rev</t>
  </si>
  <si>
    <t>Schedule 11</t>
  </si>
  <si>
    <t>Functional Lighting</t>
  </si>
  <si>
    <t>LED Equivalent Lumen Range</t>
  </si>
  <si>
    <t>Level 1</t>
  </si>
  <si>
    <t xml:space="preserve">  &lt;=3,500</t>
  </si>
  <si>
    <t>Level 2</t>
  </si>
  <si>
    <t xml:space="preserve"> 3,501-5,500</t>
  </si>
  <si>
    <t>Level 3</t>
  </si>
  <si>
    <t xml:space="preserve"> 5501-8000</t>
  </si>
  <si>
    <t>Level 4</t>
  </si>
  <si>
    <t xml:space="preserve"> 8,001-12,000</t>
  </si>
  <si>
    <t>Level 5</t>
  </si>
  <si>
    <t xml:space="preserve"> 12,001-15,500</t>
  </si>
  <si>
    <t>Level 6</t>
  </si>
  <si>
    <t xml:space="preserve"> &gt;=15,501</t>
  </si>
  <si>
    <t>Decorative Series</t>
  </si>
  <si>
    <t xml:space="preserve"> 5,501-8,000</t>
  </si>
  <si>
    <t>Customer-Funded Conversion</t>
  </si>
  <si>
    <t>Customer-Funded Conversion Decorative Series</t>
  </si>
  <si>
    <t>Schedule 12</t>
  </si>
  <si>
    <t>1. Energy Only, No Maintenance</t>
  </si>
  <si>
    <t xml:space="preserve">  High Pressures Sodium Vapor Lamps</t>
  </si>
  <si>
    <t xml:space="preserve">   5,600 Lumen</t>
  </si>
  <si>
    <t xml:space="preserve">   9,500 Lumen</t>
  </si>
  <si>
    <t xml:space="preserve">   16,000 Lumen</t>
  </si>
  <si>
    <t xml:space="preserve">   27,500 Lumen</t>
  </si>
  <si>
    <t xml:space="preserve">   50,000 Lumen</t>
  </si>
  <si>
    <t xml:space="preserve">  Metal Halide Lamps</t>
  </si>
  <si>
    <t xml:space="preserve">   9,000 Lumen</t>
  </si>
  <si>
    <t xml:space="preserve">   12,000 Lumen</t>
  </si>
  <si>
    <t xml:space="preserve">   19,500 Lumen</t>
  </si>
  <si>
    <t xml:space="preserve">   32,000 Lumen</t>
  </si>
  <si>
    <t xml:space="preserve">  Non-listed Luminaries kWh</t>
  </si>
  <si>
    <t xml:space="preserve">  Listed Luminaries kWh</t>
  </si>
  <si>
    <t>2a - Partial Maintenance (No New Service)</t>
  </si>
  <si>
    <t xml:space="preserve">  Incandescent Lamps</t>
  </si>
  <si>
    <t xml:space="preserve">   2,500 Lumen or Less</t>
  </si>
  <si>
    <t xml:space="preserve">   4,000 Lumen</t>
  </si>
  <si>
    <t xml:space="preserve">  Mercury Vapor Lamps</t>
  </si>
  <si>
    <t xml:space="preserve">   7,000 Lumen</t>
  </si>
  <si>
    <t xml:space="preserve">   20,000 Lumen</t>
  </si>
  <si>
    <t xml:space="preserve">   54,000 Lumen</t>
  </si>
  <si>
    <t xml:space="preserve">  High Pressure Sodium Vapor Lamps</t>
  </si>
  <si>
    <t xml:space="preserve">   9,500 Lumen - Decorative</t>
  </si>
  <si>
    <t xml:space="preserve">   16,000 Lumen - Decorative</t>
  </si>
  <si>
    <t xml:space="preserve">   22,000 Lumen </t>
  </si>
  <si>
    <t xml:space="preserve">   27,500 Lumen - Decorative</t>
  </si>
  <si>
    <t xml:space="preserve">   50,000 Lumen - Decorative</t>
  </si>
  <si>
    <t xml:space="preserve">   9,000 Lumen - Decorative</t>
  </si>
  <si>
    <t xml:space="preserve">   12,000 Lumen - Decorative</t>
  </si>
  <si>
    <t xml:space="preserve">   19,500 Lumen - Decorative</t>
  </si>
  <si>
    <t xml:space="preserve">   32,000 Lumen - Decorative</t>
  </si>
  <si>
    <t xml:space="preserve">  Fluorescent Lamps</t>
  </si>
  <si>
    <t xml:space="preserve">   21,800 Lumen</t>
  </si>
  <si>
    <t>2b - Full Maintenance (No New Service)</t>
  </si>
  <si>
    <t xml:space="preserve">   6,000 Lumen</t>
  </si>
  <si>
    <t xml:space="preserve">   10,000 Lumen</t>
  </si>
  <si>
    <t xml:space="preserve">  Sodium Vapor Lamps</t>
  </si>
  <si>
    <t xml:space="preserve">   107,000 Lumen </t>
  </si>
  <si>
    <t>Unbilled Schedule 12 Total</t>
  </si>
  <si>
    <t>kWh Schedule 12 Total</t>
  </si>
  <si>
    <t>Customers Schedule 12 Total</t>
  </si>
  <si>
    <t>Schedule 15.1 MONL TOTAL</t>
  </si>
  <si>
    <t>Annual Facility Charge</t>
  </si>
  <si>
    <t>Annual Customer Charge</t>
  </si>
  <si>
    <t>Monthly Customer Charge</t>
  </si>
  <si>
    <t>All kWh</t>
  </si>
  <si>
    <t>Schedule 15.2 TOSS-TOTAL</t>
  </si>
  <si>
    <t>Schedule 23 - TOTAL</t>
  </si>
  <si>
    <t>Minimum Charge</t>
  </si>
  <si>
    <t>kW over 15 (Jun - Sept)</t>
  </si>
  <si>
    <t>kW over 15 (Oct - May)</t>
  </si>
  <si>
    <t>First 1,500 kWh (Jun - Sept)</t>
  </si>
  <si>
    <t>All Add'l kWh (Jun - Sept)</t>
  </si>
  <si>
    <t>First 1,500 kWh (Oct - May)</t>
  </si>
  <si>
    <t>block diff</t>
  </si>
  <si>
    <t>All Add'l kWh (Oct - May)</t>
  </si>
  <si>
    <t>Schedule 23 (135-136-137) - TOTAL</t>
  </si>
  <si>
    <t>Schedule 31 - TOTAL</t>
  </si>
  <si>
    <t>Secondary Voltage</t>
  </si>
  <si>
    <t>Customer Charge per month</t>
  </si>
  <si>
    <t>Sch 31</t>
  </si>
  <si>
    <t>Facilities Charge, per kW month</t>
  </si>
  <si>
    <t>Back-up Power Charge</t>
  </si>
  <si>
    <t>Regular, per On-Peak kW day</t>
  </si>
  <si>
    <t xml:space="preserve">    Jun - Sept</t>
  </si>
  <si>
    <t xml:space="preserve">    Oct - May</t>
  </si>
  <si>
    <t>Maintenance, per On-Peak kW day</t>
  </si>
  <si>
    <t>Excess Power, per kW month</t>
  </si>
  <si>
    <t>Primary Voltage</t>
  </si>
  <si>
    <t>Transmission Voltage</t>
  </si>
  <si>
    <t>Subtotal</t>
  </si>
  <si>
    <t>Supplemental billed at Schedule 8/9 rate</t>
  </si>
  <si>
    <t>Schedule 8</t>
  </si>
  <si>
    <t>Schedule 9</t>
  </si>
  <si>
    <t>Total (Aggregated)</t>
  </si>
  <si>
    <t>Schedule 8-IND</t>
  </si>
  <si>
    <t>Schedule 32-9 - COM</t>
  </si>
  <si>
    <t>Customer Charges:</t>
  </si>
  <si>
    <t xml:space="preserve">    Distribution Voltage &lt; 1 MW </t>
  </si>
  <si>
    <t xml:space="preserve">    Distribution Voltage &gt; 1 MW </t>
  </si>
  <si>
    <t xml:space="preserve">    Transmission Voltage </t>
  </si>
  <si>
    <t>Administrative Fee:</t>
  </si>
  <si>
    <t xml:space="preserve">    All Voltages / per Generator</t>
  </si>
  <si>
    <t xml:space="preserve">    All Voltages / per Delivery Point</t>
  </si>
  <si>
    <t>Delivery Facilities Charges:</t>
  </si>
  <si>
    <t xml:space="preserve">    Secondary Voltage &lt; 1 MW </t>
  </si>
  <si>
    <t xml:space="preserve">    Primary Voltage &lt; 1 MW </t>
  </si>
  <si>
    <t xml:space="preserve">    Secondary Voltage &gt; 1 MW </t>
  </si>
  <si>
    <t xml:space="preserve">    Primary Voltage &gt; 1 MW </t>
  </si>
  <si>
    <t>Daily Power Charges:</t>
  </si>
  <si>
    <t xml:space="preserve">    On-Peak Secondary Voltage &lt; 1 MW</t>
  </si>
  <si>
    <t xml:space="preserve">        June - September: </t>
  </si>
  <si>
    <t xml:space="preserve">        October - May: </t>
  </si>
  <si>
    <t xml:space="preserve">    On-Peak Primary Voltage &lt; 1 MW</t>
  </si>
  <si>
    <t xml:space="preserve">    On-Peak Secondary Voltage &gt; 1 MW</t>
  </si>
  <si>
    <t xml:space="preserve">    On-Peak Primary Voltage &gt; 1 MW</t>
  </si>
  <si>
    <t xml:space="preserve">    On-Peak Transmission Voltage</t>
  </si>
  <si>
    <t>Renewable Energy PPA</t>
  </si>
  <si>
    <t>Renewable Energy PPA- Solar</t>
  </si>
  <si>
    <t xml:space="preserve">  Subtotal</t>
  </si>
  <si>
    <t>Supplemental billed at Schedule 6/8/9 rate</t>
  </si>
  <si>
    <t xml:space="preserve">  Schedule 9</t>
  </si>
  <si>
    <t xml:space="preserve">  Facilities kW</t>
  </si>
  <si>
    <t xml:space="preserve">  On-Peak kW (Jun - Sept)</t>
  </si>
  <si>
    <t xml:space="preserve">  On-Peak kW (Oct - May)</t>
  </si>
  <si>
    <t xml:space="preserve">  On-Peak kWh (Jun - Sept)</t>
  </si>
  <si>
    <t xml:space="preserve">  Off-Peak kWh (Jun - Sept)</t>
  </si>
  <si>
    <t xml:space="preserve">  On-Peak kWh (Oct - May)</t>
  </si>
  <si>
    <t xml:space="preserve">  Off-Peak kWh (Oct - May)</t>
  </si>
  <si>
    <t xml:space="preserve">  Total (Aggregated)</t>
  </si>
  <si>
    <t>Schedule 32-6 - COM</t>
  </si>
  <si>
    <t xml:space="preserve">  Schedule 6</t>
  </si>
  <si>
    <t>Schedule 32-8 - COM</t>
  </si>
  <si>
    <t xml:space="preserve">  Schedule 8</t>
  </si>
  <si>
    <t>Schedule 34 (Option 2) – Commercial</t>
  </si>
  <si>
    <t xml:space="preserve">Total </t>
  </si>
  <si>
    <t>Facilities Charge</t>
  </si>
  <si>
    <t>On-Peak Power kW (June - Sept)</t>
  </si>
  <si>
    <t>On-Peak Power kW (Oct - May)</t>
  </si>
  <si>
    <t>On-Peak kWh (June - Sept)</t>
  </si>
  <si>
    <t>Off-Peak kWh(June - Sept)</t>
  </si>
  <si>
    <t>Contract 2/Sch9</t>
  </si>
  <si>
    <t>Block 1</t>
  </si>
  <si>
    <t>Block 2 - Market</t>
  </si>
  <si>
    <t>Block 2 - Index</t>
  </si>
  <si>
    <t>Lighting Contract - Post Top Lighting - Total</t>
  </si>
  <si>
    <t>Energy Only Res</t>
  </si>
  <si>
    <t>Energy Only Non-Res</t>
  </si>
  <si>
    <t xml:space="preserve">  Subtotal </t>
  </si>
  <si>
    <t xml:space="preserve">  KWH Included</t>
  </si>
  <si>
    <t>Lighting Contract - Post Top Lighting - Commercial</t>
  </si>
  <si>
    <t>Lighting Contract - Post Top Lighting - Residential</t>
  </si>
  <si>
    <t>Annual Guarantee Adjustment</t>
  </si>
  <si>
    <t xml:space="preserve"> Residential</t>
  </si>
  <si>
    <t xml:space="preserve"> Commercial</t>
  </si>
  <si>
    <t xml:space="preserve"> Industrial</t>
  </si>
  <si>
    <t xml:space="preserve"> Irrigation</t>
  </si>
  <si>
    <t xml:space="preserve"> Public Street &amp; Highway Lighting</t>
  </si>
  <si>
    <t>Total AGA</t>
  </si>
  <si>
    <t>TOTAL - ALL CLASSES</t>
  </si>
  <si>
    <t>Calculation of Proposed Schedule 31 and Schedule 32 Rates</t>
  </si>
  <si>
    <t>Schedule 6 - Distribution Voltage Full Requirements (&lt;1 MW)</t>
  </si>
  <si>
    <t>Billing Component</t>
  </si>
  <si>
    <t>Present Price</t>
  </si>
  <si>
    <t>Proposed Price</t>
  </si>
  <si>
    <t>Power Charge, Jun-Sept ($/kW)</t>
  </si>
  <si>
    <t>Power Charge, Oct-May ($/kW)</t>
  </si>
  <si>
    <t>Facilities Charge ($/kW)</t>
  </si>
  <si>
    <t>Schedule 8 - Distribution Voltage Full Requirements (1 MW+)</t>
  </si>
  <si>
    <t>Schedule 9 - Transmission Voltage Full Requirements</t>
  </si>
  <si>
    <t>Schedule 31 - Partial Requirements</t>
  </si>
  <si>
    <t>Full Requirements Customer Change</t>
  </si>
  <si>
    <t>Customer Charge, Secondary Voltage</t>
  </si>
  <si>
    <t>+</t>
  </si>
  <si>
    <t>=</t>
  </si>
  <si>
    <t>Customer Charge, Primary Voltage</t>
  </si>
  <si>
    <t>Customer Charge, Transmission Voltage</t>
  </si>
  <si>
    <t>Backup Facilities Charge, Secondary Voltage ($/kW)</t>
  </si>
  <si>
    <t>Backup Facilities Charge, Primary Voltage ($/kW)</t>
  </si>
  <si>
    <t>Backup Facilities Charge, Transmission Voltage ($/kW)</t>
  </si>
  <si>
    <t>Full Requirements Demand-Related Charges</t>
  </si>
  <si>
    <t>Proposed Backup Facilities Charge</t>
  </si>
  <si>
    <t>Monthly Power Charge</t>
  </si>
  <si>
    <t>On-Peak Days in a Month</t>
  </si>
  <si>
    <t>Backup Power Charge, Secondary Voltage, Jun-Sept ($/kW/day)</t>
  </si>
  <si>
    <t>-</t>
  </si>
  <si>
    <t>/</t>
  </si>
  <si>
    <t>Backup Power Charge, Secondary Voltage, Oct-May ($/kW/day)</t>
  </si>
  <si>
    <t>Backup Power Charge, Primary Voltage, Jun-Sept ($/kW/day)</t>
  </si>
  <si>
    <t>Backup Power Charge, Primary Voltage, Oct-May ($/kW/day)</t>
  </si>
  <si>
    <t>Backup Power Charge, Transmission Voltage, Jun-Sept ($/kW/day)</t>
  </si>
  <si>
    <t>Backup Power Charge, Transmission Voltage, Oct-May ($/kW/day)</t>
  </si>
  <si>
    <t xml:space="preserve">Proposed Price </t>
  </si>
  <si>
    <t>Excess Power Charge, Secondary Voltage, Jun-Sept ($/kW)</t>
  </si>
  <si>
    <t xml:space="preserve"> x 2 =</t>
  </si>
  <si>
    <t>Excess Power Charge, Secondary Voltage, Oct-May ($/kW)</t>
  </si>
  <si>
    <t>Excess Power Charge, Primary Voltage, Jun-Sept ($/kW)</t>
  </si>
  <si>
    <t>Excess Power Charge, Primary Voltage, Oct-May ($/kW)</t>
  </si>
  <si>
    <t>Excess Power Charge, Transmission Voltage, Jun-Sept ($/kW)</t>
  </si>
  <si>
    <t>Excess Power Charge, Transmission Voltage, Oct-May ($/kW)</t>
  </si>
  <si>
    <t>Schedule 32 - Service from Renewable Facilities</t>
  </si>
  <si>
    <t>Delivery Facilities Charge, &lt;1 MW, Secondary Voltage ($/kW)</t>
  </si>
  <si>
    <t>Delivery Facilities Charge, &lt;1 MW, Primary Voltage ($/kW)</t>
  </si>
  <si>
    <t>Delivery Facilities Charge, 1 MW+, Secondary Voltage ($/kW)</t>
  </si>
  <si>
    <t>Delivery Facilities Charge, 1 MW+, Primary Voltage ($/kW)</t>
  </si>
  <si>
    <t>Delivery Facilities Charge, Transmission Voltage ($/kW)</t>
  </si>
  <si>
    <t>Daily Power Charge, &lt;1 MW, Secondary Voltage, Jun-Sept ($/kW/day)</t>
  </si>
  <si>
    <t>Daily Power Charge, &lt;1 MW, Secondary Voltage, Oct-May ($/kW/day)</t>
  </si>
  <si>
    <t>Daily Power Charge, &lt;1 MW, Primary Voltage, Jun-Sept ($/kW/day)</t>
  </si>
  <si>
    <t>Daily Power Charge, &lt;1 MW, Primary Voltage, Oct-May ($/kW/day)</t>
  </si>
  <si>
    <t>Daily Power Charge, 1 MW+, Secondary Voltage, Jun-Sept ($/kW/day)</t>
  </si>
  <si>
    <t>Daily Power Charge, 1 MW+, Secondary Voltage, Oct-May ($/kW/day)</t>
  </si>
  <si>
    <t>Daily Power Charge, 1 MW+, Primary Voltage, Jun-Sept ($/kW/day)</t>
  </si>
  <si>
    <t>Daily Power Charge, 1 MW+, Primary Voltage, Oct-May ($/kW/day)</t>
  </si>
  <si>
    <t>Daily Power Charge, Transmission Voltage, Jun-Sept ($/kW/day)</t>
  </si>
  <si>
    <t>Daily Power Charge, Transmission Voltage, Oct-May ($/kW/day)</t>
  </si>
  <si>
    <t>Amended Filing</t>
  </si>
  <si>
    <t>Proposed Price (Effective 2/23/2025)</t>
  </si>
  <si>
    <t>Full Requirements Demand-Related and Non-EBA-Related Transmission COS</t>
  </si>
  <si>
    <t>Full Requirements Dist. Xfmr/ P&amp;C/ Sub COS</t>
  </si>
  <si>
    <t>Proposed Price- Full Cost</t>
  </si>
  <si>
    <t>Proposed Delivery Facilities Charge</t>
  </si>
  <si>
    <t>Revenue $k-Amended</t>
  </si>
  <si>
    <t>Revenue $k-Proposed</t>
  </si>
  <si>
    <t>Adjustment Ratio</t>
  </si>
  <si>
    <t>Base Period 12 Months Ending December 2023</t>
  </si>
  <si>
    <t>Forecast Period 12 Months Ending December 2025</t>
  </si>
  <si>
    <t>Schedule 1</t>
  </si>
  <si>
    <t>Schedule 135-136-137</t>
  </si>
  <si>
    <t>Schedule 2</t>
  </si>
  <si>
    <t>Schedule 2E</t>
  </si>
  <si>
    <t>Schedule 3</t>
  </si>
  <si>
    <t>Schedule 6-COM</t>
  </si>
  <si>
    <t>Schedule 6-IND</t>
  </si>
  <si>
    <t>Schedule 6-RES</t>
  </si>
  <si>
    <t>Schedule 6 (135-136-137)-COM</t>
  </si>
  <si>
    <t>Schedule 6 (135-136-137)-IND</t>
  </si>
  <si>
    <t>Schedule 6 (135-136-137)-RES</t>
  </si>
  <si>
    <t>Schedule 6A-COM</t>
  </si>
  <si>
    <t>Schedule 6A-IND</t>
  </si>
  <si>
    <t>Schedule 6A-RES</t>
  </si>
  <si>
    <t>Schedule 6A(135-136-137)-COM</t>
  </si>
  <si>
    <t>Schedule 6A(135-136-137)-IND</t>
  </si>
  <si>
    <t>Schedule 6A(135-136-137)-RES</t>
  </si>
  <si>
    <t>Schedule 7-COM</t>
  </si>
  <si>
    <t>Schedule 7-IND</t>
  </si>
  <si>
    <t>Schedule 7-RES</t>
  </si>
  <si>
    <t>Schedule 8-COM</t>
  </si>
  <si>
    <t>Schedule 8-RES</t>
  </si>
  <si>
    <t>Schedule 8(135-136-137)-COM</t>
  </si>
  <si>
    <t>Schedule 9-COM</t>
  </si>
  <si>
    <t>Schedule 9-IND</t>
  </si>
  <si>
    <t>Schedule 9A-COM</t>
  </si>
  <si>
    <t>Schedule 9A-IND</t>
  </si>
  <si>
    <t>Schedule 10</t>
  </si>
  <si>
    <t>Schedule 10(135-136-137)</t>
  </si>
  <si>
    <t>Schedule 15.1 MONL-COM</t>
  </si>
  <si>
    <t>Schedule 15.1 MONL-IND</t>
  </si>
  <si>
    <t>Schedule 15.1 MONL-PSH</t>
  </si>
  <si>
    <t>Schedule 15.2 TOSS-COM</t>
  </si>
  <si>
    <t>Schedule 15.2 TOSS-IND</t>
  </si>
  <si>
    <t>Schedule 15.2 TOSS-PSH</t>
  </si>
  <si>
    <t>Schedule 23-COM</t>
  </si>
  <si>
    <t>Schedule 23-IND</t>
  </si>
  <si>
    <t>Schedule 23-RES</t>
  </si>
  <si>
    <t>Schedule 23 (135-136-137)-COM</t>
  </si>
  <si>
    <t>Schedule 23 (135-136-137)-IND</t>
  </si>
  <si>
    <t>Schedule 23 (135-136-137)-RES</t>
  </si>
  <si>
    <t>Schedule 31-COM</t>
  </si>
  <si>
    <t>Schedule 31-IND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</si>
</sst>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  <numFmt numFmtId="166" formatCode="0_);\(0\)"/>
    <numFmt numFmtId="167" formatCode="_(* #,##0_);_(* \(#,##0\);_(* &quot;-&quot;??_);_(@_)"/>
    <numFmt numFmtId="168" formatCode="&quot;$&quot;#,##0.00"/>
    <numFmt numFmtId="169" formatCode="_(&quot;$&quot;* #,##0_);_(&quot;$&quot;* \(#,##0\);_(&quot;$&quot;* &quot;-&quot;??_);_(@_)"/>
    <numFmt numFmtId="170" formatCode="0.0000%"/>
    <numFmt numFmtId="171" formatCode="#,##0.000"/>
    <numFmt numFmtId="172" formatCode="#,##0.000_);\(#,##0.000\)"/>
    <numFmt numFmtId="173" formatCode="0.0000"/>
    <numFmt numFmtId="174" formatCode="0.0000_);[Red]\(0.0000\)"/>
    <numFmt numFmtId="175" formatCode="0.0000_)"/>
    <numFmt numFmtId="176" formatCode="#,##0.00000_);\(#,##0.00000\)"/>
    <numFmt numFmtId="177" formatCode="&quot;$&quot;#,##0"/>
    <numFmt numFmtId="178" formatCode="#,##0.0000_);\(#,##0.0000\)"/>
    <numFmt numFmtId="179" formatCode="_(* #,##0.0000_);_(* \(#,##0.0000\);_(* &quot;-&quot;??_);_(@_)"/>
    <numFmt numFmtId="180" formatCode="#,##0.0000"/>
    <numFmt numFmtId="181" formatCode="#,##0.0"/>
    <numFmt numFmtId="182" formatCode="&quot;$&quot;#,##0.0000_);\(&quot;$&quot;#,##0.0000\)"/>
    <numFmt numFmtId="183" formatCode="0.00000"/>
  </numFmts>
  <fonts count="23">
    <font>
      <sz val="10"/>
      <name val="Arial"/>
    </font>
    <font>
      <sz val="11"/>
      <color theme="1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i/>
      <sz val="12"/>
      <name val="Times New Roman"/>
      <family val="1"/>
    </font>
    <font>
      <sz val="12"/>
      <color rgb="FF3333FF"/>
      <name val="Times New Roman"/>
      <family val="1"/>
    </font>
    <font>
      <b/>
      <sz val="9"/>
      <color indexed="81"/>
      <name val="Tahoma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sz val="12"/>
      <name val="TimesNewRomanPS"/>
    </font>
    <font>
      <b/>
      <sz val="12"/>
      <name val="TimesNewRomanPS"/>
      <family val="1"/>
    </font>
    <font>
      <sz val="12"/>
      <name val="Symbol"/>
      <family val="1"/>
      <charset val="2"/>
    </font>
    <font>
      <sz val="11"/>
      <name val="Times New Roman"/>
      <family val="1"/>
    </font>
    <font>
      <sz val="12"/>
      <name val="Arial"/>
      <family val="2"/>
    </font>
    <font>
      <b/>
      <u/>
      <sz val="12"/>
      <name val="Times New Roman"/>
      <family val="1"/>
    </font>
    <font>
      <b/>
      <i/>
      <u/>
      <sz val="12"/>
      <name val="Times New Roman"/>
      <family val="1"/>
    </font>
    <font>
      <i/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FF"/>
      <name val="Times New Roman"/>
      <family val="1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64" fontId="2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164" fontId="2" fillId="0" borderId="0"/>
    <xf numFmtId="0" fontId="11" fillId="0" borderId="0"/>
    <xf numFmtId="164" fontId="2" fillId="0" borderId="0"/>
    <xf numFmtId="9" fontId="5" fillId="0" borderId="0" applyFont="0" applyFill="0" applyBorder="0" applyAlignment="0" applyProtection="0"/>
    <xf numFmtId="0" fontId="1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330">
    <xf numFmtId="0" fontId="0" fillId="0" borderId="0" xfId="0"/>
    <xf numFmtId="164" fontId="3" fillId="0" borderId="0" xfId="1" applyFont="1" applyAlignment="1">
      <alignment horizontal="centerContinuous"/>
    </xf>
    <xf numFmtId="37" fontId="3" fillId="0" borderId="0" xfId="1" applyNumberFormat="1" applyFont="1" applyAlignment="1">
      <alignment horizontal="centerContinuous"/>
    </xf>
    <xf numFmtId="5" fontId="3" fillId="0" borderId="0" xfId="1" applyNumberFormat="1" applyFont="1" applyAlignment="1">
      <alignment horizontal="centerContinuous"/>
    </xf>
    <xf numFmtId="5" fontId="3" fillId="2" borderId="0" xfId="1" applyNumberFormat="1" applyFont="1" applyFill="1" applyAlignment="1">
      <alignment horizontal="centerContinuous"/>
    </xf>
    <xf numFmtId="164" fontId="2" fillId="2" borderId="0" xfId="1" applyFill="1"/>
    <xf numFmtId="164" fontId="2" fillId="0" borderId="0" xfId="1"/>
    <xf numFmtId="2" fontId="2" fillId="0" borderId="0" xfId="1" applyNumberFormat="1"/>
    <xf numFmtId="0" fontId="2" fillId="0" borderId="0" xfId="2" applyAlignment="1">
      <alignment horizontal="centerContinuous"/>
    </xf>
    <xf numFmtId="37" fontId="2" fillId="0" borderId="0" xfId="2" applyNumberFormat="1" applyAlignment="1">
      <alignment horizontal="centerContinuous"/>
    </xf>
    <xf numFmtId="5" fontId="2" fillId="0" borderId="0" xfId="2" applyNumberFormat="1" applyAlignment="1">
      <alignment horizontal="centerContinuous"/>
    </xf>
    <xf numFmtId="5" fontId="2" fillId="2" borderId="0" xfId="2" applyNumberFormat="1" applyFill="1" applyAlignment="1">
      <alignment horizontal="centerContinuous"/>
    </xf>
    <xf numFmtId="0" fontId="2" fillId="2" borderId="0" xfId="2" applyFill="1"/>
    <xf numFmtId="0" fontId="2" fillId="0" borderId="0" xfId="2"/>
    <xf numFmtId="164" fontId="3" fillId="0" borderId="0" xfId="1" applyFont="1" applyAlignment="1">
      <alignment horizontal="left"/>
    </xf>
    <xf numFmtId="164" fontId="3" fillId="0" borderId="0" xfId="1" applyFont="1" applyAlignment="1">
      <alignment horizontal="center"/>
    </xf>
    <xf numFmtId="37" fontId="2" fillId="0" borderId="0" xfId="1" applyNumberFormat="1"/>
    <xf numFmtId="5" fontId="3" fillId="0" borderId="0" xfId="1" applyNumberFormat="1" applyFont="1" applyAlignment="1">
      <alignment horizontal="center"/>
    </xf>
    <xf numFmtId="5" fontId="3" fillId="0" borderId="0" xfId="1" applyNumberFormat="1" applyFont="1" applyAlignment="1">
      <alignment horizontal="left"/>
    </xf>
    <xf numFmtId="5" fontId="3" fillId="2" borderId="0" xfId="1" applyNumberFormat="1" applyFont="1" applyFill="1" applyAlignment="1">
      <alignment horizontal="center"/>
    </xf>
    <xf numFmtId="37" fontId="3" fillId="0" borderId="0" xfId="1" applyNumberFormat="1" applyFont="1" applyAlignment="1">
      <alignment horizontal="center"/>
    </xf>
    <xf numFmtId="5" fontId="3" fillId="0" borderId="1" xfId="1" applyNumberFormat="1" applyFont="1" applyBorder="1" applyAlignment="1">
      <alignment horizontal="centerContinuous"/>
    </xf>
    <xf numFmtId="164" fontId="3" fillId="0" borderId="1" xfId="1" applyFont="1" applyBorder="1" applyAlignment="1">
      <alignment horizontal="centerContinuous"/>
    </xf>
    <xf numFmtId="165" fontId="3" fillId="0" borderId="1" xfId="1" applyNumberFormat="1" applyFont="1" applyBorder="1" applyAlignment="1">
      <alignment horizontal="centerContinuous"/>
    </xf>
    <xf numFmtId="164" fontId="3" fillId="2" borderId="0" xfId="1" applyFont="1" applyFill="1" applyAlignment="1">
      <alignment horizontal="center"/>
    </xf>
    <xf numFmtId="164" fontId="3" fillId="0" borderId="0" xfId="1" applyFont="1"/>
    <xf numFmtId="2" fontId="3" fillId="2" borderId="0" xfId="1" applyNumberFormat="1" applyFont="1" applyFill="1" applyAlignment="1">
      <alignment horizontal="center"/>
    </xf>
    <xf numFmtId="2" fontId="3" fillId="0" borderId="0" xfId="1" applyNumberFormat="1" applyFont="1" applyAlignment="1">
      <alignment horizontal="center"/>
    </xf>
    <xf numFmtId="164" fontId="3" fillId="0" borderId="1" xfId="1" applyFont="1" applyBorder="1"/>
    <xf numFmtId="164" fontId="3" fillId="0" borderId="1" xfId="1" applyFont="1" applyBorder="1" applyAlignment="1">
      <alignment horizontal="center"/>
    </xf>
    <xf numFmtId="37" fontId="3" fillId="0" borderId="1" xfId="1" applyNumberFormat="1" applyFont="1" applyBorder="1" applyAlignment="1">
      <alignment horizontal="center"/>
    </xf>
    <xf numFmtId="5" fontId="3" fillId="0" borderId="1" xfId="1" quotePrefix="1" applyNumberFormat="1" applyFont="1" applyBorder="1" applyAlignment="1">
      <alignment horizontal="center"/>
    </xf>
    <xf numFmtId="5" fontId="3" fillId="0" borderId="0" xfId="1" applyNumberFormat="1" applyFont="1"/>
    <xf numFmtId="165" fontId="3" fillId="0" borderId="1" xfId="1" applyNumberFormat="1" applyFont="1" applyBorder="1" applyAlignment="1">
      <alignment horizontal="center"/>
    </xf>
    <xf numFmtId="5" fontId="3" fillId="2" borderId="1" xfId="1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Continuous"/>
    </xf>
    <xf numFmtId="164" fontId="3" fillId="2" borderId="3" xfId="1" applyFont="1" applyFill="1" applyBorder="1" applyAlignment="1">
      <alignment horizontal="centerContinuous"/>
    </xf>
    <xf numFmtId="164" fontId="3" fillId="2" borderId="4" xfId="1" applyFont="1" applyFill="1" applyBorder="1" applyAlignment="1">
      <alignment horizontal="centerContinuous"/>
    </xf>
    <xf numFmtId="37" fontId="3" fillId="0" borderId="0" xfId="1" quotePrefix="1" applyNumberFormat="1" applyFont="1" applyAlignment="1">
      <alignment horizontal="center"/>
    </xf>
    <xf numFmtId="166" fontId="3" fillId="0" borderId="0" xfId="1" quotePrefix="1" applyNumberFormat="1" applyFont="1" applyAlignment="1">
      <alignment horizontal="center"/>
    </xf>
    <xf numFmtId="166" fontId="3" fillId="2" borderId="0" xfId="1" quotePrefix="1" applyNumberFormat="1" applyFont="1" applyFill="1" applyAlignment="1">
      <alignment horizontal="center"/>
    </xf>
    <xf numFmtId="37" fontId="3" fillId="2" borderId="0" xfId="1" applyNumberFormat="1" applyFont="1" applyFill="1" applyAlignment="1">
      <alignment horizontal="center"/>
    </xf>
    <xf numFmtId="164" fontId="3" fillId="2" borderId="5" xfId="1" applyFont="1" applyFill="1" applyBorder="1" applyAlignment="1">
      <alignment horizontal="center"/>
    </xf>
    <xf numFmtId="164" fontId="3" fillId="2" borderId="0" xfId="1" applyFont="1" applyFill="1"/>
    <xf numFmtId="164" fontId="3" fillId="2" borderId="6" xfId="1" applyFont="1" applyFill="1" applyBorder="1"/>
    <xf numFmtId="37" fontId="3" fillId="0" borderId="0" xfId="1" applyNumberFormat="1" applyFont="1"/>
    <xf numFmtId="165" fontId="3" fillId="0" borderId="0" xfId="1" applyNumberFormat="1" applyFont="1" applyAlignment="1">
      <alignment horizontal="center"/>
    </xf>
    <xf numFmtId="164" fontId="4" fillId="2" borderId="0" xfId="1" applyFont="1" applyFill="1" applyAlignment="1">
      <alignment horizontal="center"/>
    </xf>
    <xf numFmtId="164" fontId="3" fillId="2" borderId="6" xfId="1" applyFont="1" applyFill="1" applyBorder="1" applyAlignment="1">
      <alignment horizontal="center"/>
    </xf>
    <xf numFmtId="5" fontId="2" fillId="0" borderId="0" xfId="1" applyNumberFormat="1"/>
    <xf numFmtId="5" fontId="2" fillId="2" borderId="0" xfId="1" applyNumberFormat="1" applyFill="1"/>
    <xf numFmtId="2" fontId="2" fillId="2" borderId="0" xfId="1" applyNumberFormat="1" applyFill="1"/>
    <xf numFmtId="164" fontId="2" fillId="2" borderId="5" xfId="1" applyFill="1" applyBorder="1"/>
    <xf numFmtId="164" fontId="2" fillId="2" borderId="6" xfId="1" applyFill="1" applyBorder="1"/>
    <xf numFmtId="164" fontId="2" fillId="0" borderId="0" xfId="1" quotePrefix="1" applyAlignment="1">
      <alignment horizontal="right"/>
    </xf>
    <xf numFmtId="167" fontId="2" fillId="0" borderId="0" xfId="3" applyNumberFormat="1" applyFont="1" applyFill="1"/>
    <xf numFmtId="5" fontId="2" fillId="0" borderId="0" xfId="4" applyNumberFormat="1" applyFont="1" applyFill="1"/>
    <xf numFmtId="165" fontId="2" fillId="0" borderId="0" xfId="1" applyNumberFormat="1"/>
    <xf numFmtId="10" fontId="2" fillId="0" borderId="0" xfId="4" applyNumberFormat="1" applyFont="1" applyFill="1"/>
    <xf numFmtId="168" fontId="2" fillId="2" borderId="0" xfId="1" applyNumberFormat="1" applyFill="1"/>
    <xf numFmtId="10" fontId="2" fillId="2" borderId="6" xfId="1" applyNumberFormat="1" applyFill="1" applyBorder="1"/>
    <xf numFmtId="164" fontId="2" fillId="0" borderId="0" xfId="1" applyAlignment="1">
      <alignment horizontal="right"/>
    </xf>
    <xf numFmtId="39" fontId="2" fillId="2" borderId="0" xfId="4" applyNumberFormat="1" applyFont="1" applyFill="1"/>
    <xf numFmtId="164" fontId="2" fillId="0" borderId="1" xfId="1" applyBorder="1"/>
    <xf numFmtId="164" fontId="2" fillId="0" borderId="1" xfId="1" applyBorder="1" applyAlignment="1">
      <alignment horizontal="right"/>
    </xf>
    <xf numFmtId="5" fontId="2" fillId="0" borderId="1" xfId="4" applyNumberFormat="1" applyFont="1" applyFill="1" applyBorder="1"/>
    <xf numFmtId="165" fontId="2" fillId="0" borderId="1" xfId="1" applyNumberFormat="1" applyBorder="1"/>
    <xf numFmtId="39" fontId="2" fillId="2" borderId="1" xfId="4" applyNumberFormat="1" applyFont="1" applyFill="1" applyBorder="1"/>
    <xf numFmtId="164" fontId="2" fillId="2" borderId="7" xfId="1" applyFill="1" applyBorder="1"/>
    <xf numFmtId="168" fontId="2" fillId="2" borderId="1" xfId="1" applyNumberFormat="1" applyFill="1" applyBorder="1"/>
    <xf numFmtId="10" fontId="2" fillId="2" borderId="8" xfId="1" applyNumberFormat="1" applyFill="1" applyBorder="1"/>
    <xf numFmtId="167" fontId="2" fillId="0" borderId="1" xfId="3" applyNumberFormat="1" applyFont="1" applyFill="1" applyBorder="1"/>
    <xf numFmtId="164" fontId="6" fillId="0" borderId="0" xfId="1" applyFont="1"/>
    <xf numFmtId="167" fontId="6" fillId="0" borderId="0" xfId="3" applyNumberFormat="1" applyFont="1" applyFill="1"/>
    <xf numFmtId="5" fontId="6" fillId="0" borderId="0" xfId="4" applyNumberFormat="1" applyFont="1" applyFill="1"/>
    <xf numFmtId="5" fontId="6" fillId="0" borderId="0" xfId="1" applyNumberFormat="1" applyFont="1"/>
    <xf numFmtId="165" fontId="6" fillId="0" borderId="0" xfId="1" applyNumberFormat="1" applyFont="1"/>
    <xf numFmtId="39" fontId="6" fillId="2" borderId="0" xfId="4" applyNumberFormat="1" applyFont="1" applyFill="1"/>
    <xf numFmtId="5" fontId="2" fillId="0" borderId="0" xfId="3" applyNumberFormat="1" applyFont="1" applyFill="1"/>
    <xf numFmtId="5" fontId="2" fillId="2" borderId="0" xfId="4" applyNumberFormat="1" applyFont="1" applyFill="1"/>
    <xf numFmtId="169" fontId="2" fillId="0" borderId="0" xfId="4" applyNumberFormat="1" applyFont="1" applyFill="1"/>
    <xf numFmtId="169" fontId="2" fillId="0" borderId="0" xfId="1" applyNumberFormat="1"/>
    <xf numFmtId="167" fontId="2" fillId="0" borderId="1" xfId="3" applyNumberFormat="1" applyFont="1" applyFill="1" applyBorder="1" applyAlignment="1">
      <alignment horizontal="right"/>
    </xf>
    <xf numFmtId="164" fontId="3" fillId="0" borderId="3" xfId="1" applyFont="1" applyBorder="1"/>
    <xf numFmtId="164" fontId="2" fillId="0" borderId="3" xfId="1" applyBorder="1"/>
    <xf numFmtId="165" fontId="2" fillId="0" borderId="3" xfId="1" applyNumberFormat="1" applyBorder="1"/>
    <xf numFmtId="164" fontId="3" fillId="0" borderId="9" xfId="1" applyFont="1" applyBorder="1"/>
    <xf numFmtId="164" fontId="2" fillId="0" borderId="9" xfId="1" applyBorder="1"/>
    <xf numFmtId="167" fontId="2" fillId="0" borderId="10" xfId="3" applyNumberFormat="1" applyFont="1" applyFill="1" applyBorder="1"/>
    <xf numFmtId="5" fontId="2" fillId="0" borderId="10" xfId="4" applyNumberFormat="1" applyFont="1" applyFill="1" applyBorder="1"/>
    <xf numFmtId="165" fontId="2" fillId="0" borderId="9" xfId="1" applyNumberFormat="1" applyBorder="1"/>
    <xf numFmtId="39" fontId="2" fillId="2" borderId="10" xfId="4" applyNumberFormat="1" applyFont="1" applyFill="1" applyBorder="1"/>
    <xf numFmtId="5" fontId="3" fillId="0" borderId="3" xfId="1" applyNumberFormat="1" applyFont="1" applyBorder="1" applyAlignment="1">
      <alignment horizontal="centerContinuous"/>
    </xf>
    <xf numFmtId="165" fontId="3" fillId="0" borderId="3" xfId="1" applyNumberFormat="1" applyFont="1" applyBorder="1" applyAlignment="1">
      <alignment horizontal="centerContinuous"/>
    </xf>
    <xf numFmtId="5" fontId="3" fillId="0" borderId="11" xfId="1" applyNumberFormat="1" applyFont="1" applyBorder="1" applyAlignment="1">
      <alignment horizontal="left"/>
    </xf>
    <xf numFmtId="10" fontId="2" fillId="0" borderId="0" xfId="1" applyNumberFormat="1"/>
    <xf numFmtId="170" fontId="2" fillId="0" borderId="0" xfId="1" applyNumberFormat="1"/>
    <xf numFmtId="4" fontId="2" fillId="0" borderId="0" xfId="1" applyNumberFormat="1"/>
    <xf numFmtId="10" fontId="2" fillId="0" borderId="1" xfId="1" applyNumberFormat="1" applyBorder="1"/>
    <xf numFmtId="10" fontId="6" fillId="0" borderId="0" xfId="1" applyNumberFormat="1" applyFont="1"/>
    <xf numFmtId="10" fontId="2" fillId="0" borderId="3" xfId="1" applyNumberFormat="1" applyBorder="1"/>
    <xf numFmtId="10" fontId="2" fillId="0" borderId="9" xfId="1" applyNumberFormat="1" applyBorder="1"/>
    <xf numFmtId="5" fontId="2" fillId="0" borderId="0" xfId="1" applyNumberFormat="1" applyAlignment="1">
      <alignment horizontal="center"/>
    </xf>
    <xf numFmtId="5" fontId="2" fillId="0" borderId="0" xfId="1" applyNumberFormat="1" applyAlignment="1">
      <alignment horizontal="right"/>
    </xf>
    <xf numFmtId="5" fontId="7" fillId="0" borderId="0" xfId="1" applyNumberFormat="1" applyFont="1"/>
    <xf numFmtId="164" fontId="2" fillId="0" borderId="0" xfId="1" applyAlignment="1">
      <alignment horizontal="center"/>
    </xf>
    <xf numFmtId="171" fontId="2" fillId="0" borderId="0" xfId="1" applyNumberFormat="1"/>
    <xf numFmtId="10" fontId="2" fillId="0" borderId="0" xfId="1" applyNumberFormat="1" applyAlignment="1">
      <alignment horizontal="center"/>
    </xf>
    <xf numFmtId="10" fontId="7" fillId="0" borderId="0" xfId="1" applyNumberFormat="1" applyFont="1"/>
    <xf numFmtId="37" fontId="2" fillId="0" borderId="0" xfId="1" quotePrefix="1" applyNumberFormat="1" applyAlignment="1">
      <alignment horizontal="right"/>
    </xf>
    <xf numFmtId="37" fontId="2" fillId="0" borderId="0" xfId="1" applyNumberFormat="1" applyAlignment="1">
      <alignment horizontal="right"/>
    </xf>
    <xf numFmtId="0" fontId="9" fillId="0" borderId="0" xfId="5" applyFont="1" applyAlignment="1">
      <alignment horizontal="centerContinuous"/>
    </xf>
    <xf numFmtId="164" fontId="10" fillId="0" borderId="0" xfId="6" applyFont="1" applyAlignment="1">
      <alignment horizontal="centerContinuous"/>
    </xf>
    <xf numFmtId="164" fontId="2" fillId="0" borderId="0" xfId="6"/>
    <xf numFmtId="3" fontId="2" fillId="0" borderId="0" xfId="6" applyNumberFormat="1"/>
    <xf numFmtId="0" fontId="2" fillId="0" borderId="0" xfId="6" applyNumberFormat="1"/>
    <xf numFmtId="37" fontId="12" fillId="0" borderId="0" xfId="7" applyNumberFormat="1" applyFont="1" applyAlignment="1">
      <alignment horizontal="centerContinuous"/>
    </xf>
    <xf numFmtId="166" fontId="12" fillId="0" borderId="0" xfId="7" applyNumberFormat="1" applyFont="1" applyAlignment="1">
      <alignment horizontal="centerContinuous"/>
    </xf>
    <xf numFmtId="166" fontId="12" fillId="0" borderId="0" xfId="7" applyNumberFormat="1" applyFont="1" applyAlignment="1">
      <alignment horizontal="left"/>
    </xf>
    <xf numFmtId="164" fontId="3" fillId="0" borderId="1" xfId="6" quotePrefix="1" applyFont="1" applyBorder="1" applyAlignment="1">
      <alignment horizontal="centerContinuous"/>
    </xf>
    <xf numFmtId="164" fontId="3" fillId="0" borderId="1" xfId="6" applyFont="1" applyBorder="1" applyAlignment="1">
      <alignment horizontal="centerContinuous"/>
    </xf>
    <xf numFmtId="166" fontId="12" fillId="0" borderId="1" xfId="7" applyNumberFormat="1" applyFont="1" applyBorder="1" applyAlignment="1">
      <alignment horizontal="centerContinuous"/>
    </xf>
    <xf numFmtId="37" fontId="12" fillId="0" borderId="1" xfId="7" applyNumberFormat="1" applyFont="1" applyBorder="1" applyAlignment="1">
      <alignment horizontal="centerContinuous"/>
    </xf>
    <xf numFmtId="166" fontId="12" fillId="0" borderId="0" xfId="7" applyNumberFormat="1" applyFont="1" applyAlignment="1">
      <alignment horizontal="center"/>
    </xf>
    <xf numFmtId="164" fontId="3" fillId="0" borderId="0" xfId="6" applyFont="1" applyAlignment="1">
      <alignment horizontal="center"/>
    </xf>
    <xf numFmtId="166" fontId="12" fillId="0" borderId="3" xfId="7" applyNumberFormat="1" applyFont="1" applyBorder="1" applyAlignment="1">
      <alignment horizontal="centerContinuous"/>
    </xf>
    <xf numFmtId="164" fontId="3" fillId="0" borderId="3" xfId="6" applyFont="1" applyBorder="1" applyAlignment="1">
      <alignment horizontal="centerContinuous"/>
    </xf>
    <xf numFmtId="37" fontId="12" fillId="0" borderId="1" xfId="7" applyNumberFormat="1" applyFont="1" applyBorder="1" applyAlignment="1">
      <alignment horizontal="center"/>
    </xf>
    <xf numFmtId="37" fontId="12" fillId="0" borderId="0" xfId="7" applyNumberFormat="1" applyFont="1" applyAlignment="1">
      <alignment horizontal="center"/>
    </xf>
    <xf numFmtId="164" fontId="3" fillId="0" borderId="12" xfId="6" quotePrefix="1" applyFont="1" applyBorder="1" applyAlignment="1">
      <alignment horizontal="center"/>
    </xf>
    <xf numFmtId="10" fontId="2" fillId="0" borderId="0" xfId="8" applyNumberFormat="1"/>
    <xf numFmtId="164" fontId="2" fillId="0" borderId="0" xfId="8"/>
    <xf numFmtId="0" fontId="3" fillId="0" borderId="0" xfId="6" applyNumberFormat="1" applyFont="1" applyAlignment="1">
      <alignment horizontal="left"/>
    </xf>
    <xf numFmtId="172" fontId="2" fillId="0" borderId="0" xfId="6" applyNumberFormat="1"/>
    <xf numFmtId="37" fontId="2" fillId="0" borderId="0" xfId="6" applyNumberFormat="1"/>
    <xf numFmtId="0" fontId="2" fillId="0" borderId="0" xfId="6" applyNumberFormat="1" applyAlignment="1">
      <alignment horizontal="left"/>
    </xf>
    <xf numFmtId="37" fontId="2" fillId="0" borderId="0" xfId="6" applyNumberFormat="1" applyProtection="1">
      <protection locked="0"/>
    </xf>
    <xf numFmtId="7" fontId="2" fillId="0" borderId="0" xfId="6" applyNumberFormat="1" applyProtection="1">
      <protection locked="0"/>
    </xf>
    <xf numFmtId="5" fontId="2" fillId="0" borderId="0" xfId="6" applyNumberFormat="1"/>
    <xf numFmtId="10" fontId="2" fillId="0" borderId="0" xfId="9" quotePrefix="1" applyNumberFormat="1" applyFont="1" applyFill="1"/>
    <xf numFmtId="37" fontId="2" fillId="0" borderId="0" xfId="8" applyNumberFormat="1" applyProtection="1">
      <protection locked="0"/>
    </xf>
    <xf numFmtId="164" fontId="2" fillId="0" borderId="2" xfId="8" applyBorder="1"/>
    <xf numFmtId="164" fontId="2" fillId="0" borderId="4" xfId="8" applyBorder="1"/>
    <xf numFmtId="164" fontId="2" fillId="0" borderId="0" xfId="6" applyAlignment="1">
      <alignment horizontal="right"/>
    </xf>
    <xf numFmtId="173" fontId="2" fillId="0" borderId="0" xfId="6" applyNumberFormat="1"/>
    <xf numFmtId="164" fontId="2" fillId="0" borderId="13" xfId="8" applyBorder="1"/>
    <xf numFmtId="5" fontId="2" fillId="0" borderId="14" xfId="8" applyNumberFormat="1" applyBorder="1"/>
    <xf numFmtId="164" fontId="2" fillId="0" borderId="0" xfId="6" quotePrefix="1" applyAlignment="1">
      <alignment horizontal="center"/>
    </xf>
    <xf numFmtId="164" fontId="2" fillId="0" borderId="5" xfId="8" applyBorder="1"/>
    <xf numFmtId="5" fontId="2" fillId="0" borderId="6" xfId="8" applyNumberFormat="1" applyBorder="1"/>
    <xf numFmtId="164" fontId="2" fillId="0" borderId="0" xfId="6" quotePrefix="1" applyAlignment="1">
      <alignment horizontal="right"/>
    </xf>
    <xf numFmtId="164" fontId="13" fillId="0" borderId="7" xfId="8" applyFont="1" applyBorder="1"/>
    <xf numFmtId="5" fontId="2" fillId="0" borderId="8" xfId="8" applyNumberFormat="1" applyBorder="1"/>
    <xf numFmtId="9" fontId="2" fillId="0" borderId="0" xfId="8" applyNumberFormat="1"/>
    <xf numFmtId="165" fontId="2" fillId="0" borderId="14" xfId="8" applyNumberFormat="1" applyBorder="1"/>
    <xf numFmtId="165" fontId="2" fillId="0" borderId="6" xfId="8" applyNumberFormat="1" applyBorder="1"/>
    <xf numFmtId="174" fontId="2" fillId="0" borderId="0" xfId="6" applyNumberFormat="1" applyProtection="1">
      <protection locked="0"/>
    </xf>
    <xf numFmtId="164" fontId="2" fillId="0" borderId="0" xfId="6" applyAlignment="1">
      <alignment horizontal="center"/>
    </xf>
    <xf numFmtId="165" fontId="2" fillId="0" borderId="6" xfId="3" applyNumberFormat="1" applyFont="1" applyFill="1" applyBorder="1"/>
    <xf numFmtId="164" fontId="2" fillId="0" borderId="5" xfId="6" applyBorder="1"/>
    <xf numFmtId="164" fontId="2" fillId="0" borderId="6" xfId="6" applyBorder="1"/>
    <xf numFmtId="2" fontId="2" fillId="0" borderId="0" xfId="6" applyNumberFormat="1" applyAlignment="1">
      <alignment horizontal="right"/>
    </xf>
    <xf numFmtId="0" fontId="2" fillId="0" borderId="0" xfId="5"/>
    <xf numFmtId="10" fontId="2" fillId="0" borderId="0" xfId="6" applyNumberFormat="1"/>
    <xf numFmtId="173" fontId="2" fillId="0" borderId="6" xfId="6" applyNumberFormat="1" applyBorder="1"/>
    <xf numFmtId="173" fontId="2" fillId="0" borderId="0" xfId="6" applyNumberFormat="1" applyAlignment="1">
      <alignment horizontal="right"/>
    </xf>
    <xf numFmtId="164" fontId="2" fillId="0" borderId="7" xfId="8" applyBorder="1"/>
    <xf numFmtId="9" fontId="2" fillId="0" borderId="8" xfId="8" applyNumberFormat="1" applyBorder="1"/>
    <xf numFmtId="164" fontId="6" fillId="0" borderId="0" xfId="6" applyFont="1"/>
    <xf numFmtId="175" fontId="2" fillId="0" borderId="0" xfId="6" applyNumberFormat="1" applyProtection="1">
      <protection locked="0"/>
    </xf>
    <xf numFmtId="3" fontId="2" fillId="0" borderId="0" xfId="0" applyNumberFormat="1" applyFont="1"/>
    <xf numFmtId="0" fontId="2" fillId="0" borderId="0" xfId="8" applyNumberFormat="1" applyAlignment="1">
      <alignment horizontal="left"/>
    </xf>
    <xf numFmtId="164" fontId="6" fillId="0" borderId="0" xfId="8" applyFont="1"/>
    <xf numFmtId="175" fontId="2" fillId="0" borderId="0" xfId="8" applyNumberFormat="1" applyProtection="1">
      <protection locked="0"/>
    </xf>
    <xf numFmtId="175" fontId="2" fillId="3" borderId="0" xfId="8" applyNumberFormat="1" applyFill="1" applyProtection="1">
      <protection locked="0"/>
    </xf>
    <xf numFmtId="0" fontId="2" fillId="0" borderId="10" xfId="6" applyNumberFormat="1" applyBorder="1" applyAlignment="1">
      <alignment horizontal="left"/>
    </xf>
    <xf numFmtId="164" fontId="2" fillId="0" borderId="10" xfId="6" applyBorder="1"/>
    <xf numFmtId="37" fontId="2" fillId="0" borderId="10" xfId="6" applyNumberFormat="1" applyBorder="1"/>
    <xf numFmtId="5" fontId="2" fillId="0" borderId="10" xfId="6" applyNumberFormat="1" applyBorder="1"/>
    <xf numFmtId="176" fontId="2" fillId="0" borderId="0" xfId="6" applyNumberFormat="1"/>
    <xf numFmtId="177" fontId="2" fillId="0" borderId="0" xfId="6" applyNumberFormat="1"/>
    <xf numFmtId="0" fontId="3" fillId="0" borderId="0" xfId="8" applyNumberFormat="1" applyFont="1" applyAlignment="1">
      <alignment horizontal="left"/>
    </xf>
    <xf numFmtId="7" fontId="2" fillId="0" borderId="0" xfId="8" applyNumberFormat="1" applyProtection="1">
      <protection locked="0"/>
    </xf>
    <xf numFmtId="178" fontId="2" fillId="0" borderId="0" xfId="8" applyNumberFormat="1" applyProtection="1">
      <protection locked="0"/>
    </xf>
    <xf numFmtId="7" fontId="2" fillId="3" borderId="0" xfId="6" applyNumberFormat="1" applyFill="1" applyProtection="1">
      <protection locked="0"/>
    </xf>
    <xf numFmtId="2" fontId="2" fillId="0" borderId="0" xfId="8" applyNumberFormat="1"/>
    <xf numFmtId="179" fontId="2" fillId="0" borderId="0" xfId="3" applyNumberFormat="1" applyFont="1" applyFill="1"/>
    <xf numFmtId="10" fontId="2" fillId="0" borderId="0" xfId="9" applyNumberFormat="1" applyFont="1" applyFill="1"/>
    <xf numFmtId="5" fontId="2" fillId="0" borderId="0" xfId="8" applyNumberFormat="1"/>
    <xf numFmtId="7" fontId="2" fillId="0" borderId="0" xfId="6" applyNumberFormat="1"/>
    <xf numFmtId="10" fontId="2" fillId="0" borderId="6" xfId="8" applyNumberFormat="1" applyBorder="1"/>
    <xf numFmtId="10" fontId="2" fillId="0" borderId="14" xfId="8" applyNumberFormat="1" applyBorder="1"/>
    <xf numFmtId="175" fontId="2" fillId="0" borderId="0" xfId="6" applyNumberFormat="1"/>
    <xf numFmtId="10" fontId="2" fillId="0" borderId="8" xfId="8" applyNumberFormat="1" applyBorder="1"/>
    <xf numFmtId="10" fontId="2" fillId="0" borderId="4" xfId="8" applyNumberFormat="1" applyBorder="1"/>
    <xf numFmtId="2" fontId="2" fillId="0" borderId="0" xfId="9" applyNumberFormat="1" applyFont="1" applyFill="1" applyBorder="1"/>
    <xf numFmtId="10" fontId="2" fillId="0" borderId="0" xfId="6" applyNumberFormat="1" applyAlignment="1">
      <alignment horizontal="right"/>
    </xf>
    <xf numFmtId="178" fontId="2" fillId="0" borderId="0" xfId="6" applyNumberFormat="1"/>
    <xf numFmtId="0" fontId="5" fillId="0" borderId="0" xfId="0" applyFont="1"/>
    <xf numFmtId="0" fontId="2" fillId="0" borderId="15" xfId="0" applyFont="1" applyBorder="1"/>
    <xf numFmtId="8" fontId="14" fillId="0" borderId="0" xfId="0" applyNumberFormat="1" applyFont="1"/>
    <xf numFmtId="0" fontId="2" fillId="0" borderId="0" xfId="0" applyFont="1"/>
    <xf numFmtId="37" fontId="2" fillId="0" borderId="10" xfId="6" applyNumberFormat="1" applyBorder="1" applyProtection="1">
      <protection locked="0"/>
    </xf>
    <xf numFmtId="180" fontId="2" fillId="0" borderId="0" xfId="6" applyNumberFormat="1" applyProtection="1">
      <protection locked="0"/>
    </xf>
    <xf numFmtId="165" fontId="2" fillId="0" borderId="8" xfId="8" applyNumberFormat="1" applyBorder="1"/>
    <xf numFmtId="0" fontId="15" fillId="0" borderId="0" xfId="10"/>
    <xf numFmtId="164" fontId="13" fillId="0" borderId="5" xfId="8" applyFont="1" applyBorder="1"/>
    <xf numFmtId="164" fontId="2" fillId="0" borderId="0" xfId="6" applyProtection="1">
      <protection locked="0"/>
    </xf>
    <xf numFmtId="173" fontId="2" fillId="0" borderId="0" xfId="6" applyNumberFormat="1" applyProtection="1">
      <protection locked="0"/>
    </xf>
    <xf numFmtId="2" fontId="2" fillId="0" borderId="8" xfId="8" applyNumberFormat="1" applyBorder="1"/>
    <xf numFmtId="178" fontId="2" fillId="0" borderId="0" xfId="6" applyNumberFormat="1" applyProtection="1">
      <protection locked="0"/>
    </xf>
    <xf numFmtId="177" fontId="2" fillId="0" borderId="8" xfId="8" applyNumberFormat="1" applyBorder="1"/>
    <xf numFmtId="181" fontId="2" fillId="0" borderId="0" xfId="6" applyNumberFormat="1"/>
    <xf numFmtId="37" fontId="2" fillId="0" borderId="1" xfId="6" applyNumberFormat="1" applyBorder="1"/>
    <xf numFmtId="175" fontId="2" fillId="0" borderId="1" xfId="6" applyNumberFormat="1" applyBorder="1"/>
    <xf numFmtId="0" fontId="2" fillId="0" borderId="1" xfId="5" applyBorder="1"/>
    <xf numFmtId="5" fontId="2" fillId="0" borderId="1" xfId="6" applyNumberFormat="1" applyBorder="1"/>
    <xf numFmtId="0" fontId="5" fillId="0" borderId="1" xfId="0" applyFont="1" applyBorder="1"/>
    <xf numFmtId="164" fontId="3" fillId="0" borderId="0" xfId="6" applyFont="1" applyAlignment="1">
      <alignment horizontal="left"/>
    </xf>
    <xf numFmtId="164" fontId="2" fillId="0" borderId="0" xfId="6" applyAlignment="1">
      <alignment horizontal="left"/>
    </xf>
    <xf numFmtId="164" fontId="2" fillId="0" borderId="10" xfId="6" applyBorder="1" applyAlignment="1">
      <alignment horizontal="left"/>
    </xf>
    <xf numFmtId="177" fontId="2" fillId="0" borderId="10" xfId="11" applyNumberFormat="1" applyFont="1" applyFill="1" applyBorder="1"/>
    <xf numFmtId="0" fontId="16" fillId="0" borderId="0" xfId="6" quotePrefix="1" applyNumberFormat="1" applyFont="1" applyAlignment="1">
      <alignment horizontal="left"/>
    </xf>
    <xf numFmtId="0" fontId="6" fillId="0" borderId="0" xfId="6" applyNumberFormat="1" applyFont="1" applyAlignment="1">
      <alignment horizontal="left"/>
    </xf>
    <xf numFmtId="179" fontId="2" fillId="0" borderId="0" xfId="3" applyNumberFormat="1" applyFont="1" applyFill="1" applyBorder="1" applyProtection="1">
      <protection locked="0"/>
    </xf>
    <xf numFmtId="37" fontId="2" fillId="0" borderId="12" xfId="6" applyNumberFormat="1" applyBorder="1"/>
    <xf numFmtId="164" fontId="2" fillId="0" borderId="12" xfId="6" applyBorder="1"/>
    <xf numFmtId="5" fontId="2" fillId="0" borderId="12" xfId="6" applyNumberFormat="1" applyBorder="1"/>
    <xf numFmtId="0" fontId="3" fillId="0" borderId="0" xfId="6" applyNumberFormat="1" applyFont="1"/>
    <xf numFmtId="37" fontId="2" fillId="0" borderId="12" xfId="6" applyNumberFormat="1" applyBorder="1" applyProtection="1">
      <protection locked="0"/>
    </xf>
    <xf numFmtId="177" fontId="2" fillId="0" borderId="10" xfId="3" applyNumberFormat="1" applyFont="1" applyFill="1" applyBorder="1"/>
    <xf numFmtId="0" fontId="2" fillId="0" borderId="10" xfId="6" applyNumberFormat="1" applyBorder="1"/>
    <xf numFmtId="10" fontId="2" fillId="0" borderId="0" xfId="12" applyNumberFormat="1" applyFont="1" applyFill="1"/>
    <xf numFmtId="10" fontId="2" fillId="0" borderId="0" xfId="12" applyNumberFormat="1" applyFont="1" applyFill="1" applyBorder="1"/>
    <xf numFmtId="0" fontId="17" fillId="0" borderId="0" xfId="6" applyNumberFormat="1" applyFont="1" applyAlignment="1">
      <alignment horizontal="left"/>
    </xf>
    <xf numFmtId="37" fontId="2" fillId="0" borderId="0" xfId="8" applyNumberFormat="1"/>
    <xf numFmtId="182" fontId="2" fillId="0" borderId="0" xfId="6" applyNumberFormat="1" applyProtection="1">
      <protection locked="0"/>
    </xf>
    <xf numFmtId="182" fontId="2" fillId="0" borderId="0" xfId="6" applyNumberFormat="1"/>
    <xf numFmtId="178" fontId="2" fillId="0" borderId="1" xfId="6" applyNumberFormat="1" applyBorder="1"/>
    <xf numFmtId="0" fontId="10" fillId="0" borderId="15" xfId="0" applyFont="1" applyBorder="1" applyAlignment="1">
      <alignment horizontal="left"/>
    </xf>
    <xf numFmtId="168" fontId="2" fillId="0" borderId="0" xfId="6" applyNumberFormat="1" applyProtection="1">
      <protection locked="0"/>
    </xf>
    <xf numFmtId="168" fontId="2" fillId="0" borderId="0" xfId="6" applyNumberFormat="1"/>
    <xf numFmtId="183" fontId="2" fillId="0" borderId="0" xfId="6" applyNumberFormat="1"/>
    <xf numFmtId="178" fontId="2" fillId="0" borderId="0" xfId="8" applyNumberFormat="1"/>
    <xf numFmtId="0" fontId="18" fillId="0" borderId="0" xfId="6" applyNumberFormat="1" applyFont="1" applyAlignment="1">
      <alignment horizontal="left"/>
    </xf>
    <xf numFmtId="7" fontId="2" fillId="0" borderId="0" xfId="8" applyNumberFormat="1"/>
    <xf numFmtId="178" fontId="2" fillId="0" borderId="1" xfId="8" applyNumberFormat="1" applyBorder="1"/>
    <xf numFmtId="37" fontId="2" fillId="0" borderId="16" xfId="6" applyNumberFormat="1" applyBorder="1"/>
    <xf numFmtId="164" fontId="2" fillId="0" borderId="16" xfId="6" applyBorder="1"/>
    <xf numFmtId="5" fontId="2" fillId="0" borderId="16" xfId="6" applyNumberFormat="1" applyBorder="1"/>
    <xf numFmtId="175" fontId="2" fillId="0" borderId="10" xfId="6" applyNumberFormat="1" applyBorder="1"/>
    <xf numFmtId="4" fontId="2" fillId="0" borderId="0" xfId="6" applyNumberFormat="1"/>
    <xf numFmtId="5" fontId="2" fillId="0" borderId="0" xfId="6" applyNumberFormat="1" applyProtection="1">
      <protection locked="0"/>
    </xf>
    <xf numFmtId="2" fontId="2" fillId="0" borderId="0" xfId="6" applyNumberFormat="1"/>
    <xf numFmtId="37" fontId="2" fillId="0" borderId="17" xfId="6" applyNumberFormat="1" applyBorder="1"/>
    <xf numFmtId="5" fontId="2" fillId="0" borderId="17" xfId="6" applyNumberFormat="1" applyBorder="1"/>
    <xf numFmtId="182" fontId="2" fillId="0" borderId="1" xfId="6" applyNumberFormat="1" applyBorder="1"/>
    <xf numFmtId="37" fontId="2" fillId="0" borderId="16" xfId="6" applyNumberFormat="1" applyBorder="1" applyProtection="1">
      <protection locked="0"/>
    </xf>
    <xf numFmtId="167" fontId="2" fillId="0" borderId="0" xfId="11" applyNumberFormat="1" applyFont="1" applyFill="1"/>
    <xf numFmtId="167" fontId="2" fillId="0" borderId="10" xfId="11" applyNumberFormat="1" applyFont="1" applyFill="1" applyBorder="1"/>
    <xf numFmtId="167" fontId="2" fillId="0" borderId="0" xfId="11" applyNumberFormat="1" applyFont="1" applyFill="1" applyBorder="1"/>
    <xf numFmtId="0" fontId="3" fillId="0" borderId="0" xfId="5" applyFont="1" applyAlignment="1">
      <alignment horizontal="centerContinuous"/>
    </xf>
    <xf numFmtId="164" fontId="3" fillId="0" borderId="0" xfId="6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0" xfId="0" applyFont="1"/>
    <xf numFmtId="0" fontId="3" fillId="0" borderId="13" xfId="5" applyFont="1" applyBorder="1" applyAlignment="1">
      <alignment horizontal="centerContinuous"/>
    </xf>
    <xf numFmtId="164" fontId="3" fillId="0" borderId="11" xfId="6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19" fillId="0" borderId="11" xfId="0" applyFont="1" applyBorder="1" applyAlignment="1">
      <alignment horizontal="center"/>
    </xf>
    <xf numFmtId="0" fontId="20" fillId="0" borderId="5" xfId="0" applyFont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164" fontId="3" fillId="0" borderId="0" xfId="6" applyFont="1" applyAlignment="1">
      <alignment horizontal="left" wrapText="1"/>
    </xf>
    <xf numFmtId="0" fontId="19" fillId="0" borderId="5" xfId="0" applyFont="1" applyBorder="1"/>
    <xf numFmtId="168" fontId="19" fillId="0" borderId="0" xfId="0" applyNumberFormat="1" applyFont="1"/>
    <xf numFmtId="0" fontId="3" fillId="0" borderId="5" xfId="5" applyFont="1" applyBorder="1" applyAlignment="1">
      <alignment horizontal="centerContinuous"/>
    </xf>
    <xf numFmtId="0" fontId="19" fillId="0" borderId="0" xfId="0" applyFont="1" applyAlignment="1">
      <alignment horizontal="left"/>
    </xf>
    <xf numFmtId="168" fontId="19" fillId="0" borderId="0" xfId="0" applyNumberFormat="1" applyFont="1" applyAlignment="1">
      <alignment horizontal="centerContinuous"/>
    </xf>
    <xf numFmtId="0" fontId="20" fillId="0" borderId="5" xfId="0" applyFont="1" applyBorder="1"/>
    <xf numFmtId="164" fontId="3" fillId="0" borderId="7" xfId="6" applyFont="1" applyBorder="1" applyAlignment="1">
      <alignment horizontal="left"/>
    </xf>
    <xf numFmtId="164" fontId="3" fillId="0" borderId="1" xfId="6" applyFont="1" applyBorder="1" applyAlignment="1">
      <alignment horizontal="left"/>
    </xf>
    <xf numFmtId="168" fontId="19" fillId="0" borderId="1" xfId="0" applyNumberFormat="1" applyFont="1" applyBorder="1"/>
    <xf numFmtId="0" fontId="20" fillId="0" borderId="13" xfId="0" applyFont="1" applyBorder="1" applyAlignment="1">
      <alignment horizontal="centerContinuous"/>
    </xf>
    <xf numFmtId="168" fontId="19" fillId="0" borderId="11" xfId="0" applyNumberFormat="1" applyFont="1" applyBorder="1" applyAlignment="1">
      <alignment horizontal="centerContinuous"/>
    </xf>
    <xf numFmtId="168" fontId="19" fillId="0" borderId="11" xfId="0" applyNumberFormat="1" applyFont="1" applyBorder="1"/>
    <xf numFmtId="0" fontId="19" fillId="0" borderId="5" xfId="0" applyFont="1" applyBorder="1" applyAlignment="1">
      <alignment horizontal="left"/>
    </xf>
    <xf numFmtId="0" fontId="19" fillId="0" borderId="0" xfId="0" quotePrefix="1" applyFont="1" applyAlignment="1">
      <alignment horizontal="center"/>
    </xf>
    <xf numFmtId="168" fontId="20" fillId="0" borderId="18" xfId="0" applyNumberFormat="1" applyFont="1" applyBorder="1"/>
    <xf numFmtId="168" fontId="20" fillId="0" borderId="0" xfId="0" applyNumberFormat="1" applyFont="1"/>
    <xf numFmtId="168" fontId="20" fillId="0" borderId="19" xfId="0" applyNumberFormat="1" applyFont="1" applyBorder="1"/>
    <xf numFmtId="168" fontId="20" fillId="0" borderId="20" xfId="0" applyNumberFormat="1" applyFont="1" applyBorder="1"/>
    <xf numFmtId="0" fontId="19" fillId="0" borderId="0" xfId="0" quotePrefix="1" applyFont="1"/>
    <xf numFmtId="168" fontId="19" fillId="0" borderId="0" xfId="0" quotePrefix="1" applyNumberFormat="1" applyFont="1"/>
    <xf numFmtId="168" fontId="19" fillId="0" borderId="0" xfId="0" quotePrefix="1" applyNumberFormat="1" applyFont="1" applyAlignment="1">
      <alignment horizontal="center"/>
    </xf>
    <xf numFmtId="167" fontId="19" fillId="0" borderId="0" xfId="3" applyNumberFormat="1" applyFont="1" applyFill="1" applyBorder="1"/>
    <xf numFmtId="0" fontId="20" fillId="0" borderId="0" xfId="0" applyFont="1" applyAlignment="1">
      <alignment horizontal="right"/>
    </xf>
    <xf numFmtId="0" fontId="19" fillId="0" borderId="7" xfId="0" applyFont="1" applyBorder="1"/>
    <xf numFmtId="0" fontId="19" fillId="0" borderId="1" xfId="0" applyFont="1" applyBorder="1"/>
    <xf numFmtId="0" fontId="21" fillId="3" borderId="13" xfId="0" applyFont="1" applyFill="1" applyBorder="1" applyAlignment="1">
      <alignment horizontal="centerContinuous"/>
    </xf>
    <xf numFmtId="164" fontId="21" fillId="3" borderId="11" xfId="6" applyFont="1" applyFill="1" applyBorder="1" applyAlignment="1">
      <alignment horizontal="centerContinuous"/>
    </xf>
    <xf numFmtId="168" fontId="7" fillId="3" borderId="11" xfId="0" applyNumberFormat="1" applyFont="1" applyFill="1" applyBorder="1" applyAlignment="1">
      <alignment horizontal="centerContinuous"/>
    </xf>
    <xf numFmtId="0" fontId="21" fillId="0" borderId="5" xfId="0" applyFont="1" applyBorder="1"/>
    <xf numFmtId="0" fontId="21" fillId="0" borderId="0" xfId="0" applyFont="1" applyAlignment="1">
      <alignment wrapText="1"/>
    </xf>
    <xf numFmtId="0" fontId="7" fillId="0" borderId="0" xfId="0" applyFont="1" applyAlignment="1">
      <alignment wrapText="1"/>
    </xf>
    <xf numFmtId="168" fontId="7" fillId="0" borderId="0" xfId="0" applyNumberFormat="1" applyFont="1"/>
    <xf numFmtId="0" fontId="7" fillId="0" borderId="5" xfId="0" applyFont="1" applyBorder="1"/>
    <xf numFmtId="0" fontId="7" fillId="0" borderId="0" xfId="0" quotePrefix="1" applyFont="1" applyAlignment="1">
      <alignment horizontal="center"/>
    </xf>
    <xf numFmtId="168" fontId="21" fillId="0" borderId="18" xfId="0" applyNumberFormat="1" applyFont="1" applyBorder="1"/>
    <xf numFmtId="168" fontId="21" fillId="0" borderId="0" xfId="0" applyNumberFormat="1" applyFont="1"/>
    <xf numFmtId="168" fontId="21" fillId="0" borderId="19" xfId="0" applyNumberFormat="1" applyFont="1" applyBorder="1"/>
    <xf numFmtId="0" fontId="7" fillId="0" borderId="0" xfId="0" applyFont="1"/>
    <xf numFmtId="0" fontId="21" fillId="0" borderId="5" xfId="0" applyFont="1" applyBorder="1" applyAlignment="1">
      <alignment wrapText="1"/>
    </xf>
    <xf numFmtId="0" fontId="7" fillId="0" borderId="0" xfId="0" quotePrefix="1" applyFont="1"/>
    <xf numFmtId="168" fontId="7" fillId="0" borderId="0" xfId="0" quotePrefix="1" applyNumberFormat="1" applyFont="1"/>
    <xf numFmtId="168" fontId="7" fillId="0" borderId="0" xfId="0" quotePrefix="1" applyNumberFormat="1" applyFont="1" applyAlignment="1">
      <alignment horizontal="center"/>
    </xf>
    <xf numFmtId="167" fontId="7" fillId="0" borderId="0" xfId="3" applyNumberFormat="1" applyFont="1" applyFill="1" applyBorder="1"/>
    <xf numFmtId="5" fontId="7" fillId="0" borderId="0" xfId="0" applyNumberFormat="1" applyFont="1"/>
    <xf numFmtId="5" fontId="19" fillId="0" borderId="0" xfId="0" applyNumberFormat="1" applyFont="1"/>
    <xf numFmtId="10" fontId="19" fillId="0" borderId="0" xfId="0" applyNumberFormat="1" applyFont="1"/>
    <xf numFmtId="6" fontId="22" fillId="0" borderId="0" xfId="13" applyNumberFormat="1" applyFont="1"/>
    <xf numFmtId="37" fontId="6" fillId="0" borderId="0" xfId="6" applyNumberFormat="1" applyFont="1"/>
    <xf numFmtId="178" fontId="6" fillId="0" borderId="0" xfId="6" applyNumberFormat="1" applyFont="1"/>
    <xf numFmtId="0" fontId="6" fillId="0" borderId="0" xfId="5" applyFont="1"/>
    <xf numFmtId="5" fontId="6" fillId="0" borderId="0" xfId="6" applyNumberFormat="1" applyFont="1"/>
    <xf numFmtId="173" fontId="6" fillId="0" borderId="0" xfId="6" applyNumberFormat="1" applyFont="1"/>
    <xf numFmtId="3" fontId="6" fillId="0" borderId="0" xfId="6" applyNumberFormat="1" applyFont="1"/>
    <xf numFmtId="10" fontId="6" fillId="0" borderId="0" xfId="6" applyNumberFormat="1" applyFont="1"/>
    <xf numFmtId="170" fontId="2" fillId="0" borderId="6" xfId="8" applyNumberFormat="1" applyBorder="1"/>
  </cellXfs>
  <cellStyles count="14">
    <cellStyle name="Comma 11" xfId="3" xr:uid="{52D86FA2-6C8D-4C8E-82BA-599204DE3C7A}"/>
    <cellStyle name="Comma 2" xfId="11" xr:uid="{A028584C-37AF-4D31-A6B2-CB569FD6F33D}"/>
    <cellStyle name="Currency 2" xfId="4" xr:uid="{67CBC69A-C98A-4E1C-9488-42431406E13E}"/>
    <cellStyle name="Normal" xfId="0" builtinId="0"/>
    <cellStyle name="Normal 11 2" xfId="2" xr:uid="{1E1A95A0-C9E3-4FF5-B078-6F1D05A60A0C}"/>
    <cellStyle name="Normal 15" xfId="5" xr:uid="{91CC50BC-F24A-4A24-BB6E-70867DC5C508}"/>
    <cellStyle name="Normal 33" xfId="13" xr:uid="{99254C29-EBC7-4E87-8D2F-BAAD37E6594D}"/>
    <cellStyle name="Normal_Blocking" xfId="7" xr:uid="{402CC568-D4E9-4EF0-8D3D-5A967D75D12E}"/>
    <cellStyle name="Normal_Blocking 03-01" xfId="1" xr:uid="{7EBD87A7-EDBB-4B8B-A296-203268D18C56}"/>
    <cellStyle name="Normal_Blocking 09-00" xfId="6" xr:uid="{FAD3877B-A236-4A77-AB47-A59E050A9E53}"/>
    <cellStyle name="Normal_Blocking 09-00 2" xfId="8" xr:uid="{FF62497C-65EC-4AE1-B67A-DA2EE9033F43}"/>
    <cellStyle name="Normal_Book4" xfId="10" xr:uid="{66CD9581-F485-4E19-9EC9-0AFB6BDEAA0E}"/>
    <cellStyle name="Percent 13" xfId="9" xr:uid="{A5DB0956-8CA0-42E2-9B03-632EC9C05261}"/>
    <cellStyle name="Percent 2 2" xfId="12" xr:uid="{86363B23-D5F4-489A-9F25-4EA60788A6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3AA0-0F64-42C9-AC73-94409CBB0EF0}">
  <dimension ref="A1:AM50"/>
  <sheetViews>
    <sheetView tabSelected="1" view="pageBreakPreview" topLeftCell="A8" zoomScale="85" zoomScaleNormal="100" zoomScaleSheetLayoutView="85" workbookViewId="0">
      <pane xSplit="6" ySplit="5" topLeftCell="R13" activePane="bottomRight" state="frozen"/>
      <selection activeCell="H121" sqref="H121"/>
      <selection pane="topRight" activeCell="H121" sqref="H121"/>
      <selection pane="bottomLeft" activeCell="H121" sqref="H121"/>
      <selection pane="bottomRight" activeCell="AJ18" sqref="AJ18"/>
    </sheetView>
  </sheetViews>
  <sheetFormatPr defaultColWidth="10" defaultRowHeight="15.75"/>
  <cols>
    <col min="1" max="1" width="5.140625" style="6" customWidth="1"/>
    <col min="2" max="2" width="1.7109375" style="6" customWidth="1"/>
    <col min="3" max="3" width="40.7109375" style="6" customWidth="1"/>
    <col min="4" max="4" width="1.7109375" style="6" customWidth="1"/>
    <col min="5" max="5" width="5.7109375" style="6" customWidth="1"/>
    <col min="6" max="6" width="1.7109375" style="6" customWidth="1"/>
    <col min="7" max="7" width="12" style="6" customWidth="1"/>
    <col min="8" max="8" width="1.7109375" style="6" customWidth="1"/>
    <col min="9" max="9" width="13.28515625" style="16" customWidth="1"/>
    <col min="10" max="10" width="1.7109375" style="6" customWidth="1"/>
    <col min="11" max="11" width="12.42578125" style="50" customWidth="1"/>
    <col min="12" max="12" width="1.7109375" style="50" customWidth="1"/>
    <col min="13" max="13" width="12.42578125" style="50" customWidth="1"/>
    <col min="14" max="14" width="1.7109375" style="50" customWidth="1"/>
    <col min="15" max="15" width="7.42578125" style="50" customWidth="1"/>
    <col min="16" max="16" width="1.7109375" style="50" customWidth="1"/>
    <col min="17" max="17" width="9" style="50" customWidth="1"/>
    <col min="18" max="18" width="1.7109375" style="50" customWidth="1"/>
    <col min="19" max="19" width="12.42578125" style="50" customWidth="1"/>
    <col min="20" max="20" width="1.7109375" style="50" customWidth="1"/>
    <col min="21" max="21" width="10.28515625" style="50" customWidth="1"/>
    <col min="22" max="22" width="1.7109375" style="6" customWidth="1"/>
    <col min="23" max="23" width="8.42578125" style="6" customWidth="1"/>
    <col min="24" max="24" width="1.7109375" style="50" customWidth="1"/>
    <col min="25" max="25" width="10.28515625" style="50" customWidth="1"/>
    <col min="26" max="26" width="1.7109375" style="6" customWidth="1"/>
    <col min="27" max="27" width="8.42578125" style="6" customWidth="1"/>
    <col min="28" max="28" width="1.7109375" style="6" customWidth="1"/>
    <col min="29" max="29" width="11.7109375" style="51" customWidth="1"/>
    <col min="30" max="33" width="10" style="5" customWidth="1"/>
    <col min="34" max="39" width="10" style="6" customWidth="1"/>
    <col min="40" max="16384" width="10" style="6"/>
  </cols>
  <sheetData>
    <row r="1" spans="1:39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1"/>
      <c r="X1" s="3"/>
      <c r="Y1" s="3"/>
      <c r="Z1" s="1"/>
      <c r="AA1" s="1"/>
      <c r="AB1" s="1"/>
      <c r="AC1" s="4"/>
    </row>
    <row r="2" spans="1:39" s="13" customFormat="1">
      <c r="A2" s="1" t="s">
        <v>1</v>
      </c>
      <c r="B2" s="8"/>
      <c r="C2" s="8"/>
      <c r="D2" s="8"/>
      <c r="E2" s="8"/>
      <c r="F2" s="8"/>
      <c r="G2" s="8"/>
      <c r="H2" s="8"/>
      <c r="I2" s="9"/>
      <c r="J2" s="8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8"/>
      <c r="W2" s="8"/>
      <c r="X2" s="10"/>
      <c r="Y2" s="10"/>
      <c r="Z2" s="8"/>
      <c r="AA2" s="8"/>
      <c r="AB2" s="8"/>
      <c r="AC2" s="11"/>
      <c r="AD2" s="12"/>
      <c r="AE2" s="12"/>
      <c r="AF2" s="12"/>
      <c r="AG2" s="12"/>
    </row>
    <row r="3" spans="1:39" s="13" customFormat="1">
      <c r="A3" s="1" t="s">
        <v>2</v>
      </c>
      <c r="B3" s="8"/>
      <c r="C3" s="8"/>
      <c r="D3" s="8"/>
      <c r="E3" s="8"/>
      <c r="F3" s="8"/>
      <c r="G3" s="8"/>
      <c r="H3" s="8"/>
      <c r="I3" s="9"/>
      <c r="J3" s="8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8"/>
      <c r="W3" s="8"/>
      <c r="X3" s="10"/>
      <c r="Y3" s="10"/>
      <c r="Z3" s="8"/>
      <c r="AA3" s="8"/>
      <c r="AB3" s="8"/>
      <c r="AC3" s="11"/>
      <c r="AD3" s="12"/>
      <c r="AE3" s="12"/>
      <c r="AF3" s="12"/>
      <c r="AG3" s="12"/>
    </row>
    <row r="4" spans="1:39" s="13" customFormat="1">
      <c r="A4" s="1" t="s">
        <v>3</v>
      </c>
      <c r="B4" s="8"/>
      <c r="C4" s="8"/>
      <c r="D4" s="8"/>
      <c r="E4" s="8"/>
      <c r="F4" s="8"/>
      <c r="G4" s="8"/>
      <c r="H4" s="8"/>
      <c r="I4" s="9"/>
      <c r="J4" s="8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8"/>
      <c r="W4" s="8"/>
      <c r="X4" s="10"/>
      <c r="Y4" s="10"/>
      <c r="Z4" s="8"/>
      <c r="AA4" s="8"/>
      <c r="AB4" s="8"/>
      <c r="AC4" s="11"/>
      <c r="AD4" s="12"/>
      <c r="AE4" s="12"/>
      <c r="AF4" s="12"/>
      <c r="AG4" s="12"/>
    </row>
    <row r="5" spans="1:39" s="13" customFormat="1">
      <c r="A5" s="1" t="s">
        <v>447</v>
      </c>
      <c r="B5" s="8"/>
      <c r="C5" s="8"/>
      <c r="D5" s="8"/>
      <c r="E5" s="8"/>
      <c r="F5" s="8"/>
      <c r="G5" s="8"/>
      <c r="H5" s="8"/>
      <c r="I5" s="9"/>
      <c r="J5" s="8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8"/>
      <c r="W5" s="8"/>
      <c r="X5" s="10"/>
      <c r="Y5" s="10"/>
      <c r="Z5" s="8"/>
      <c r="AA5" s="8"/>
      <c r="AB5" s="8"/>
      <c r="AC5" s="11"/>
      <c r="AD5" s="12"/>
      <c r="AE5" s="12"/>
      <c r="AF5" s="12"/>
      <c r="AG5" s="12"/>
    </row>
    <row r="6" spans="1:39">
      <c r="A6" s="1" t="s">
        <v>448</v>
      </c>
      <c r="B6" s="8"/>
      <c r="C6" s="8"/>
      <c r="D6" s="8"/>
      <c r="E6" s="8"/>
      <c r="F6" s="8"/>
      <c r="G6" s="8"/>
      <c r="H6" s="8"/>
      <c r="I6" s="9"/>
      <c r="J6" s="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8"/>
      <c r="W6" s="8"/>
      <c r="X6" s="10"/>
      <c r="Y6" s="10"/>
      <c r="Z6" s="8"/>
      <c r="AA6" s="8"/>
      <c r="AB6" s="8"/>
      <c r="AC6" s="11"/>
    </row>
    <row r="7" spans="1:39">
      <c r="D7" s="14"/>
      <c r="F7" s="14"/>
      <c r="G7" s="15"/>
      <c r="H7" s="14"/>
      <c r="J7" s="14"/>
      <c r="K7" s="17"/>
      <c r="L7" s="18"/>
      <c r="M7" s="17"/>
      <c r="N7" s="18"/>
      <c r="O7" s="17"/>
      <c r="P7" s="18"/>
      <c r="Q7" s="17"/>
      <c r="R7" s="18"/>
      <c r="S7" s="17"/>
      <c r="T7" s="18"/>
      <c r="U7" s="17"/>
      <c r="V7" s="14"/>
      <c r="W7" s="15"/>
      <c r="X7" s="18"/>
      <c r="Y7" s="17"/>
      <c r="Z7" s="14"/>
      <c r="AA7" s="15"/>
      <c r="AB7" s="14"/>
      <c r="AC7" s="19"/>
    </row>
    <row r="8" spans="1:39">
      <c r="D8" s="15"/>
      <c r="E8" s="15"/>
      <c r="F8" s="15"/>
      <c r="G8" s="15" t="s">
        <v>4</v>
      </c>
      <c r="H8" s="15"/>
      <c r="I8" s="20"/>
      <c r="J8" s="15"/>
      <c r="K8" s="17" t="s">
        <v>5</v>
      </c>
      <c r="L8" s="17"/>
      <c r="M8" s="21" t="s">
        <v>6</v>
      </c>
      <c r="N8" s="21"/>
      <c r="O8" s="21"/>
      <c r="P8" s="21"/>
      <c r="Q8" s="21"/>
      <c r="R8" s="21"/>
      <c r="S8" s="21"/>
      <c r="T8" s="21"/>
      <c r="U8" s="21"/>
      <c r="V8" s="22"/>
      <c r="W8" s="23"/>
      <c r="X8" s="21"/>
      <c r="Y8" s="21"/>
      <c r="Z8" s="22"/>
      <c r="AA8" s="23"/>
      <c r="AB8" s="14"/>
      <c r="AC8" s="4" t="s">
        <v>7</v>
      </c>
      <c r="AD8" s="4" t="s">
        <v>8</v>
      </c>
      <c r="AE8" s="24"/>
      <c r="AF8" s="4" t="s">
        <v>7</v>
      </c>
      <c r="AG8" s="4" t="s">
        <v>8</v>
      </c>
      <c r="AH8" s="15"/>
    </row>
    <row r="9" spans="1:39" s="25" customFormat="1">
      <c r="A9" s="25" t="s">
        <v>9</v>
      </c>
      <c r="D9" s="15"/>
      <c r="E9" s="15" t="s">
        <v>10</v>
      </c>
      <c r="F9" s="15"/>
      <c r="G9" s="15" t="s">
        <v>11</v>
      </c>
      <c r="H9" s="15"/>
      <c r="I9" s="20" t="s">
        <v>12</v>
      </c>
      <c r="J9" s="15"/>
      <c r="K9" s="17" t="s">
        <v>7</v>
      </c>
      <c r="L9" s="17"/>
      <c r="M9" s="17" t="s">
        <v>7</v>
      </c>
      <c r="N9" s="17"/>
      <c r="O9" s="17" t="s">
        <v>13</v>
      </c>
      <c r="P9" s="17"/>
      <c r="Q9" s="17" t="s">
        <v>14</v>
      </c>
      <c r="R9" s="17"/>
      <c r="S9" s="17" t="s">
        <v>8</v>
      </c>
      <c r="T9" s="17"/>
      <c r="U9" s="21" t="s">
        <v>15</v>
      </c>
      <c r="V9" s="22"/>
      <c r="W9" s="23"/>
      <c r="X9" s="17"/>
      <c r="Y9" s="21" t="s">
        <v>16</v>
      </c>
      <c r="Z9" s="22"/>
      <c r="AA9" s="23"/>
      <c r="AB9" s="15"/>
      <c r="AC9" s="19" t="s">
        <v>17</v>
      </c>
      <c r="AD9" s="19" t="s">
        <v>17</v>
      </c>
      <c r="AE9" s="26" t="s">
        <v>17</v>
      </c>
      <c r="AF9" s="26" t="s">
        <v>17</v>
      </c>
      <c r="AG9" s="26" t="s">
        <v>17</v>
      </c>
      <c r="AH9" s="27"/>
    </row>
    <row r="10" spans="1:39" s="25" customFormat="1">
      <c r="A10" s="28" t="s">
        <v>18</v>
      </c>
      <c r="C10" s="29" t="s">
        <v>19</v>
      </c>
      <c r="E10" s="29" t="s">
        <v>18</v>
      </c>
      <c r="G10" s="29" t="s">
        <v>20</v>
      </c>
      <c r="I10" s="30" t="s">
        <v>20</v>
      </c>
      <c r="K10" s="31" t="s">
        <v>21</v>
      </c>
      <c r="L10" s="32"/>
      <c r="M10" s="31" t="s">
        <v>21</v>
      </c>
      <c r="N10" s="32"/>
      <c r="O10" s="31" t="s">
        <v>21</v>
      </c>
      <c r="P10" s="32"/>
      <c r="Q10" s="31" t="s">
        <v>21</v>
      </c>
      <c r="R10" s="32"/>
      <c r="S10" s="31" t="s">
        <v>21</v>
      </c>
      <c r="T10" s="32"/>
      <c r="U10" s="31" t="s">
        <v>21</v>
      </c>
      <c r="W10" s="33" t="s">
        <v>22</v>
      </c>
      <c r="X10" s="32"/>
      <c r="Y10" s="31" t="s">
        <v>21</v>
      </c>
      <c r="AA10" s="33" t="s">
        <v>22</v>
      </c>
      <c r="AC10" s="34" t="s">
        <v>23</v>
      </c>
      <c r="AD10" s="34" t="s">
        <v>23</v>
      </c>
      <c r="AE10" s="35" t="s">
        <v>23</v>
      </c>
      <c r="AF10" s="35" t="s">
        <v>23</v>
      </c>
      <c r="AG10" s="35" t="s">
        <v>23</v>
      </c>
      <c r="AH10" s="27"/>
      <c r="AI10" s="36" t="s">
        <v>24</v>
      </c>
      <c r="AJ10" s="37"/>
      <c r="AK10" s="37"/>
      <c r="AL10" s="37"/>
      <c r="AM10" s="38"/>
    </row>
    <row r="11" spans="1:39" s="25" customFormat="1">
      <c r="C11" s="39">
        <v>-1</v>
      </c>
      <c r="D11" s="39"/>
      <c r="E11" s="39">
        <f>MIN($A11:D11)-1</f>
        <v>-2</v>
      </c>
      <c r="F11" s="39"/>
      <c r="G11" s="39">
        <f>MIN($A11:F11)-1</f>
        <v>-3</v>
      </c>
      <c r="H11" s="39"/>
      <c r="I11" s="39">
        <f>MIN($A11:H11)-1</f>
        <v>-4</v>
      </c>
      <c r="J11" s="39"/>
      <c r="K11" s="40">
        <f>MIN($A11:J11)-1</f>
        <v>-5</v>
      </c>
      <c r="L11" s="40"/>
      <c r="M11" s="40">
        <f>MIN($A11:L11)-1</f>
        <v>-6</v>
      </c>
      <c r="N11" s="40"/>
      <c r="O11" s="40">
        <f>MIN($A11:N11)-1</f>
        <v>-7</v>
      </c>
      <c r="P11" s="40"/>
      <c r="Q11" s="40">
        <f>MIN($A11:P11)-1</f>
        <v>-8</v>
      </c>
      <c r="R11" s="40"/>
      <c r="S11" s="40">
        <f>MIN($A11:R11)-1</f>
        <v>-9</v>
      </c>
      <c r="T11" s="40"/>
      <c r="U11" s="40">
        <f>MIN($A11:T11)-1</f>
        <v>-10</v>
      </c>
      <c r="V11" s="40"/>
      <c r="W11" s="40">
        <f>MIN($A11:V11)-1</f>
        <v>-11</v>
      </c>
      <c r="X11" s="40"/>
      <c r="Y11" s="40">
        <f>MIN($A11:X11)-1</f>
        <v>-12</v>
      </c>
      <c r="Z11" s="40"/>
      <c r="AA11" s="40">
        <f>MIN($A11:Z11)-1</f>
        <v>-13</v>
      </c>
      <c r="AB11" s="40"/>
      <c r="AC11" s="41" t="s">
        <v>25</v>
      </c>
      <c r="AD11" s="41" t="s">
        <v>25</v>
      </c>
      <c r="AE11" s="42" t="s">
        <v>26</v>
      </c>
      <c r="AF11" s="42" t="s">
        <v>27</v>
      </c>
      <c r="AG11" s="42" t="s">
        <v>27</v>
      </c>
      <c r="AH11" s="20" t="s">
        <v>28</v>
      </c>
      <c r="AI11" s="43"/>
      <c r="AJ11" s="44" t="s">
        <v>26</v>
      </c>
      <c r="AK11" s="44" t="s">
        <v>25</v>
      </c>
      <c r="AL11" s="44"/>
      <c r="AM11" s="45"/>
    </row>
    <row r="12" spans="1:39" s="25" customFormat="1">
      <c r="I12" s="46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17" t="str">
        <f>"(" &amp; -M11 &amp; ")-(" &amp; -K11 &amp; ")"</f>
        <v>(6)-(5)</v>
      </c>
      <c r="W12" s="47" t="str">
        <f>"(" &amp; -U11 &amp; ")/(" &amp; -K11 &amp; ")"</f>
        <v>(10)/(5)</v>
      </c>
      <c r="X12" s="32"/>
      <c r="Y12" s="17" t="str">
        <f>"(" &amp; -S11 &amp; ")-(" &amp; -K11 &amp; ")"</f>
        <v>(9)-(5)</v>
      </c>
      <c r="AA12" s="47" t="str">
        <f>"(" &amp; -Y11 &amp; ")/(" &amp; -K11 &amp; ")"</f>
        <v>(12)/(5)</v>
      </c>
      <c r="AC12" s="19"/>
      <c r="AD12" s="19"/>
      <c r="AE12" s="24"/>
      <c r="AF12" s="24"/>
      <c r="AG12" s="24"/>
      <c r="AH12" s="15" t="s">
        <v>29</v>
      </c>
      <c r="AI12" s="43" t="s">
        <v>30</v>
      </c>
      <c r="AJ12" s="24" t="s">
        <v>31</v>
      </c>
      <c r="AK12" s="24" t="s">
        <v>31</v>
      </c>
      <c r="AL12" s="48" t="s">
        <v>32</v>
      </c>
      <c r="AM12" s="49" t="s">
        <v>29</v>
      </c>
    </row>
    <row r="13" spans="1:39" s="25" customFormat="1">
      <c r="A13" s="6"/>
      <c r="B13" s="6"/>
      <c r="C13" s="25" t="s">
        <v>33</v>
      </c>
      <c r="D13" s="6"/>
      <c r="E13" s="6"/>
      <c r="F13" s="6"/>
      <c r="G13" s="6"/>
      <c r="H13" s="6"/>
      <c r="I13" s="16"/>
      <c r="J13" s="6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6"/>
      <c r="W13" s="6"/>
      <c r="X13" s="50"/>
      <c r="Y13" s="50"/>
      <c r="Z13" s="6"/>
      <c r="AA13" s="6"/>
      <c r="AB13" s="6"/>
      <c r="AC13" s="51"/>
      <c r="AD13" s="51"/>
      <c r="AE13" s="52"/>
      <c r="AF13" s="52"/>
      <c r="AG13" s="52"/>
      <c r="AH13" s="7"/>
      <c r="AI13" s="53"/>
      <c r="AJ13" s="5"/>
      <c r="AK13" s="5"/>
      <c r="AL13" s="5"/>
      <c r="AM13" s="54"/>
    </row>
    <row r="14" spans="1:39">
      <c r="A14" s="6">
        <v>1</v>
      </c>
      <c r="C14" s="6" t="s">
        <v>33</v>
      </c>
      <c r="E14" s="55" t="s">
        <v>34</v>
      </c>
      <c r="G14" s="56">
        <f>ROUND(('Exhibit C(Rate Design)'!D10+'Exhibit C(Rate Design)'!D29+'Exhibit C(Rate Design)'!D84)/12,0)</f>
        <v>955431</v>
      </c>
      <c r="I14" s="56">
        <f>('Exhibit C(Rate Design)'!D26+'Exhibit C(Rate Design)'!D47+'Exhibit C(Rate Design)'!D101)/1000</f>
        <v>8246234.6115655489</v>
      </c>
      <c r="K14" s="57">
        <f>('Exhibit C(Rate Design)'!I26+'Exhibit C(Rate Design)'!I47+'Exhibit C(Rate Design)'!I101)/1000</f>
        <v>903796.52599999995</v>
      </c>
      <c r="M14" s="57">
        <f>('Exhibit C(Rate Design)'!M26+'Exhibit C(Rate Design)'!M47+'Exhibit C(Rate Design)'!M101)/1000</f>
        <v>946585.31200000003</v>
      </c>
      <c r="O14" s="57">
        <f>'Exhibit B(Rate Spread)'!Q14</f>
        <v>0</v>
      </c>
      <c r="Q14" s="57">
        <f>'Exhibit B(Rate Spread)'!T14</f>
        <v>3156.6412076607076</v>
      </c>
      <c r="S14" s="57">
        <f>M14+O14+Q14</f>
        <v>949741.9532076607</v>
      </c>
      <c r="U14" s="57">
        <f>M14-K14</f>
        <v>42788.78600000008</v>
      </c>
      <c r="W14" s="58">
        <f>U14/K14</f>
        <v>4.7343384012963202E-2</v>
      </c>
      <c r="Y14" s="57">
        <f>S14-K14</f>
        <v>45945.427207660745</v>
      </c>
      <c r="AA14" s="58">
        <f>Y14/K14</f>
        <v>5.083602988717479E-2</v>
      </c>
      <c r="AC14" s="52">
        <f>ROUND(100*$M14/$I14,2)</f>
        <v>11.48</v>
      </c>
      <c r="AD14" s="52">
        <f>ROUND(100*$S14/$I14,2)</f>
        <v>11.52</v>
      </c>
      <c r="AE14" s="52">
        <f>ROUND(100*K14/I14,2)</f>
        <v>10.96</v>
      </c>
      <c r="AF14" s="52">
        <f>AC14-AE14</f>
        <v>0.51999999999999957</v>
      </c>
      <c r="AG14" s="52">
        <f>AD14-AE14</f>
        <v>0.55999999999999872</v>
      </c>
      <c r="AH14" s="59"/>
      <c r="AI14" s="53">
        <f>ROUND(I14/($G14*12)*1000,0)</f>
        <v>719</v>
      </c>
      <c r="AJ14" s="60">
        <f>ROUND(K14/($G14*12)*1000,2)</f>
        <v>78.83</v>
      </c>
      <c r="AK14" s="60">
        <f>ROUND(S14/($G14*12)*1000,2)</f>
        <v>82.84</v>
      </c>
      <c r="AL14" s="60">
        <f>AK14-AJ14</f>
        <v>4.0100000000000051</v>
      </c>
      <c r="AM14" s="61">
        <f>AK14/AJ14-1</f>
        <v>5.086895851833062E-2</v>
      </c>
    </row>
    <row r="15" spans="1:39">
      <c r="A15" s="6">
        <f>MAX(A$13:A14)+1</f>
        <v>2</v>
      </c>
      <c r="C15" s="6" t="s">
        <v>35</v>
      </c>
      <c r="E15" s="62" t="s">
        <v>36</v>
      </c>
      <c r="G15" s="56">
        <f>ROUND(('Exhibit C(Rate Design)'!D50+'Exhibit C(Rate Design)'!D69)/12,0)</f>
        <v>1029</v>
      </c>
      <c r="I15" s="56">
        <f>('Exhibit C(Rate Design)'!D66+'Exhibit C(Rate Design)'!D81)/1000</f>
        <v>13246.398031460629</v>
      </c>
      <c r="K15" s="57">
        <f>('Exhibit C(Rate Design)'!I66+'Exhibit C(Rate Design)'!I81)/1000</f>
        <v>1271.4949999999999</v>
      </c>
      <c r="M15" s="57">
        <f>('Exhibit C(Rate Design)'!M66+'Exhibit C(Rate Design)'!M81)/1000</f>
        <v>1326.99</v>
      </c>
      <c r="O15" s="57">
        <f>'Exhibit B(Rate Spread)'!Q15</f>
        <v>0</v>
      </c>
      <c r="Q15" s="57">
        <f>'Exhibit B(Rate Spread)'!T15</f>
        <v>4.4408817658304542</v>
      </c>
      <c r="S15" s="57">
        <f t="shared" ref="S15:S16" si="0">M15+O15+Q15</f>
        <v>1331.4308817658305</v>
      </c>
      <c r="U15" s="57">
        <f>M15-K15</f>
        <v>55.495000000000118</v>
      </c>
      <c r="W15" s="58">
        <f>U15/K15</f>
        <v>4.3645472455652694E-2</v>
      </c>
      <c r="Y15" s="57">
        <f>S15-K15</f>
        <v>59.935881765830572</v>
      </c>
      <c r="AA15" s="58">
        <f>Y15/K15</f>
        <v>4.7138118329864122E-2</v>
      </c>
      <c r="AC15" s="63">
        <f>ROUND(100*$M15/$I15,2)</f>
        <v>10.02</v>
      </c>
      <c r="AD15" s="63">
        <f>ROUND(100*$S15/$I15,2)</f>
        <v>10.050000000000001</v>
      </c>
      <c r="AE15" s="63">
        <f>ROUND(100*K15/I15,2)</f>
        <v>9.6</v>
      </c>
      <c r="AF15" s="52">
        <f>AC15-AE15</f>
        <v>0.41999999999999993</v>
      </c>
      <c r="AG15" s="52">
        <f>AD15-AE15</f>
        <v>0.45000000000000107</v>
      </c>
      <c r="AH15" s="59"/>
      <c r="AI15" s="53">
        <f>ROUND(I15/($G15*12)*1000,0)</f>
        <v>1073</v>
      </c>
      <c r="AJ15" s="60">
        <f>ROUND(K15/($G15*12)*1000,2)</f>
        <v>102.97</v>
      </c>
      <c r="AK15" s="60">
        <f>ROUND(S15/($G15*12)*1000,2)</f>
        <v>107.83</v>
      </c>
      <c r="AL15" s="60">
        <f>AK15-AJ15</f>
        <v>4.8599999999999994</v>
      </c>
      <c r="AM15" s="61">
        <f>AK15/AJ15-1</f>
        <v>4.7198213071768524E-2</v>
      </c>
    </row>
    <row r="16" spans="1:39">
      <c r="A16" s="6">
        <f>MAX(A$13:A15)+1</f>
        <v>3</v>
      </c>
      <c r="C16" s="64" t="s">
        <v>37</v>
      </c>
      <c r="E16" s="65"/>
      <c r="G16" s="65"/>
      <c r="I16" s="65"/>
      <c r="K16" s="66">
        <f>'Exhibit C(Rate Design)'!I1313/1000</f>
        <v>37.136720000000011</v>
      </c>
      <c r="M16" s="66">
        <f>'Exhibit C(Rate Design)'!M1313/1000</f>
        <v>37.136720000000011</v>
      </c>
      <c r="O16" s="66">
        <f>'Exhibit B(Rate Spread)'!Q16</f>
        <v>0</v>
      </c>
      <c r="Q16" s="66">
        <f>'Exhibit B(Rate Spread)'!T16</f>
        <v>0</v>
      </c>
      <c r="S16" s="66">
        <f t="shared" si="0"/>
        <v>37.136720000000011</v>
      </c>
      <c r="U16" s="66">
        <f>M16-K16</f>
        <v>0</v>
      </c>
      <c r="W16" s="67">
        <f>U16/K16</f>
        <v>0</v>
      </c>
      <c r="Y16" s="66">
        <f>S16-K16</f>
        <v>0</v>
      </c>
      <c r="AA16" s="67">
        <f>Y16/K16</f>
        <v>0</v>
      </c>
      <c r="AC16" s="68"/>
      <c r="AD16" s="68"/>
      <c r="AE16" s="68"/>
      <c r="AF16" s="52"/>
      <c r="AG16" s="52"/>
      <c r="AH16" s="59"/>
      <c r="AI16" s="53"/>
      <c r="AJ16" s="60"/>
      <c r="AK16" s="60"/>
      <c r="AL16" s="60"/>
      <c r="AM16" s="54"/>
    </row>
    <row r="17" spans="1:39">
      <c r="A17" s="6">
        <f>MAX(A$13:A16)+1</f>
        <v>4</v>
      </c>
      <c r="C17" s="25" t="s">
        <v>38</v>
      </c>
      <c r="G17" s="56">
        <f>SUM(G14:G16)</f>
        <v>956460</v>
      </c>
      <c r="I17" s="56">
        <f>SUM(I14:I16)</f>
        <v>8259481.00959701</v>
      </c>
      <c r="K17" s="57">
        <f>SUM(K14:K16)</f>
        <v>905105.1577199999</v>
      </c>
      <c r="M17" s="57">
        <f>SUM(M14:M16)</f>
        <v>947949.43871999998</v>
      </c>
      <c r="O17" s="57">
        <f>SUM(O14:O16)</f>
        <v>0</v>
      </c>
      <c r="Q17" s="57">
        <f>SUM(Q14:Q16)</f>
        <v>3161.082089426538</v>
      </c>
      <c r="S17" s="57">
        <f>SUM(S14:S16)</f>
        <v>951110.52080942644</v>
      </c>
      <c r="U17" s="57">
        <f>SUM(U14:U16)</f>
        <v>42844.281000000083</v>
      </c>
      <c r="W17" s="58">
        <f>U17/K17</f>
        <v>4.7336246661025254E-2</v>
      </c>
      <c r="Y17" s="57">
        <f>SUM(Y14:Y16)</f>
        <v>46005.363089426573</v>
      </c>
      <c r="AA17" s="58">
        <f>Y17/K17</f>
        <v>5.0828749230991156E-2</v>
      </c>
      <c r="AC17" s="63">
        <f>ROUND(100*$M17/$I17,2)</f>
        <v>11.48</v>
      </c>
      <c r="AD17" s="63">
        <f>ROUND(100*$S17/$I17,2)</f>
        <v>11.52</v>
      </c>
      <c r="AE17" s="63">
        <f>ROUND(100*K17/I17,2)</f>
        <v>10.96</v>
      </c>
      <c r="AF17" s="52">
        <f>AC17-AE17</f>
        <v>0.51999999999999957</v>
      </c>
      <c r="AG17" s="52">
        <f>AD17-AE17</f>
        <v>0.55999999999999872</v>
      </c>
      <c r="AH17" s="59">
        <f>K17/$K$49</f>
        <v>0.38401593528894851</v>
      </c>
      <c r="AI17" s="69">
        <f>ROUND(I17/($G17*12)*1000,0)</f>
        <v>720</v>
      </c>
      <c r="AJ17" s="70">
        <f>ROUND(K17/($G17*12)*1000,2)</f>
        <v>78.86</v>
      </c>
      <c r="AK17" s="70">
        <f>ROUND(S17/($G17*12)*1000,2)</f>
        <v>82.87</v>
      </c>
      <c r="AL17" s="70">
        <f>AK17-AJ17</f>
        <v>4.0100000000000051</v>
      </c>
      <c r="AM17" s="71">
        <f>AK17/AJ17-1</f>
        <v>5.084960689830087E-2</v>
      </c>
    </row>
    <row r="18" spans="1:39">
      <c r="C18" s="25" t="s">
        <v>39</v>
      </c>
      <c r="G18" s="56"/>
      <c r="I18" s="56"/>
      <c r="K18" s="57"/>
      <c r="M18" s="57"/>
      <c r="O18" s="57"/>
      <c r="Q18" s="57"/>
      <c r="S18" s="57"/>
      <c r="U18" s="57"/>
      <c r="Y18" s="57"/>
      <c r="AC18" s="63"/>
      <c r="AD18" s="63"/>
      <c r="AE18" s="63"/>
      <c r="AF18" s="52"/>
      <c r="AG18" s="52"/>
      <c r="AH18" s="59"/>
    </row>
    <row r="19" spans="1:39">
      <c r="A19" s="6">
        <f>MAX(A$13:A18)+1</f>
        <v>5</v>
      </c>
      <c r="C19" s="6" t="s">
        <v>40</v>
      </c>
      <c r="E19" s="55">
        <v>6</v>
      </c>
      <c r="G19" s="56">
        <f>ROUND(('Exhibit C(Rate Design)'!D111+'Exhibit C(Rate Design)'!D167)/12,0)</f>
        <v>14281</v>
      </c>
      <c r="I19" s="56">
        <f>('Exhibit C(Rate Design)'!D122+'Exhibit C(Rate Design)'!D178)/1000</f>
        <v>6403525.7686540503</v>
      </c>
      <c r="K19" s="57">
        <f>('Exhibit C(Rate Design)'!I122+'Exhibit C(Rate Design)'!I178)/1000</f>
        <v>534791.63699999999</v>
      </c>
      <c r="M19" s="57">
        <f>('Exhibit C(Rate Design)'!M122+'Exhibit C(Rate Design)'!M178)/1000</f>
        <v>549379.31000000006</v>
      </c>
      <c r="O19" s="57">
        <f>'Exhibit B(Rate Spread)'!Q19</f>
        <v>0</v>
      </c>
      <c r="Q19" s="57">
        <f>'Exhibit B(Rate Spread)'!T19</f>
        <v>1289.2439898729961</v>
      </c>
      <c r="S19" s="57">
        <f t="shared" ref="S19:S20" si="1">M19+O19+Q19</f>
        <v>550668.55398987303</v>
      </c>
      <c r="U19" s="57">
        <f>M19-K19</f>
        <v>14587.673000000068</v>
      </c>
      <c r="W19" s="58">
        <f t="shared" ref="W19:W38" si="2">U19/K19</f>
        <v>2.7277302019590235E-2</v>
      </c>
      <c r="Y19" s="57">
        <f>S19-K19</f>
        <v>15876.916989873047</v>
      </c>
      <c r="AA19" s="58">
        <f t="shared" ref="AA19:AA38" si="3">Y19/K19</f>
        <v>2.9688042765472503E-2</v>
      </c>
      <c r="AC19" s="63">
        <f t="shared" ref="AC19:AC36" si="4">ROUND(100*$M19/$I19,2)</f>
        <v>8.58</v>
      </c>
      <c r="AD19" s="63">
        <f t="shared" ref="AD19:AD36" si="5">ROUND(100*$S19/$I19,2)</f>
        <v>8.6</v>
      </c>
      <c r="AE19" s="63">
        <f t="shared" ref="AE19:AE36" si="6">ROUND(100*K19/I19,2)</f>
        <v>8.35</v>
      </c>
      <c r="AF19" s="52">
        <f t="shared" ref="AF19:AF36" si="7">AC19-AE19</f>
        <v>0.23000000000000043</v>
      </c>
      <c r="AG19" s="52">
        <f t="shared" ref="AG19:AG36" si="8">AD19-AE19</f>
        <v>0.25</v>
      </c>
      <c r="AH19" s="59"/>
    </row>
    <row r="20" spans="1:39">
      <c r="A20" s="6">
        <f>MAX(A$13:A19)+1</f>
        <v>6</v>
      </c>
      <c r="C20" s="6" t="s">
        <v>41</v>
      </c>
      <c r="E20" s="62" t="s">
        <v>42</v>
      </c>
      <c r="G20" s="72">
        <f>ROUND(('Exhibit C(Rate Design)'!D223+'Exhibit C(Rate Design)'!D307)/12,0)</f>
        <v>2827</v>
      </c>
      <c r="I20" s="72">
        <f>('Exhibit C(Rate Design)'!D241+'Exhibit C(Rate Design)'!D325)/1000</f>
        <v>380064.31338959344</v>
      </c>
      <c r="K20" s="66">
        <f>('Exhibit C(Rate Design)'!I241+'Exhibit C(Rate Design)'!I325)/1000</f>
        <v>43017.667000000001</v>
      </c>
      <c r="M20" s="66">
        <f>('Exhibit C(Rate Design)'!M241+'Exhibit C(Rate Design)'!M325)/1000</f>
        <v>44191.167999999998</v>
      </c>
      <c r="O20" s="66">
        <f>'Exhibit B(Rate Spread)'!Q20</f>
        <v>0</v>
      </c>
      <c r="Q20" s="66">
        <f>'Exhibit B(Rate Spread)'!T20</f>
        <v>103.70444262969636</v>
      </c>
      <c r="S20" s="66">
        <f t="shared" si="1"/>
        <v>44294.872442629698</v>
      </c>
      <c r="U20" s="66">
        <f>M20-K20</f>
        <v>1173.5009999999966</v>
      </c>
      <c r="W20" s="67">
        <f t="shared" si="2"/>
        <v>2.7279512856891949E-2</v>
      </c>
      <c r="Y20" s="66">
        <f>S20-K20</f>
        <v>1277.2054426296963</v>
      </c>
      <c r="AA20" s="67">
        <f t="shared" si="3"/>
        <v>2.9690253602774327E-2</v>
      </c>
      <c r="AC20" s="68">
        <f t="shared" si="4"/>
        <v>11.63</v>
      </c>
      <c r="AD20" s="68">
        <f t="shared" si="5"/>
        <v>11.65</v>
      </c>
      <c r="AE20" s="68">
        <f t="shared" si="6"/>
        <v>11.32</v>
      </c>
      <c r="AF20" s="52">
        <f t="shared" si="7"/>
        <v>0.3100000000000005</v>
      </c>
      <c r="AG20" s="52">
        <f t="shared" si="8"/>
        <v>0.33000000000000007</v>
      </c>
      <c r="AH20" s="59"/>
    </row>
    <row r="21" spans="1:39">
      <c r="A21" s="6">
        <f>MAX(A$13:A20)+1</f>
        <v>7</v>
      </c>
      <c r="B21" s="73"/>
      <c r="C21" s="73" t="s">
        <v>43</v>
      </c>
      <c r="D21" s="73"/>
      <c r="E21" s="73"/>
      <c r="F21" s="73"/>
      <c r="G21" s="74">
        <f>SUM(G19:G20)</f>
        <v>17108</v>
      </c>
      <c r="H21" s="73"/>
      <c r="I21" s="74">
        <f>SUM(I19:I20)</f>
        <v>6783590.082043644</v>
      </c>
      <c r="J21" s="73"/>
      <c r="K21" s="75">
        <f>SUM(K19:K20)</f>
        <v>577809.304</v>
      </c>
      <c r="L21" s="76"/>
      <c r="M21" s="75">
        <f>SUM(M19:M20)</f>
        <v>593570.478</v>
      </c>
      <c r="N21" s="76"/>
      <c r="O21" s="75">
        <f>SUM(O19:O20)</f>
        <v>0</v>
      </c>
      <c r="P21" s="76"/>
      <c r="Q21" s="75">
        <f>SUM(Q19:Q20)</f>
        <v>1392.9484325026924</v>
      </c>
      <c r="R21" s="76"/>
      <c r="S21" s="75">
        <f>SUM(S19:S20)</f>
        <v>594963.42643250269</v>
      </c>
      <c r="T21" s="76"/>
      <c r="U21" s="75">
        <f>SUM(U19:U20)</f>
        <v>15761.174000000065</v>
      </c>
      <c r="V21" s="73"/>
      <c r="W21" s="77">
        <f t="shared" si="2"/>
        <v>2.7277466615525568E-2</v>
      </c>
      <c r="X21" s="76"/>
      <c r="Y21" s="75">
        <f>SUM(Y19:Y20)</f>
        <v>17154.122432502743</v>
      </c>
      <c r="Z21" s="73"/>
      <c r="AA21" s="77">
        <f t="shared" si="3"/>
        <v>2.9688207361407846E-2</v>
      </c>
      <c r="AB21" s="73"/>
      <c r="AC21" s="78">
        <f t="shared" si="4"/>
        <v>8.75</v>
      </c>
      <c r="AD21" s="78">
        <f t="shared" si="5"/>
        <v>8.77</v>
      </c>
      <c r="AE21" s="78">
        <f t="shared" si="6"/>
        <v>8.52</v>
      </c>
      <c r="AF21" s="52">
        <f t="shared" si="7"/>
        <v>0.23000000000000043</v>
      </c>
      <c r="AG21" s="52">
        <f t="shared" si="8"/>
        <v>0.25</v>
      </c>
      <c r="AH21" s="59">
        <f>K21/$K$49</f>
        <v>0.24515160299512828</v>
      </c>
    </row>
    <row r="22" spans="1:39" s="73" customFormat="1">
      <c r="A22" s="6">
        <f>MAX(A$13:A21)+1</f>
        <v>8</v>
      </c>
      <c r="B22" s="6"/>
      <c r="C22" s="6" t="s">
        <v>44</v>
      </c>
      <c r="D22" s="6"/>
      <c r="E22" s="6">
        <v>8</v>
      </c>
      <c r="F22" s="56"/>
      <c r="G22" s="56">
        <f>ROUND(('Exhibit C(Rate Design)'!D427+'Exhibit C(Rate Design)'!D483)/12,0)</f>
        <v>223</v>
      </c>
      <c r="H22" s="56"/>
      <c r="I22" s="56">
        <f>('Exhibit C(Rate Design)'!D438+'Exhibit C(Rate Design)'!D494)/1000</f>
        <v>2393014.31817408</v>
      </c>
      <c r="J22" s="56"/>
      <c r="K22" s="57">
        <f>('Exhibit C(Rate Design)'!I438+'Exhibit C(Rate Design)'!I494)/1000</f>
        <v>174469.02100000001</v>
      </c>
      <c r="L22" s="79"/>
      <c r="M22" s="57">
        <f>('Exhibit C(Rate Design)'!M438+'Exhibit C(Rate Design)'!M494)/1000</f>
        <v>180100.288</v>
      </c>
      <c r="N22" s="79"/>
      <c r="O22" s="57">
        <f>'Exhibit B(Rate Spread)'!Q22</f>
        <v>0</v>
      </c>
      <c r="P22" s="79"/>
      <c r="Q22" s="57">
        <f>'Exhibit B(Rate Spread)'!T22</f>
        <v>367.30743899685029</v>
      </c>
      <c r="R22" s="79"/>
      <c r="S22" s="57">
        <f t="shared" ref="S22:S25" si="9">M22+O22+Q22</f>
        <v>180467.59543899685</v>
      </c>
      <c r="T22" s="79"/>
      <c r="U22" s="57">
        <f>M22-K22</f>
        <v>5631.2669999999925</v>
      </c>
      <c r="V22" s="6"/>
      <c r="W22" s="58">
        <f t="shared" si="2"/>
        <v>3.2276601127944615E-2</v>
      </c>
      <c r="X22" s="79"/>
      <c r="Y22" s="57">
        <f>S22-K22</f>
        <v>5998.5744389968459</v>
      </c>
      <c r="Z22" s="6"/>
      <c r="AA22" s="58">
        <f t="shared" si="3"/>
        <v>3.4381888570331608E-2</v>
      </c>
      <c r="AB22" s="56"/>
      <c r="AC22" s="63">
        <f t="shared" si="4"/>
        <v>7.53</v>
      </c>
      <c r="AD22" s="63">
        <f t="shared" si="5"/>
        <v>7.54</v>
      </c>
      <c r="AE22" s="63">
        <f t="shared" si="6"/>
        <v>7.29</v>
      </c>
      <c r="AF22" s="52">
        <f t="shared" si="7"/>
        <v>0.24000000000000021</v>
      </c>
      <c r="AG22" s="52">
        <f t="shared" si="8"/>
        <v>0.25</v>
      </c>
      <c r="AH22" s="59">
        <f>K22/$K$49</f>
        <v>7.40233150886416E-2</v>
      </c>
      <c r="AI22" s="6"/>
      <c r="AJ22" s="6"/>
      <c r="AK22" s="6"/>
      <c r="AL22" s="6"/>
      <c r="AM22" s="6"/>
    </row>
    <row r="23" spans="1:39" ht="22.15" customHeight="1">
      <c r="A23" s="6">
        <f>MAX(A$13:A22)+1</f>
        <v>9</v>
      </c>
      <c r="C23" s="6" t="s">
        <v>45</v>
      </c>
      <c r="E23" s="6">
        <v>9</v>
      </c>
      <c r="G23" s="56">
        <f>ROUND(('Exhibit C(Rate Design)'!D497)/12,0)</f>
        <v>164</v>
      </c>
      <c r="I23" s="56">
        <f>('Exhibit C(Rate Design)'!D508)/1000</f>
        <v>5060524.3736956455</v>
      </c>
      <c r="K23" s="57">
        <f>('Exhibit C(Rate Design)'!I508)/1000</f>
        <v>281744.34100000001</v>
      </c>
      <c r="M23" s="57">
        <f>('Exhibit C(Rate Design)'!M508)/1000</f>
        <v>293629.88500000001</v>
      </c>
      <c r="O23" s="57">
        <f>'Exhibit B(Rate Spread)'!Q23</f>
        <v>0</v>
      </c>
      <c r="Q23" s="57">
        <f>'Exhibit B(Rate Spread)'!T23</f>
        <v>525.05648136472723</v>
      </c>
      <c r="S23" s="57">
        <f t="shared" si="9"/>
        <v>294154.94148136472</v>
      </c>
      <c r="U23" s="57">
        <f>M23-K23</f>
        <v>11885.543999999994</v>
      </c>
      <c r="W23" s="58">
        <f t="shared" si="2"/>
        <v>4.2185564252380119E-2</v>
      </c>
      <c r="Y23" s="57">
        <f>S23-K23</f>
        <v>12410.600481364701</v>
      </c>
      <c r="AA23" s="58">
        <f t="shared" si="3"/>
        <v>4.4049156186475813E-2</v>
      </c>
      <c r="AC23" s="63">
        <f t="shared" si="4"/>
        <v>5.8</v>
      </c>
      <c r="AD23" s="63">
        <f t="shared" si="5"/>
        <v>5.81</v>
      </c>
      <c r="AE23" s="63">
        <f t="shared" si="6"/>
        <v>5.57</v>
      </c>
      <c r="AF23" s="52">
        <f t="shared" si="7"/>
        <v>0.22999999999999954</v>
      </c>
      <c r="AG23" s="52">
        <f t="shared" si="8"/>
        <v>0.23999999999999932</v>
      </c>
      <c r="AH23" s="59"/>
    </row>
    <row r="24" spans="1:39" ht="22.15" customHeight="1">
      <c r="A24" s="6">
        <f>MAX(A$13:A23)+1</f>
        <v>10</v>
      </c>
      <c r="C24" s="6" t="s">
        <v>46</v>
      </c>
      <c r="E24" s="62" t="s">
        <v>47</v>
      </c>
      <c r="G24" s="56">
        <f>ROUND(('Exhibit C(Rate Design)'!D1272)/12,0)</f>
        <v>1</v>
      </c>
      <c r="I24" s="56">
        <f>('Exhibit C(Rate Design)'!D1280)/1000</f>
        <v>324160</v>
      </c>
      <c r="K24" s="57">
        <f>('Exhibit C(Rate Design)'!I1280)/1000</f>
        <v>16067.134</v>
      </c>
      <c r="M24" s="57">
        <f>('Exhibit C(Rate Design)'!M1280)/1000</f>
        <v>18717.984</v>
      </c>
      <c r="O24" s="57">
        <f>'Exhibit B(Rate Spread)'!Q24</f>
        <v>0</v>
      </c>
      <c r="Q24" s="57">
        <f>'Exhibit B(Rate Spread)'!T24</f>
        <v>29.94258132643585</v>
      </c>
      <c r="S24" s="57">
        <f t="shared" si="9"/>
        <v>18747.926581326436</v>
      </c>
      <c r="U24" s="57">
        <f>M24-K24</f>
        <v>2650.8500000000004</v>
      </c>
      <c r="W24" s="58">
        <f t="shared" si="2"/>
        <v>0.16498586493397019</v>
      </c>
      <c r="Y24" s="57">
        <f>S24-K24</f>
        <v>2680.7925813264355</v>
      </c>
      <c r="AA24" s="58">
        <f t="shared" si="3"/>
        <v>0.16684945686806593</v>
      </c>
      <c r="AC24" s="63">
        <f t="shared" si="4"/>
        <v>5.77</v>
      </c>
      <c r="AD24" s="63">
        <f t="shared" si="5"/>
        <v>5.78</v>
      </c>
      <c r="AE24" s="63">
        <f t="shared" si="6"/>
        <v>4.96</v>
      </c>
      <c r="AF24" s="52">
        <f t="shared" si="7"/>
        <v>0.80999999999999961</v>
      </c>
      <c r="AG24" s="52">
        <f t="shared" si="8"/>
        <v>0.82000000000000028</v>
      </c>
      <c r="AH24" s="59"/>
    </row>
    <row r="25" spans="1:39" ht="22.15" customHeight="1">
      <c r="A25" s="6">
        <f>MAX(A$13:A24)+1</f>
        <v>11</v>
      </c>
      <c r="C25" s="6" t="s">
        <v>48</v>
      </c>
      <c r="E25" s="62" t="s">
        <v>49</v>
      </c>
      <c r="G25" s="72">
        <f>ROUND(('Exhibit C(Rate Design)'!D539)/12,0)</f>
        <v>8</v>
      </c>
      <c r="I25" s="72">
        <f>('Exhibit C(Rate Design)'!D549)/1000</f>
        <v>45448.731500000002</v>
      </c>
      <c r="K25" s="66">
        <f>('Exhibit C(Rate Design)'!I549)/1000</f>
        <v>2817.835</v>
      </c>
      <c r="M25" s="66">
        <f>('Exhibit C(Rate Design)'!M549)/1000</f>
        <v>3447.654</v>
      </c>
      <c r="O25" s="66">
        <f>'Exhibit B(Rate Spread)'!Q25</f>
        <v>0</v>
      </c>
      <c r="Q25" s="66">
        <f>'Exhibit B(Rate Spread)'!T25</f>
        <v>5.2512945776127324</v>
      </c>
      <c r="S25" s="66">
        <f t="shared" si="9"/>
        <v>3452.9052945776129</v>
      </c>
      <c r="U25" s="66">
        <f>M25-K25</f>
        <v>629.81899999999996</v>
      </c>
      <c r="W25" s="67">
        <f t="shared" si="2"/>
        <v>0.22351166764555055</v>
      </c>
      <c r="Y25" s="66">
        <f>S25-K25</f>
        <v>635.07029457761291</v>
      </c>
      <c r="AA25" s="67">
        <f t="shared" si="3"/>
        <v>0.22537525957964641</v>
      </c>
      <c r="AC25" s="68">
        <f t="shared" si="4"/>
        <v>7.59</v>
      </c>
      <c r="AD25" s="68">
        <f t="shared" si="5"/>
        <v>7.6</v>
      </c>
      <c r="AE25" s="68">
        <f t="shared" si="6"/>
        <v>6.2</v>
      </c>
      <c r="AF25" s="52">
        <f t="shared" si="7"/>
        <v>1.3899999999999997</v>
      </c>
      <c r="AG25" s="52">
        <f t="shared" si="8"/>
        <v>1.3999999999999995</v>
      </c>
      <c r="AH25" s="59"/>
    </row>
    <row r="26" spans="1:39">
      <c r="A26" s="6">
        <f>MAX(A$13:A25)+1</f>
        <v>12</v>
      </c>
      <c r="C26" s="73" t="s">
        <v>50</v>
      </c>
      <c r="D26" s="73"/>
      <c r="E26" s="73"/>
      <c r="F26" s="73"/>
      <c r="G26" s="74">
        <f>SUM(G23:G25)</f>
        <v>173</v>
      </c>
      <c r="H26" s="73"/>
      <c r="I26" s="74">
        <f>SUM(I23:I25)</f>
        <v>5430133.1051956452</v>
      </c>
      <c r="J26" s="73"/>
      <c r="K26" s="75">
        <f>SUM(K23:K25)</f>
        <v>300629.31000000006</v>
      </c>
      <c r="L26" s="76"/>
      <c r="M26" s="75">
        <f>SUM(M23:M25)</f>
        <v>315795.52299999999</v>
      </c>
      <c r="N26" s="76"/>
      <c r="O26" s="75">
        <f>SUM(O23:O25)</f>
        <v>0</v>
      </c>
      <c r="P26" s="76"/>
      <c r="Q26" s="75">
        <f>SUM(Q23:Q25)</f>
        <v>560.25035726877582</v>
      </c>
      <c r="R26" s="76"/>
      <c r="S26" s="75">
        <f>SUM(S23:S25)</f>
        <v>316355.77335726877</v>
      </c>
      <c r="T26" s="76"/>
      <c r="U26" s="75">
        <f>SUM(U23:U25)</f>
        <v>15166.212999999994</v>
      </c>
      <c r="V26" s="73"/>
      <c r="W26" s="77">
        <f t="shared" si="2"/>
        <v>5.0448218106211903E-2</v>
      </c>
      <c r="X26" s="76"/>
      <c r="Y26" s="75">
        <f>SUM(Y23:Y25)</f>
        <v>15726.463357268749</v>
      </c>
      <c r="Z26" s="73"/>
      <c r="AA26" s="77">
        <f t="shared" si="3"/>
        <v>5.2311810040307598E-2</v>
      </c>
      <c r="AB26" s="73"/>
      <c r="AC26" s="78">
        <f t="shared" si="4"/>
        <v>5.82</v>
      </c>
      <c r="AD26" s="78">
        <f t="shared" si="5"/>
        <v>5.83</v>
      </c>
      <c r="AE26" s="78">
        <f t="shared" si="6"/>
        <v>5.54</v>
      </c>
      <c r="AF26" s="52">
        <f t="shared" si="7"/>
        <v>0.28000000000000025</v>
      </c>
      <c r="AG26" s="52">
        <f t="shared" si="8"/>
        <v>0.29000000000000004</v>
      </c>
      <c r="AH26" s="59">
        <f>K26/$K$49</f>
        <v>0.12755031243633169</v>
      </c>
    </row>
    <row r="27" spans="1:39">
      <c r="A27" s="6">
        <f>MAX(A$13:A26)+1</f>
        <v>13</v>
      </c>
      <c r="C27" s="6" t="s">
        <v>51</v>
      </c>
      <c r="E27" s="62">
        <v>10</v>
      </c>
      <c r="G27" s="56">
        <f>ROUND('Exhibit C(Rate Design)'!D578+'Exhibit C(Rate Design)'!D579+'Exhibit C(Rate Design)'!D600+'Exhibit C(Rate Design)'!D601,0)</f>
        <v>3540</v>
      </c>
      <c r="I27" s="56">
        <f>('Exhibit C(Rate Design)'!D597+'Exhibit C(Rate Design)'!D619)/1000</f>
        <v>242214.34810360699</v>
      </c>
      <c r="K27" s="57">
        <f>('Exhibit C(Rate Design)'!I597+'Exhibit C(Rate Design)'!I619)/1000</f>
        <v>19068.064999999999</v>
      </c>
      <c r="M27" s="57">
        <f>('Exhibit C(Rate Design)'!M597+'Exhibit C(Rate Design)'!M619)/1000</f>
        <v>19702.608</v>
      </c>
      <c r="O27" s="57">
        <f>'Exhibit B(Rate Spread)'!Q27</f>
        <v>0</v>
      </c>
      <c r="Q27" s="57">
        <f>'Exhibit B(Rate Spread)'!T27</f>
        <v>56.918960206252237</v>
      </c>
      <c r="S27" s="57">
        <f t="shared" ref="S27:S32" si="10">M27+O27+Q27</f>
        <v>19759.526960206251</v>
      </c>
      <c r="U27" s="57">
        <f t="shared" ref="U27:U32" si="11">M27-K27</f>
        <v>634.54300000000148</v>
      </c>
      <c r="W27" s="58">
        <f t="shared" si="2"/>
        <v>3.327778670777562E-2</v>
      </c>
      <c r="Y27" s="57">
        <f t="shared" ref="Y27:Y32" si="12">S27-K27</f>
        <v>691.46196020625212</v>
      </c>
      <c r="AA27" s="58">
        <f t="shared" si="3"/>
        <v>3.6262827938034203E-2</v>
      </c>
      <c r="AC27" s="63">
        <f t="shared" si="4"/>
        <v>8.1300000000000008</v>
      </c>
      <c r="AD27" s="63">
        <f t="shared" si="5"/>
        <v>8.16</v>
      </c>
      <c r="AE27" s="63">
        <f t="shared" si="6"/>
        <v>7.87</v>
      </c>
      <c r="AF27" s="52">
        <f t="shared" si="7"/>
        <v>0.26000000000000068</v>
      </c>
      <c r="AG27" s="52">
        <f t="shared" si="8"/>
        <v>0.29000000000000004</v>
      </c>
      <c r="AH27" s="59">
        <f>K27/$K$49</f>
        <v>8.0901547766792283E-3</v>
      </c>
    </row>
    <row r="28" spans="1:39" ht="22.15" customHeight="1">
      <c r="A28" s="6">
        <f>MAX(A$13:A27)+1</f>
        <v>14</v>
      </c>
      <c r="C28" s="6" t="s">
        <v>52</v>
      </c>
      <c r="E28" s="55">
        <v>23</v>
      </c>
      <c r="G28" s="56">
        <f>ROUND(('Exhibit C(Rate Design)'!D792+'Exhibit C(Rate Design)'!D856)/12,0)</f>
        <v>102995</v>
      </c>
      <c r="I28" s="56">
        <f>('Exhibit C(Rate Design)'!D805+'Exhibit C(Rate Design)'!D869)/1000</f>
        <v>1823052.4187130935</v>
      </c>
      <c r="K28" s="57">
        <f>('Exhibit C(Rate Design)'!I805+'Exhibit C(Rate Design)'!I869)/1000</f>
        <v>175902.86</v>
      </c>
      <c r="M28" s="57">
        <f>('Exhibit C(Rate Design)'!M805+'Exhibit C(Rate Design)'!M869)/1000</f>
        <v>181756.15400000001</v>
      </c>
      <c r="O28" s="57">
        <f>'Exhibit B(Rate Spread)'!Q28</f>
        <v>0</v>
      </c>
      <c r="Q28" s="57">
        <f>'Exhibit B(Rate Spread)'!T28</f>
        <v>620.8988789560334</v>
      </c>
      <c r="S28" s="57">
        <f t="shared" si="10"/>
        <v>182377.05287895605</v>
      </c>
      <c r="U28" s="57">
        <f t="shared" si="11"/>
        <v>5853.2940000000235</v>
      </c>
      <c r="W28" s="58">
        <f t="shared" si="2"/>
        <v>3.3275718200375046E-2</v>
      </c>
      <c r="Y28" s="57">
        <f t="shared" si="12"/>
        <v>6474.1928789560625</v>
      </c>
      <c r="AA28" s="58">
        <f t="shared" si="3"/>
        <v>3.6805500939302883E-2</v>
      </c>
      <c r="AC28" s="63">
        <f t="shared" si="4"/>
        <v>9.9700000000000006</v>
      </c>
      <c r="AD28" s="63">
        <f t="shared" si="5"/>
        <v>10</v>
      </c>
      <c r="AE28" s="63">
        <f t="shared" si="6"/>
        <v>9.65</v>
      </c>
      <c r="AF28" s="52">
        <f t="shared" si="7"/>
        <v>0.32000000000000028</v>
      </c>
      <c r="AG28" s="52">
        <f t="shared" si="8"/>
        <v>0.34999999999999964</v>
      </c>
      <c r="AH28" s="59">
        <f>K28/$K$49</f>
        <v>7.463166100286199E-2</v>
      </c>
    </row>
    <row r="29" spans="1:39">
      <c r="A29" s="6">
        <f>MAX(A$13:A28)+1</f>
        <v>15</v>
      </c>
      <c r="C29" s="6" t="s">
        <v>53</v>
      </c>
      <c r="E29" s="6">
        <v>31</v>
      </c>
      <c r="G29" s="56">
        <f>ROUND(('Exhibit C(Rate Design)'!D921+'Exhibit C(Rate Design)'!D935+'Exhibit C(Rate Design)'!D949)/12,0)</f>
        <v>7</v>
      </c>
      <c r="I29" s="56">
        <f>('Exhibit C(Rate Design)'!D983)/1000</f>
        <v>319328.38347723125</v>
      </c>
      <c r="K29" s="57">
        <f>('Exhibit C(Rate Design)'!I983)/1000</f>
        <v>18496.418000000001</v>
      </c>
      <c r="M29" s="57">
        <f>('Exhibit C(Rate Design)'!M983)/1000</f>
        <v>19035.503000000001</v>
      </c>
      <c r="O29" s="57">
        <f>'Exhibit B(Rate Spread)'!Q29</f>
        <v>0</v>
      </c>
      <c r="Q29" s="57">
        <f>'Exhibit B(Rate Spread)'!T29</f>
        <v>34.469775394463753</v>
      </c>
      <c r="S29" s="57">
        <f t="shared" si="10"/>
        <v>19069.972775394464</v>
      </c>
      <c r="U29" s="57">
        <f t="shared" si="11"/>
        <v>539.08499999999913</v>
      </c>
      <c r="W29" s="58">
        <f t="shared" si="2"/>
        <v>2.9145372904094139E-2</v>
      </c>
      <c r="Y29" s="57">
        <f t="shared" si="12"/>
        <v>573.55477539446292</v>
      </c>
      <c r="AA29" s="58">
        <f t="shared" si="3"/>
        <v>3.1008964838189906E-2</v>
      </c>
      <c r="AC29" s="63">
        <f t="shared" si="4"/>
        <v>5.96</v>
      </c>
      <c r="AD29" s="63">
        <f t="shared" si="5"/>
        <v>5.97</v>
      </c>
      <c r="AE29" s="63">
        <f t="shared" si="6"/>
        <v>5.79</v>
      </c>
      <c r="AF29" s="52">
        <f t="shared" si="7"/>
        <v>0.16999999999999993</v>
      </c>
      <c r="AG29" s="52">
        <f t="shared" si="8"/>
        <v>0.17999999999999972</v>
      </c>
      <c r="AH29" s="59">
        <f>K29/$K$49</f>
        <v>7.8476177018567787E-3</v>
      </c>
    </row>
    <row r="30" spans="1:39">
      <c r="A30" s="6">
        <f>MAX(A$13:A29)+1</f>
        <v>16</v>
      </c>
      <c r="C30" s="6" t="s">
        <v>54</v>
      </c>
      <c r="E30" s="62" t="s">
        <v>55</v>
      </c>
      <c r="G30" s="56">
        <f>ROUND(('Exhibit C(Rate Design)'!D1119+'Exhibit C(Rate Design)'!D1120+'Exhibit C(Rate Design)'!D1121)/12,0)</f>
        <v>3</v>
      </c>
      <c r="I30" s="56">
        <f>('Exhibit C(Rate Design)'!D1162)/1000</f>
        <v>173984.215</v>
      </c>
      <c r="K30" s="57">
        <f>('Exhibit C(Rate Design)'!I1162-'Exhibit C(Rate Design)'!I1148-'Exhibit C(Rate Design)'!I1149)/1000</f>
        <v>3951.837</v>
      </c>
      <c r="M30" s="57">
        <f>('Exhibit C(Rate Design)'!M1162-'Exhibit C(Rate Design)'!M1148-'Exhibit C(Rate Design)'!M1149)/1000</f>
        <v>3855.027</v>
      </c>
      <c r="O30" s="57">
        <f>'Exhibit B(Rate Spread)'!Q30</f>
        <v>0</v>
      </c>
      <c r="Q30" s="57">
        <f>'Exhibit B(Rate Spread)'!T30</f>
        <v>7.3646115580612124</v>
      </c>
      <c r="S30" s="57">
        <f t="shared" si="10"/>
        <v>3862.3916115580614</v>
      </c>
      <c r="U30" s="57">
        <f t="shared" si="11"/>
        <v>-96.809999999999945</v>
      </c>
      <c r="W30" s="58">
        <f t="shared" si="2"/>
        <v>-2.4497467886453805E-2</v>
      </c>
      <c r="Y30" s="57">
        <f t="shared" si="12"/>
        <v>-89.445388441938576</v>
      </c>
      <c r="AA30" s="58">
        <f t="shared" si="3"/>
        <v>-2.2633875952357999E-2</v>
      </c>
      <c r="AC30" s="63">
        <f t="shared" si="4"/>
        <v>2.2200000000000002</v>
      </c>
      <c r="AD30" s="63">
        <f t="shared" si="5"/>
        <v>2.2200000000000002</v>
      </c>
      <c r="AE30" s="63">
        <f t="shared" si="6"/>
        <v>2.27</v>
      </c>
      <c r="AF30" s="52">
        <f t="shared" si="7"/>
        <v>-4.9999999999999822E-2</v>
      </c>
      <c r="AG30" s="52">
        <f t="shared" si="8"/>
        <v>-4.9999999999999822E-2</v>
      </c>
      <c r="AH30" s="59"/>
    </row>
    <row r="31" spans="1:39">
      <c r="A31" s="6">
        <f>MAX(A$13:A30)+1</f>
        <v>17</v>
      </c>
      <c r="C31" s="6" t="s">
        <v>54</v>
      </c>
      <c r="E31" s="62" t="s">
        <v>56</v>
      </c>
      <c r="G31" s="56">
        <f>ROUND(('Exhibit C(Rate Design)'!D1166+'Exhibit C(Rate Design)'!D1167+'Exhibit C(Rate Design)'!D1168)/12,0)</f>
        <v>15</v>
      </c>
      <c r="I31" s="56">
        <f>('Exhibit C(Rate Design)'!D1208)/1000</f>
        <v>31450.823</v>
      </c>
      <c r="K31" s="57">
        <f>('Exhibit C(Rate Design)'!I1208-'Exhibit C(Rate Design)'!I1195)/1000</f>
        <v>1661.0930000000001</v>
      </c>
      <c r="M31" s="57">
        <f>('Exhibit C(Rate Design)'!M1208-'Exhibit C(Rate Design)'!M1195)/1000</f>
        <v>1618.4570000000001</v>
      </c>
      <c r="O31" s="57">
        <f>'Exhibit B(Rate Spread)'!Q31</f>
        <v>0</v>
      </c>
      <c r="Q31" s="57">
        <f>'Exhibit B(Rate Spread)'!T31</f>
        <v>4.0826673933217625</v>
      </c>
      <c r="S31" s="57">
        <f t="shared" si="10"/>
        <v>1622.5396673933219</v>
      </c>
      <c r="U31" s="57">
        <f t="shared" si="11"/>
        <v>-42.635999999999967</v>
      </c>
      <c r="W31" s="58">
        <f t="shared" si="2"/>
        <v>-2.5667437042959044E-2</v>
      </c>
      <c r="Y31" s="57">
        <f t="shared" si="12"/>
        <v>-38.553332606678168</v>
      </c>
      <c r="AA31" s="58">
        <f t="shared" si="3"/>
        <v>-2.3209617165732544E-2</v>
      </c>
      <c r="AC31" s="63">
        <f t="shared" si="4"/>
        <v>5.15</v>
      </c>
      <c r="AD31" s="63">
        <f t="shared" si="5"/>
        <v>5.16</v>
      </c>
      <c r="AE31" s="63">
        <f t="shared" si="6"/>
        <v>5.28</v>
      </c>
      <c r="AF31" s="52">
        <f t="shared" si="7"/>
        <v>-0.12999999999999989</v>
      </c>
      <c r="AG31" s="52">
        <f t="shared" si="8"/>
        <v>-0.12000000000000011</v>
      </c>
      <c r="AH31" s="59"/>
    </row>
    <row r="32" spans="1:39">
      <c r="A32" s="6">
        <f>MAX(A$13:A31)+1</f>
        <v>18</v>
      </c>
      <c r="C32" s="6" t="s">
        <v>54</v>
      </c>
      <c r="E32" s="62" t="s">
        <v>57</v>
      </c>
      <c r="G32" s="72">
        <f>ROUND(('Exhibit C(Rate Design)'!D1212+'Exhibit C(Rate Design)'!D1213+'Exhibit C(Rate Design)'!D1214)/12,0)</f>
        <v>6</v>
      </c>
      <c r="I32" s="72">
        <f>('Exhibit C(Rate Design)'!D1255)/1000</f>
        <v>69497.998999999996</v>
      </c>
      <c r="K32" s="66">
        <f>('Exhibit C(Rate Design)'!I1255-'Exhibit C(Rate Design)'!I1241)/1000</f>
        <v>3588.1930000000002</v>
      </c>
      <c r="M32" s="66">
        <f>('Exhibit C(Rate Design)'!M1255-'Exhibit C(Rate Design)'!M1241)/1000</f>
        <v>3583.7440000000001</v>
      </c>
      <c r="O32" s="66">
        <f>'Exhibit B(Rate Spread)'!Q32</f>
        <v>0</v>
      </c>
      <c r="Q32" s="66">
        <f>'Exhibit B(Rate Spread)'!T32</f>
        <v>7.6643981177186715</v>
      </c>
      <c r="S32" s="66">
        <f t="shared" si="10"/>
        <v>3591.4083981177187</v>
      </c>
      <c r="U32" s="66">
        <f t="shared" si="11"/>
        <v>-4.4490000000000691</v>
      </c>
      <c r="W32" s="67">
        <f t="shared" si="2"/>
        <v>-1.2398998604590302E-3</v>
      </c>
      <c r="Y32" s="66">
        <f t="shared" si="12"/>
        <v>3.2153981177184505</v>
      </c>
      <c r="AA32" s="67">
        <f t="shared" si="3"/>
        <v>8.9610511968515915E-4</v>
      </c>
      <c r="AC32" s="68">
        <f t="shared" si="4"/>
        <v>5.16</v>
      </c>
      <c r="AD32" s="68">
        <f t="shared" si="5"/>
        <v>5.17</v>
      </c>
      <c r="AE32" s="68">
        <f t="shared" si="6"/>
        <v>5.16</v>
      </c>
      <c r="AF32" s="52">
        <f t="shared" si="7"/>
        <v>0</v>
      </c>
      <c r="AG32" s="52">
        <f t="shared" si="8"/>
        <v>9.9999999999997868E-3</v>
      </c>
      <c r="AH32" s="59"/>
    </row>
    <row r="33" spans="1:34">
      <c r="A33" s="6">
        <f>MAX(A$13:A32)+1</f>
        <v>19</v>
      </c>
      <c r="C33" s="73" t="s">
        <v>58</v>
      </c>
      <c r="D33" s="73"/>
      <c r="E33" s="73"/>
      <c r="F33" s="73"/>
      <c r="G33" s="74">
        <f>SUM(G30:G32)</f>
        <v>24</v>
      </c>
      <c r="H33" s="73"/>
      <c r="I33" s="74">
        <f>SUM(I30:I32)</f>
        <v>274933.03700000001</v>
      </c>
      <c r="J33" s="73"/>
      <c r="K33" s="75">
        <f>SUM(K30:K32)</f>
        <v>9201.1229999999996</v>
      </c>
      <c r="L33" s="76"/>
      <c r="M33" s="75">
        <f>SUM(M30:M32)</f>
        <v>9057.228000000001</v>
      </c>
      <c r="N33" s="76"/>
      <c r="O33" s="75">
        <f>SUM(O30:O32)</f>
        <v>0</v>
      </c>
      <c r="P33" s="76"/>
      <c r="Q33" s="75">
        <f>SUM(Q30:Q32)</f>
        <v>19.111677069101646</v>
      </c>
      <c r="R33" s="76"/>
      <c r="S33" s="75">
        <f>SUM(S30:S32)</f>
        <v>9076.3396770691015</v>
      </c>
      <c r="T33" s="76"/>
      <c r="U33" s="75">
        <f>SUM(U30:U32)</f>
        <v>-143.89499999999998</v>
      </c>
      <c r="V33" s="73"/>
      <c r="W33" s="77">
        <f t="shared" si="2"/>
        <v>-1.5638851909707107E-2</v>
      </c>
      <c r="X33" s="76"/>
      <c r="Y33" s="75">
        <f>SUM(Y30:Y32)</f>
        <v>-124.78332293089829</v>
      </c>
      <c r="Z33" s="73"/>
      <c r="AA33" s="77">
        <f t="shared" si="3"/>
        <v>-1.3561749248531761E-2</v>
      </c>
      <c r="AB33" s="73"/>
      <c r="AC33" s="78">
        <f t="shared" si="4"/>
        <v>3.29</v>
      </c>
      <c r="AD33" s="78">
        <f t="shared" si="5"/>
        <v>3.3</v>
      </c>
      <c r="AE33" s="78">
        <f t="shared" si="6"/>
        <v>3.35</v>
      </c>
      <c r="AF33" s="52">
        <f t="shared" si="7"/>
        <v>-6.0000000000000053E-2</v>
      </c>
      <c r="AG33" s="52">
        <f t="shared" si="8"/>
        <v>-5.0000000000000266E-2</v>
      </c>
      <c r="AH33" s="59">
        <f>K33/$K$49</f>
        <v>3.9038313111090777E-3</v>
      </c>
    </row>
    <row r="34" spans="1:34">
      <c r="A34" s="6">
        <f>MAX(A$13:A33)+1</f>
        <v>20</v>
      </c>
      <c r="C34" s="6" t="s">
        <v>59</v>
      </c>
      <c r="E34" s="6">
        <v>34</v>
      </c>
      <c r="G34" s="56">
        <v>1</v>
      </c>
      <c r="I34" s="56">
        <f>('Exhibit C(Rate Design)'!D1258)/1000</f>
        <v>1236761.9577242604</v>
      </c>
      <c r="K34" s="57">
        <f>('Exhibit C(Rate Design)'!I1258)/1000</f>
        <v>16875.427752652893</v>
      </c>
      <c r="M34" s="57">
        <f>('Exhibit C(Rate Design)'!M1258)/1000</f>
        <v>16875.427752652893</v>
      </c>
      <c r="O34" s="57">
        <f>'Exhibit B(Rate Spread)'!Q34</f>
        <v>0</v>
      </c>
      <c r="Q34" s="57">
        <f>'Exhibit B(Rate Spread)'!T34</f>
        <v>0</v>
      </c>
      <c r="S34" s="57">
        <f t="shared" ref="S34:S37" si="13">M34+O34+Q34</f>
        <v>16875.427752652893</v>
      </c>
      <c r="U34" s="57">
        <f>M34-K34</f>
        <v>0</v>
      </c>
      <c r="W34" s="58">
        <f t="shared" si="2"/>
        <v>0</v>
      </c>
      <c r="Y34" s="57">
        <f>S34-K34</f>
        <v>0</v>
      </c>
      <c r="AA34" s="58">
        <f t="shared" si="3"/>
        <v>0</v>
      </c>
      <c r="AC34" s="63">
        <f t="shared" si="4"/>
        <v>1.36</v>
      </c>
      <c r="AD34" s="63">
        <f t="shared" si="5"/>
        <v>1.36</v>
      </c>
      <c r="AE34" s="63">
        <f t="shared" si="6"/>
        <v>1.36</v>
      </c>
      <c r="AF34" s="52">
        <f t="shared" si="7"/>
        <v>0</v>
      </c>
      <c r="AG34" s="52">
        <f t="shared" si="8"/>
        <v>0</v>
      </c>
      <c r="AH34" s="59">
        <f>K34/$K$49</f>
        <v>7.1598676867123132E-3</v>
      </c>
    </row>
    <row r="35" spans="1:34">
      <c r="A35" s="6">
        <f>MAX(A$13:A34)+1</f>
        <v>21</v>
      </c>
      <c r="C35" s="6" t="s">
        <v>60</v>
      </c>
      <c r="E35" s="62"/>
      <c r="G35" s="56">
        <f>ROUND(('Exhibit C(Rate Design)'!D1261)/12,0)</f>
        <v>1</v>
      </c>
      <c r="I35" s="56">
        <f>('Exhibit C(Rate Design)'!D1269)/1000</f>
        <v>647000</v>
      </c>
      <c r="K35" s="57">
        <f>('Exhibit C(Rate Design)'!I1269)/1000</f>
        <v>39362.118000000002</v>
      </c>
      <c r="M35" s="57">
        <f>('Exhibit C(Rate Design)'!M1269)/1000</f>
        <v>40829.442999999999</v>
      </c>
      <c r="O35" s="57">
        <f>'Exhibit B(Rate Spread)'!Q35</f>
        <v>0</v>
      </c>
      <c r="Q35" s="57">
        <f>'Exhibit B(Rate Spread)'!T35</f>
        <v>106.01006759781572</v>
      </c>
      <c r="S35" s="57">
        <f t="shared" si="13"/>
        <v>40935.453067597817</v>
      </c>
      <c r="U35" s="57">
        <f>M35-K35</f>
        <v>1467.3249999999971</v>
      </c>
      <c r="W35" s="58">
        <f t="shared" si="2"/>
        <v>3.7277592633607699E-2</v>
      </c>
      <c r="Y35" s="57">
        <f>S35-K35</f>
        <v>1573.3350675978145</v>
      </c>
      <c r="AA35" s="58">
        <f t="shared" si="3"/>
        <v>3.9970792923231781E-2</v>
      </c>
      <c r="AC35" s="63">
        <f t="shared" si="4"/>
        <v>6.31</v>
      </c>
      <c r="AD35" s="63">
        <f t="shared" si="5"/>
        <v>6.33</v>
      </c>
      <c r="AE35" s="63">
        <f t="shared" si="6"/>
        <v>6.08</v>
      </c>
      <c r="AF35" s="52">
        <f t="shared" si="7"/>
        <v>0.22999999999999954</v>
      </c>
      <c r="AG35" s="52">
        <f t="shared" si="8"/>
        <v>0.25</v>
      </c>
      <c r="AH35" s="59">
        <f>K35/$K$49</f>
        <v>1.6700468923192335E-2</v>
      </c>
    </row>
    <row r="36" spans="1:34">
      <c r="A36" s="6">
        <f>MAX(A$13:A35)+1</f>
        <v>22</v>
      </c>
      <c r="C36" s="6" t="s">
        <v>61</v>
      </c>
      <c r="E36" s="62"/>
      <c r="G36" s="56">
        <v>1</v>
      </c>
      <c r="I36" s="56">
        <f>('Exhibit C(Rate Design)'!D1286)/1000</f>
        <v>1339588</v>
      </c>
      <c r="K36" s="57">
        <f>('Exhibit C(Rate Design)'!I1286)/1000</f>
        <v>104628.47446898281</v>
      </c>
      <c r="M36" s="57">
        <f>('Exhibit C(Rate Design)'!M1286)/1000</f>
        <v>104628.47446898281</v>
      </c>
      <c r="O36" s="57">
        <f>'Exhibit B(Rate Spread)'!Q36</f>
        <v>0</v>
      </c>
      <c r="Q36" s="57">
        <f>'Exhibit B(Rate Spread)'!T36</f>
        <v>0</v>
      </c>
      <c r="S36" s="57">
        <f t="shared" si="13"/>
        <v>104628.47446898281</v>
      </c>
      <c r="U36" s="57">
        <f>M36-K36</f>
        <v>0</v>
      </c>
      <c r="W36" s="58">
        <f t="shared" si="2"/>
        <v>0</v>
      </c>
      <c r="Y36" s="57">
        <f>S36-K36</f>
        <v>0</v>
      </c>
      <c r="AA36" s="58">
        <f t="shared" si="3"/>
        <v>0</v>
      </c>
      <c r="AC36" s="63">
        <f t="shared" si="4"/>
        <v>7.81</v>
      </c>
      <c r="AD36" s="63">
        <f t="shared" si="5"/>
        <v>7.81</v>
      </c>
      <c r="AE36" s="63">
        <f t="shared" si="6"/>
        <v>7.81</v>
      </c>
      <c r="AF36" s="52">
        <f t="shared" si="7"/>
        <v>0</v>
      </c>
      <c r="AG36" s="52">
        <f t="shared" si="8"/>
        <v>0</v>
      </c>
      <c r="AH36" s="59">
        <f>K36/$K$49</f>
        <v>4.4391528584672962E-2</v>
      </c>
    </row>
    <row r="37" spans="1:34">
      <c r="A37" s="6">
        <f>MAX(A$13:A36)+1</f>
        <v>23</v>
      </c>
      <c r="C37" s="6" t="s">
        <v>37</v>
      </c>
      <c r="E37" s="62"/>
      <c r="G37" s="72"/>
      <c r="I37" s="72"/>
      <c r="K37" s="66">
        <f>('Exhibit C(Rate Design)'!I1314+'Exhibit C(Rate Design)'!I1315+'Exhibit C(Rate Design)'!I1316)/1000</f>
        <v>7039.6780500000004</v>
      </c>
      <c r="M37" s="66">
        <f>('Exhibit C(Rate Design)'!M1314+'Exhibit C(Rate Design)'!M1315+'Exhibit C(Rate Design)'!M1316)/1000</f>
        <v>7039.6780500000004</v>
      </c>
      <c r="O37" s="66">
        <f>'Exhibit B(Rate Spread)'!Q37</f>
        <v>0</v>
      </c>
      <c r="Q37" s="66">
        <f>'Exhibit B(Rate Spread)'!T37</f>
        <v>0</v>
      </c>
      <c r="S37" s="66">
        <f t="shared" si="13"/>
        <v>7039.6780500000004</v>
      </c>
      <c r="U37" s="66">
        <f>M37-K37</f>
        <v>0</v>
      </c>
      <c r="W37" s="67">
        <f t="shared" si="2"/>
        <v>0</v>
      </c>
      <c r="Y37" s="66">
        <f>S37-K37</f>
        <v>0</v>
      </c>
      <c r="AA37" s="67">
        <f t="shared" si="3"/>
        <v>0</v>
      </c>
      <c r="AC37" s="68"/>
      <c r="AD37" s="68"/>
      <c r="AE37" s="68"/>
      <c r="AF37" s="52"/>
      <c r="AG37" s="52"/>
      <c r="AH37" s="59"/>
    </row>
    <row r="38" spans="1:34">
      <c r="A38" s="6">
        <f>MAX(A$13:A37)+1</f>
        <v>24</v>
      </c>
      <c r="C38" s="25" t="s">
        <v>62</v>
      </c>
      <c r="G38" s="56">
        <f>SUM(G19:G20,G22:G25,G27:G32,G34:G37)</f>
        <v>124073</v>
      </c>
      <c r="I38" s="56">
        <f>SUM(I19:I20,I22:I25,I27:I32,I34:I37)</f>
        <v>20489615.650431562</v>
      </c>
      <c r="K38" s="57">
        <f>SUM(K19:K20,K22:K25,K27:K32,K34:K37)</f>
        <v>1443481.7992716359</v>
      </c>
      <c r="M38" s="57">
        <f>SUM(M19:M20,M22:M25,M27:M32,M34:M37)</f>
        <v>1488390.8052716358</v>
      </c>
      <c r="O38" s="57">
        <f>SUM(O19:O20,O22:O25,O27:O32,O34:O37)</f>
        <v>0</v>
      </c>
      <c r="Q38" s="57">
        <f>SUM(Q19:Q20,Q22:Q25,Q27:Q32,Q34:Q37)</f>
        <v>3157.9155879919854</v>
      </c>
      <c r="S38" s="57">
        <f>SUM(S19:S20,S22:S25,S27:S32,S34:S37)</f>
        <v>1491548.7208596275</v>
      </c>
      <c r="U38" s="57">
        <f>SUM(U19:U20,U22:U25,U27:U32,U34:U37)</f>
        <v>44909.006000000081</v>
      </c>
      <c r="W38" s="58">
        <f t="shared" si="2"/>
        <v>3.1111584519223339E-2</v>
      </c>
      <c r="Y38" s="57">
        <f>SUM(Y19:Y20,Y22:Y25,Y27:Y32,Y34:Y37)</f>
        <v>48066.92158799203</v>
      </c>
      <c r="AA38" s="58">
        <f t="shared" si="3"/>
        <v>3.3299291762629801E-2</v>
      </c>
      <c r="AC38" s="63">
        <f>ROUND(100*$M38/$I38,2)</f>
        <v>7.26</v>
      </c>
      <c r="AD38" s="63">
        <f>ROUND(100*$S38/$I38,2)</f>
        <v>7.28</v>
      </c>
      <c r="AE38" s="63">
        <f>ROUND(100*K38/I38,2)</f>
        <v>7.04</v>
      </c>
      <c r="AF38" s="52">
        <f>AC38-AE38</f>
        <v>0.21999999999999975</v>
      </c>
      <c r="AG38" s="52">
        <f>AD38-AE38</f>
        <v>0.24000000000000021</v>
      </c>
      <c r="AH38" s="59"/>
    </row>
    <row r="39" spans="1:34">
      <c r="C39" s="25" t="s">
        <v>63</v>
      </c>
      <c r="G39" s="56"/>
      <c r="I39" s="56"/>
      <c r="K39" s="57"/>
      <c r="M39" s="57"/>
      <c r="O39" s="57"/>
      <c r="Q39" s="57"/>
      <c r="S39" s="57"/>
      <c r="U39" s="57"/>
      <c r="Y39" s="57"/>
      <c r="AC39" s="80"/>
      <c r="AD39" s="80"/>
      <c r="AE39" s="80"/>
      <c r="AF39" s="52"/>
      <c r="AG39" s="52"/>
      <c r="AH39" s="59"/>
    </row>
    <row r="40" spans="1:34">
      <c r="A40" s="6">
        <f>MAX(A$13:A39)+1</f>
        <v>25</v>
      </c>
      <c r="C40" s="6" t="s">
        <v>64</v>
      </c>
      <c r="E40" s="6">
        <v>7</v>
      </c>
      <c r="G40" s="56">
        <f>ROUND(('Exhibit C(Rate Design)'!D391),0)</f>
        <v>6333</v>
      </c>
      <c r="I40" s="56">
        <f>('Exhibit C(Rate Design)'!D397)/1000</f>
        <v>10030.59208518304</v>
      </c>
      <c r="K40" s="57">
        <f>('Exhibit C(Rate Design)'!I397)/1000</f>
        <v>1362.222</v>
      </c>
      <c r="M40" s="57">
        <f>('Exhibit C(Rate Design)'!M397)/1000</f>
        <v>1372.3520000000001</v>
      </c>
      <c r="O40" s="57">
        <f>'Exhibit B(Rate Spread)'!Q40</f>
        <v>0</v>
      </c>
      <c r="Q40" s="57">
        <f>'Exhibit B(Rate Spread)'!T40</f>
        <v>5.0421257545489357</v>
      </c>
      <c r="S40" s="57">
        <f t="shared" ref="S40:S44" si="14">M40+O40+Q40</f>
        <v>1377.3941257545491</v>
      </c>
      <c r="U40" s="57">
        <f>M40-K40</f>
        <v>10.130000000000109</v>
      </c>
      <c r="W40" s="58">
        <f t="shared" ref="W40:W49" si="15">U40/K40</f>
        <v>7.4363796796705012E-3</v>
      </c>
      <c r="Y40" s="57">
        <f>S40-K40</f>
        <v>15.172125754549143</v>
      </c>
      <c r="AA40" s="58">
        <f t="shared" ref="AA40:AA49" si="16">Y40/K40</f>
        <v>1.1137777656321174E-2</v>
      </c>
      <c r="AC40" s="63">
        <f t="shared" ref="AC40:AC46" si="17">ROUND(100*$M40/$I40,2)</f>
        <v>13.68</v>
      </c>
      <c r="AD40" s="63">
        <f t="shared" ref="AD40:AD46" si="18">ROUND(100*$S40/$I40,2)</f>
        <v>13.73</v>
      </c>
      <c r="AE40" s="63">
        <f t="shared" ref="AE40:AE46" si="19">ROUND(100*K40/I40,2)</f>
        <v>13.58</v>
      </c>
      <c r="AF40" s="52">
        <f t="shared" ref="AF40:AF46" si="20">AC40-AE40</f>
        <v>9.9999999999999645E-2</v>
      </c>
      <c r="AG40" s="52">
        <f t="shared" ref="AG40:AG46" si="21">AD40-AE40</f>
        <v>0.15000000000000036</v>
      </c>
      <c r="AH40" s="59"/>
    </row>
    <row r="41" spans="1:34">
      <c r="A41" s="6">
        <f>MAX(A$13:A40)+1</f>
        <v>26</v>
      </c>
      <c r="C41" s="6" t="s">
        <v>65</v>
      </c>
      <c r="E41" s="6">
        <v>11</v>
      </c>
      <c r="G41" s="56">
        <f>ROUND(('Exhibit C(Rate Design)'!D627),0)</f>
        <v>795</v>
      </c>
      <c r="I41" s="56">
        <f>('Exhibit C(Rate Design)'!D648)/1000</f>
        <v>13419.473877279579</v>
      </c>
      <c r="K41" s="57">
        <f>('Exhibit C(Rate Design)'!I648)/1000</f>
        <v>3897.3339999999998</v>
      </c>
      <c r="M41" s="57">
        <f>('Exhibit C(Rate Design)'!M648)/1000</f>
        <v>3925.4839999999999</v>
      </c>
      <c r="O41" s="57">
        <f>'Exhibit B(Rate Spread)'!Q41</f>
        <v>0</v>
      </c>
      <c r="Q41" s="57">
        <f>'Exhibit B(Rate Spread)'!T41</f>
        <v>14.425584181931592</v>
      </c>
      <c r="S41" s="57">
        <f t="shared" si="14"/>
        <v>3939.9095841819317</v>
      </c>
      <c r="U41" s="57">
        <f>M41-K41</f>
        <v>28.150000000000091</v>
      </c>
      <c r="W41" s="58">
        <f t="shared" si="15"/>
        <v>7.2228862088802477E-3</v>
      </c>
      <c r="Y41" s="57">
        <f>S41-K41</f>
        <v>42.575584181931845</v>
      </c>
      <c r="AA41" s="58">
        <f t="shared" si="16"/>
        <v>1.092428418553089E-2</v>
      </c>
      <c r="AC41" s="63">
        <f t="shared" si="17"/>
        <v>29.25</v>
      </c>
      <c r="AD41" s="63">
        <f t="shared" si="18"/>
        <v>29.36</v>
      </c>
      <c r="AE41" s="63">
        <f t="shared" si="19"/>
        <v>29.04</v>
      </c>
      <c r="AF41" s="52">
        <f t="shared" si="20"/>
        <v>0.21000000000000085</v>
      </c>
      <c r="AG41" s="52">
        <f t="shared" si="21"/>
        <v>0.32000000000000028</v>
      </c>
      <c r="AH41" s="59"/>
    </row>
    <row r="42" spans="1:34">
      <c r="A42" s="6">
        <f>MAX(A$13:A41)+1</f>
        <v>27</v>
      </c>
      <c r="C42" s="6" t="s">
        <v>66</v>
      </c>
      <c r="E42" s="6">
        <v>12</v>
      </c>
      <c r="G42" s="56">
        <f>ROUND(('Exhibit C(Rate Design)'!D724),0)</f>
        <v>1331</v>
      </c>
      <c r="I42" s="56">
        <f>('Exhibit C(Rate Design)'!D725)/1000</f>
        <v>29890.554483748136</v>
      </c>
      <c r="K42" s="57">
        <f>('Exhibit C(Rate Design)'!I725)/1000</f>
        <v>1484.8420000000001</v>
      </c>
      <c r="M42" s="57">
        <f>('Exhibit C(Rate Design)'!M725)/1000</f>
        <v>1495.6510000000001</v>
      </c>
      <c r="O42" s="57">
        <f>'Exhibit B(Rate Spread)'!Q42</f>
        <v>0</v>
      </c>
      <c r="Q42" s="57">
        <f>'Exhibit B(Rate Spread)'!T42</f>
        <v>5.4959911744458321</v>
      </c>
      <c r="S42" s="57">
        <f t="shared" si="14"/>
        <v>1501.1469911744459</v>
      </c>
      <c r="U42" s="57">
        <f>M42-K42</f>
        <v>10.808999999999969</v>
      </c>
      <c r="W42" s="58">
        <f t="shared" si="15"/>
        <v>7.2795624046194602E-3</v>
      </c>
      <c r="Y42" s="57">
        <f>S42-K42</f>
        <v>16.304991174445831</v>
      </c>
      <c r="AA42" s="58">
        <f t="shared" si="16"/>
        <v>1.0980960381270081E-2</v>
      </c>
      <c r="AC42" s="63">
        <f t="shared" si="17"/>
        <v>5</v>
      </c>
      <c r="AD42" s="63">
        <f t="shared" si="18"/>
        <v>5.0199999999999996</v>
      </c>
      <c r="AE42" s="63">
        <f t="shared" si="19"/>
        <v>4.97</v>
      </c>
      <c r="AF42" s="52">
        <f t="shared" si="20"/>
        <v>3.0000000000000249E-2</v>
      </c>
      <c r="AG42" s="52">
        <f t="shared" si="21"/>
        <v>4.9999999999999822E-2</v>
      </c>
      <c r="AH42" s="59"/>
    </row>
    <row r="43" spans="1:34">
      <c r="A43" s="6">
        <f>MAX(A$13:A42)+1</f>
        <v>28</v>
      </c>
      <c r="C43" s="6" t="s">
        <v>67</v>
      </c>
      <c r="E43" s="6">
        <v>15</v>
      </c>
      <c r="G43" s="56">
        <f>ROUND(('Exhibit C(Rate Design)'!D730)/12,0)</f>
        <v>780</v>
      </c>
      <c r="I43" s="56">
        <f>('Exhibit C(Rate Design)'!D734)/1000</f>
        <v>15798.908622976987</v>
      </c>
      <c r="K43" s="57">
        <f>('Exhibit C(Rate Design)'!I734)/1000</f>
        <v>779.55399999999997</v>
      </c>
      <c r="M43" s="57">
        <f>('Exhibit C(Rate Design)'!M734)/1000</f>
        <v>816.46</v>
      </c>
      <c r="O43" s="57">
        <f>'Exhibit B(Rate Spread)'!Q43</f>
        <v>0</v>
      </c>
      <c r="Q43" s="57">
        <f>'Exhibit B(Rate Spread)'!T43</f>
        <v>1.1564206673794493</v>
      </c>
      <c r="S43" s="57">
        <f t="shared" si="14"/>
        <v>817.61642066737943</v>
      </c>
      <c r="U43" s="57">
        <f>M43-K43</f>
        <v>36.906000000000063</v>
      </c>
      <c r="W43" s="58">
        <f t="shared" si="15"/>
        <v>4.7342454788250797E-2</v>
      </c>
      <c r="Y43" s="57">
        <f>S43-K43</f>
        <v>38.062420667379456</v>
      </c>
      <c r="AA43" s="58">
        <f t="shared" si="16"/>
        <v>4.8825893610166142E-2</v>
      </c>
      <c r="AC43" s="63">
        <f t="shared" si="17"/>
        <v>5.17</v>
      </c>
      <c r="AD43" s="63">
        <f t="shared" si="18"/>
        <v>5.18</v>
      </c>
      <c r="AE43" s="63">
        <f t="shared" si="19"/>
        <v>4.93</v>
      </c>
      <c r="AF43" s="52">
        <f t="shared" si="20"/>
        <v>0.24000000000000021</v>
      </c>
      <c r="AG43" s="52">
        <f t="shared" si="21"/>
        <v>0.25</v>
      </c>
      <c r="AH43" s="59"/>
    </row>
    <row r="44" spans="1:34">
      <c r="A44" s="6">
        <f>MAX(A$13:A43)+1</f>
        <v>29</v>
      </c>
      <c r="C44" s="6" t="s">
        <v>68</v>
      </c>
      <c r="E44" s="6">
        <v>15</v>
      </c>
      <c r="G44" s="72">
        <f>ROUND(('Exhibit C(Rate Design)'!D764)/12,0)</f>
        <v>2738</v>
      </c>
      <c r="I44" s="72">
        <f>('Exhibit C(Rate Design)'!D768)/1000</f>
        <v>8267.891702285393</v>
      </c>
      <c r="K44" s="66">
        <f>('Exhibit C(Rate Design)'!I768)/1000</f>
        <v>830.74199999999996</v>
      </c>
      <c r="M44" s="66">
        <f>('Exhibit C(Rate Design)'!M768)/1000</f>
        <v>870.07</v>
      </c>
      <c r="O44" s="66">
        <f>'Exhibit B(Rate Spread)'!Q44</f>
        <v>0</v>
      </c>
      <c r="Q44" s="66">
        <f>'Exhibit B(Rate Spread)'!T44</f>
        <v>2.3447526826041365</v>
      </c>
      <c r="S44" s="66">
        <f t="shared" si="14"/>
        <v>872.41475268260422</v>
      </c>
      <c r="U44" s="66">
        <f>M44-K44</f>
        <v>39.328000000000088</v>
      </c>
      <c r="W44" s="67">
        <f t="shared" si="15"/>
        <v>4.7340810985841683E-2</v>
      </c>
      <c r="Y44" s="66">
        <f>S44-K44</f>
        <v>41.672752682604255</v>
      </c>
      <c r="AA44" s="67">
        <f t="shared" si="16"/>
        <v>5.0163290988783832E-2</v>
      </c>
      <c r="AC44" s="68">
        <f t="shared" si="17"/>
        <v>10.52</v>
      </c>
      <c r="AD44" s="68">
        <f t="shared" si="18"/>
        <v>10.55</v>
      </c>
      <c r="AE44" s="68">
        <f t="shared" si="19"/>
        <v>10.050000000000001</v>
      </c>
      <c r="AF44" s="52">
        <f t="shared" si="20"/>
        <v>0.46999999999999886</v>
      </c>
      <c r="AG44" s="52">
        <f t="shared" si="21"/>
        <v>0.5</v>
      </c>
      <c r="AH44" s="59"/>
    </row>
    <row r="45" spans="1:34">
      <c r="A45" s="6">
        <f>MAX(A$13:A44)+1</f>
        <v>30</v>
      </c>
      <c r="C45" s="73" t="s">
        <v>69</v>
      </c>
      <c r="D45" s="81"/>
      <c r="F45" s="81"/>
      <c r="G45" s="56">
        <f>SUM(G40:G44)</f>
        <v>11977</v>
      </c>
      <c r="H45" s="81"/>
      <c r="I45" s="56">
        <f>SUM(I40:I44)</f>
        <v>77407.420771473146</v>
      </c>
      <c r="J45" s="81"/>
      <c r="K45" s="57">
        <f>SUM(K40:K44)</f>
        <v>8354.6939999999995</v>
      </c>
      <c r="L45" s="57"/>
      <c r="M45" s="57">
        <f>SUM(M40:M44)</f>
        <v>8480.0169999999998</v>
      </c>
      <c r="N45" s="57"/>
      <c r="O45" s="57">
        <f>SUM(O40:O44)</f>
        <v>0</v>
      </c>
      <c r="P45" s="57"/>
      <c r="Q45" s="57">
        <f>SUM(Q40:Q44)</f>
        <v>28.464874460909947</v>
      </c>
      <c r="R45" s="57"/>
      <c r="S45" s="57">
        <f>SUM(S40:S44)</f>
        <v>8508.4818744609111</v>
      </c>
      <c r="T45" s="57"/>
      <c r="U45" s="57">
        <f>SUM(U40:U44)</f>
        <v>125.32300000000032</v>
      </c>
      <c r="W45" s="58">
        <f t="shared" si="15"/>
        <v>1.5000310005369475E-2</v>
      </c>
      <c r="X45" s="57"/>
      <c r="Y45" s="57">
        <f>SUM(Y40:Y44)</f>
        <v>153.78787446091053</v>
      </c>
      <c r="AA45" s="58">
        <f t="shared" si="16"/>
        <v>1.8407361713177112E-2</v>
      </c>
      <c r="AB45" s="81"/>
      <c r="AC45" s="63">
        <f t="shared" si="17"/>
        <v>10.96</v>
      </c>
      <c r="AD45" s="63">
        <f t="shared" si="18"/>
        <v>10.99</v>
      </c>
      <c r="AE45" s="63">
        <f t="shared" si="19"/>
        <v>10.79</v>
      </c>
      <c r="AF45" s="52">
        <f t="shared" si="20"/>
        <v>0.17000000000000171</v>
      </c>
      <c r="AG45" s="52">
        <f t="shared" si="21"/>
        <v>0.20000000000000107</v>
      </c>
      <c r="AH45" s="59">
        <f>K45/$K$49</f>
        <v>3.5447103611086542E-3</v>
      </c>
    </row>
    <row r="46" spans="1:34">
      <c r="A46" s="6">
        <f>MAX(A$13:A45)+1</f>
        <v>31</v>
      </c>
      <c r="C46" s="6" t="s">
        <v>70</v>
      </c>
      <c r="E46" s="62"/>
      <c r="G46" s="56">
        <f>ROUND(('Exhibit C(Rate Design)'!D1293),0)</f>
        <v>4</v>
      </c>
      <c r="I46" s="56">
        <f>('Exhibit C(Rate Design)'!D1294)/1000</f>
        <v>7.423</v>
      </c>
      <c r="K46" s="57">
        <f>('Exhibit C(Rate Design)'!I1294)/1000</f>
        <v>0.56000000000000005</v>
      </c>
      <c r="M46" s="57">
        <f>('Exhibit C(Rate Design)'!M1294)/1000</f>
        <v>0.56000000000000005</v>
      </c>
      <c r="O46" s="57">
        <f>'Exhibit B(Rate Spread)'!Q46</f>
        <v>0</v>
      </c>
      <c r="Q46" s="57">
        <f>'Exhibit B(Rate Spread)'!T46</f>
        <v>0</v>
      </c>
      <c r="S46" s="57">
        <f t="shared" ref="S46:S47" si="22">M46+O46+Q46</f>
        <v>0.56000000000000005</v>
      </c>
      <c r="U46" s="57">
        <f>M46-K46</f>
        <v>0</v>
      </c>
      <c r="W46" s="58">
        <f t="shared" si="15"/>
        <v>0</v>
      </c>
      <c r="Y46" s="57">
        <f>S46-K46</f>
        <v>0</v>
      </c>
      <c r="AA46" s="58">
        <f t="shared" si="16"/>
        <v>0</v>
      </c>
      <c r="AC46" s="63">
        <f t="shared" si="17"/>
        <v>7.54</v>
      </c>
      <c r="AD46" s="63">
        <f t="shared" si="18"/>
        <v>7.54</v>
      </c>
      <c r="AE46" s="63">
        <f t="shared" si="19"/>
        <v>7.54</v>
      </c>
      <c r="AF46" s="52">
        <f t="shared" si="20"/>
        <v>0</v>
      </c>
      <c r="AG46" s="52">
        <f t="shared" si="21"/>
        <v>0</v>
      </c>
      <c r="AH46" s="59"/>
    </row>
    <row r="47" spans="1:34" ht="22.15" customHeight="1">
      <c r="A47" s="6">
        <f>MAX(A$13:A46)+1</f>
        <v>32</v>
      </c>
      <c r="C47" s="64" t="s">
        <v>37</v>
      </c>
      <c r="D47" s="82"/>
      <c r="E47" s="65"/>
      <c r="F47" s="82"/>
      <c r="G47" s="83"/>
      <c r="H47" s="82"/>
      <c r="I47" s="83"/>
      <c r="J47" s="82"/>
      <c r="K47" s="66">
        <f>'Exhibit C(Rate Design)'!I1317/1000</f>
        <v>4.6616400000000002</v>
      </c>
      <c r="M47" s="66">
        <f>'Exhibit C(Rate Design)'!M1317/1000</f>
        <v>4.6616400000000002</v>
      </c>
      <c r="O47" s="66">
        <f>'Exhibit B(Rate Spread)'!Q47</f>
        <v>0</v>
      </c>
      <c r="Q47" s="66">
        <f>'Exhibit B(Rate Spread)'!T47</f>
        <v>0</v>
      </c>
      <c r="S47" s="66">
        <f t="shared" si="22"/>
        <v>4.6616400000000002</v>
      </c>
      <c r="U47" s="66">
        <f>M47-K47</f>
        <v>0</v>
      </c>
      <c r="W47" s="67">
        <f t="shared" si="15"/>
        <v>0</v>
      </c>
      <c r="Y47" s="66">
        <f>S47-K47</f>
        <v>0</v>
      </c>
      <c r="AA47" s="67">
        <f t="shared" si="16"/>
        <v>0</v>
      </c>
      <c r="AB47" s="82"/>
      <c r="AC47" s="68"/>
      <c r="AD47" s="68"/>
      <c r="AE47" s="68"/>
      <c r="AF47" s="52"/>
      <c r="AG47" s="52"/>
      <c r="AH47" s="59"/>
    </row>
    <row r="48" spans="1:34">
      <c r="A48" s="6">
        <f>MAX(A$13:A47)+1</f>
        <v>33</v>
      </c>
      <c r="C48" s="84" t="s">
        <v>71</v>
      </c>
      <c r="E48" s="85"/>
      <c r="G48" s="72">
        <f>SUM(G46:G47)+G45</f>
        <v>11981</v>
      </c>
      <c r="I48" s="72">
        <f>SUM(I46:I47)+I45</f>
        <v>77414.843771473141</v>
      </c>
      <c r="K48" s="66">
        <f>SUM(K46:K47)+K45</f>
        <v>8359.9156399999993</v>
      </c>
      <c r="M48" s="66">
        <f>SUM(M46:M47)+M45</f>
        <v>8485.2386399999996</v>
      </c>
      <c r="O48" s="66">
        <f>SUM(O46:O47)+O45</f>
        <v>0</v>
      </c>
      <c r="Q48" s="66">
        <f>SUM(Q46:Q47)+Q45</f>
        <v>28.464874460909947</v>
      </c>
      <c r="S48" s="66">
        <f>SUM(S46:S47)+S45</f>
        <v>8513.7035144609108</v>
      </c>
      <c r="U48" s="66">
        <f>SUM(U46:U47)+U45</f>
        <v>125.32300000000032</v>
      </c>
      <c r="W48" s="86">
        <f t="shared" si="15"/>
        <v>1.4990940745904504E-2</v>
      </c>
      <c r="Y48" s="66">
        <f>SUM(Y46:Y47)+Y45</f>
        <v>153.78787446091053</v>
      </c>
      <c r="AA48" s="86">
        <f t="shared" si="16"/>
        <v>1.8395864394262062E-2</v>
      </c>
      <c r="AC48" s="68">
        <f>ROUND(100*$M48/$I48,2)</f>
        <v>10.96</v>
      </c>
      <c r="AD48" s="68">
        <f>ROUND(100*$S48/$I48,2)</f>
        <v>11</v>
      </c>
      <c r="AE48" s="68">
        <f>ROUND(100*K48/I48,2)</f>
        <v>10.8</v>
      </c>
      <c r="AF48" s="52">
        <f t="shared" ref="AF48:AF49" si="23">AC48-AE48</f>
        <v>0.16000000000000014</v>
      </c>
      <c r="AG48" s="52">
        <f t="shared" ref="AG48:AG49" si="24">AD48-AE48</f>
        <v>0.19999999999999929</v>
      </c>
      <c r="AH48" s="59">
        <f>K48/$K$49</f>
        <v>3.5469257865221974E-3</v>
      </c>
    </row>
    <row r="49" spans="1:34" ht="22.15" customHeight="1" thickBot="1">
      <c r="A49" s="6">
        <f>MAX(A$13:A48)+1</f>
        <v>34</v>
      </c>
      <c r="C49" s="87" t="s">
        <v>72</v>
      </c>
      <c r="E49" s="88"/>
      <c r="G49" s="89">
        <f>G48+G38+G17</f>
        <v>1092514</v>
      </c>
      <c r="I49" s="89">
        <f>I48+I38+I17</f>
        <v>28826511.503800046</v>
      </c>
      <c r="K49" s="90">
        <f>K48+K38+K17</f>
        <v>2356946.872631636</v>
      </c>
      <c r="M49" s="90">
        <f>M48+M38+M17</f>
        <v>2444825.4826316359</v>
      </c>
      <c r="O49" s="90">
        <f>O48+O38+O17</f>
        <v>0</v>
      </c>
      <c r="Q49" s="90">
        <f>Q48+Q38+Q17</f>
        <v>6347.4625518794328</v>
      </c>
      <c r="S49" s="90">
        <f>S48+S38+S17</f>
        <v>2451172.9451835146</v>
      </c>
      <c r="U49" s="90">
        <f>U48+U38+U17</f>
        <v>87878.610000000161</v>
      </c>
      <c r="W49" s="91">
        <f t="shared" si="15"/>
        <v>3.7284934599259668E-2</v>
      </c>
      <c r="Y49" s="90">
        <f>Y48+Y38+Y17</f>
        <v>94226.072551879508</v>
      </c>
      <c r="AA49" s="91">
        <f t="shared" si="16"/>
        <v>3.9978021416609999E-2</v>
      </c>
      <c r="AC49" s="92">
        <f>ROUND(100*$M49/$I49,2)</f>
        <v>8.48</v>
      </c>
      <c r="AD49" s="92">
        <f>ROUND(100*$S49/$I49,2)</f>
        <v>8.5</v>
      </c>
      <c r="AE49" s="92">
        <f>ROUND(100*K49/I49,2)</f>
        <v>8.18</v>
      </c>
      <c r="AF49" s="52">
        <f t="shared" si="23"/>
        <v>0.30000000000000071</v>
      </c>
      <c r="AG49" s="52">
        <f t="shared" si="24"/>
        <v>0.32000000000000028</v>
      </c>
      <c r="AH49" s="59">
        <f>K49/$K$49</f>
        <v>1</v>
      </c>
    </row>
    <row r="50" spans="1:34" ht="25.15" customHeight="1" thickTop="1"/>
  </sheetData>
  <printOptions horizontalCentered="1"/>
  <pageMargins left="0.5" right="0.5" top="1" bottom="0.5" header="0.5" footer="0.25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91098-8EBB-4FD4-95A4-BB92495B8C12}">
  <dimension ref="A1:AC70"/>
  <sheetViews>
    <sheetView view="pageBreakPreview" topLeftCell="B8" zoomScale="60" zoomScaleNormal="100" workbookViewId="0">
      <pane xSplit="5" ySplit="5" topLeftCell="G22" activePane="bottomRight" state="frozen"/>
      <selection activeCell="H121" sqref="H121"/>
      <selection pane="topRight" activeCell="H121" sqref="H121"/>
      <selection pane="bottomLeft" activeCell="H121" sqref="H121"/>
      <selection pane="bottomRight" activeCell="H121" sqref="H121"/>
    </sheetView>
  </sheetViews>
  <sheetFormatPr defaultColWidth="10" defaultRowHeight="15.75"/>
  <cols>
    <col min="1" max="1" width="5.140625" style="6" customWidth="1"/>
    <col min="2" max="2" width="1.7109375" style="6" customWidth="1"/>
    <col min="3" max="3" width="40.7109375" style="6" customWidth="1"/>
    <col min="4" max="4" width="1.7109375" style="6" customWidth="1"/>
    <col min="5" max="5" width="12.28515625" style="6" customWidth="1"/>
    <col min="6" max="6" width="1.7109375" style="6" customWidth="1"/>
    <col min="7" max="7" width="15.7109375" style="6" customWidth="1"/>
    <col min="8" max="8" width="1.7109375" style="6" customWidth="1"/>
    <col min="9" max="9" width="17" style="16" customWidth="1"/>
    <col min="10" max="10" width="1.7109375" style="6" customWidth="1"/>
    <col min="11" max="11" width="16.28515625" style="50" customWidth="1"/>
    <col min="12" max="12" width="1.7109375" style="50" customWidth="1"/>
    <col min="13" max="13" width="12.85546875" style="50" customWidth="1"/>
    <col min="14" max="14" width="11.7109375" style="50" customWidth="1"/>
    <col min="15" max="15" width="8.7109375" style="6" customWidth="1"/>
    <col min="16" max="16" width="1.7109375" style="50" customWidth="1"/>
    <col min="17" max="17" width="11.7109375" style="50" customWidth="1"/>
    <col min="18" max="18" width="8.140625" style="6" customWidth="1"/>
    <col min="19" max="19" width="1.7109375" style="50" customWidth="1"/>
    <col min="20" max="20" width="11.7109375" style="50" customWidth="1"/>
    <col min="21" max="21" width="8.140625" style="6" customWidth="1"/>
    <col min="22" max="22" width="15" style="6" customWidth="1"/>
    <col min="23" max="23" width="2.28515625" style="6" customWidth="1"/>
    <col min="24" max="24" width="14.140625" style="6" customWidth="1"/>
    <col min="25" max="26" width="10" style="6"/>
    <col min="27" max="27" width="9.7109375" style="6" customWidth="1"/>
    <col min="28" max="28" width="13.7109375" style="6" customWidth="1"/>
    <col min="29" max="16384" width="10" style="6"/>
  </cols>
  <sheetData>
    <row r="1" spans="1:29">
      <c r="A1" s="1" t="s">
        <v>73</v>
      </c>
      <c r="B1" s="1"/>
      <c r="C1" s="1"/>
      <c r="D1" s="1"/>
      <c r="E1" s="1"/>
      <c r="F1" s="1"/>
      <c r="G1" s="1"/>
      <c r="H1" s="1"/>
      <c r="I1" s="2"/>
      <c r="J1" s="1"/>
      <c r="K1" s="3"/>
      <c r="L1" s="3"/>
      <c r="M1" s="3"/>
      <c r="N1" s="3"/>
      <c r="O1" s="1"/>
      <c r="P1" s="3"/>
      <c r="Q1" s="3"/>
      <c r="R1" s="1"/>
      <c r="S1" s="3"/>
      <c r="T1" s="3"/>
      <c r="U1" s="1"/>
      <c r="V1" s="1"/>
    </row>
    <row r="2" spans="1:29" s="13" customFormat="1">
      <c r="A2" s="1" t="s">
        <v>1</v>
      </c>
      <c r="B2" s="8"/>
      <c r="C2" s="8"/>
      <c r="D2" s="8"/>
      <c r="E2" s="8"/>
      <c r="F2" s="8"/>
      <c r="G2" s="8"/>
      <c r="H2" s="8"/>
      <c r="I2" s="9"/>
      <c r="J2" s="8"/>
      <c r="K2" s="10"/>
      <c r="L2" s="10"/>
      <c r="M2" s="10"/>
      <c r="N2" s="10"/>
      <c r="O2" s="8"/>
      <c r="P2" s="10"/>
      <c r="Q2" s="10"/>
      <c r="R2" s="8"/>
      <c r="S2" s="10"/>
      <c r="T2" s="10"/>
      <c r="U2" s="8"/>
      <c r="V2" s="8"/>
    </row>
    <row r="3" spans="1:29" s="13" customFormat="1">
      <c r="A3" s="1" t="s">
        <v>2</v>
      </c>
      <c r="B3" s="8"/>
      <c r="C3" s="8"/>
      <c r="D3" s="8"/>
      <c r="E3" s="8"/>
      <c r="F3" s="8"/>
      <c r="G3" s="8"/>
      <c r="H3" s="8"/>
      <c r="I3" s="9"/>
      <c r="J3" s="8"/>
      <c r="K3" s="10"/>
      <c r="L3" s="10"/>
      <c r="M3" s="10"/>
      <c r="N3" s="10"/>
      <c r="O3" s="8"/>
      <c r="P3" s="10"/>
      <c r="Q3" s="10"/>
      <c r="R3" s="8"/>
      <c r="S3" s="10"/>
      <c r="T3" s="10"/>
      <c r="U3" s="8"/>
      <c r="V3" s="8"/>
    </row>
    <row r="4" spans="1:29" s="13" customFormat="1">
      <c r="A4" s="1" t="s">
        <v>3</v>
      </c>
      <c r="B4" s="8"/>
      <c r="C4" s="8"/>
      <c r="D4" s="8"/>
      <c r="E4" s="8"/>
      <c r="F4" s="8"/>
      <c r="G4" s="8"/>
      <c r="H4" s="8"/>
      <c r="I4" s="9"/>
      <c r="J4" s="8"/>
      <c r="K4" s="10"/>
      <c r="L4" s="10"/>
      <c r="M4" s="10"/>
      <c r="N4" s="10"/>
      <c r="O4" s="8"/>
      <c r="P4" s="10"/>
      <c r="Q4" s="10"/>
      <c r="R4" s="8"/>
      <c r="S4" s="10"/>
      <c r="T4" s="10"/>
      <c r="U4" s="8"/>
      <c r="V4" s="8"/>
    </row>
    <row r="5" spans="1:29" s="13" customFormat="1">
      <c r="A5" s="1" t="s">
        <v>447</v>
      </c>
      <c r="B5" s="8"/>
      <c r="C5" s="8"/>
      <c r="D5" s="8"/>
      <c r="E5" s="8"/>
      <c r="F5" s="8"/>
      <c r="G5" s="8"/>
      <c r="H5" s="8"/>
      <c r="I5" s="9"/>
      <c r="J5" s="8"/>
      <c r="K5" s="10"/>
      <c r="L5" s="10"/>
      <c r="M5" s="10"/>
      <c r="N5" s="10"/>
      <c r="O5" s="8"/>
      <c r="P5" s="10"/>
      <c r="Q5" s="10"/>
      <c r="R5" s="8"/>
      <c r="S5" s="10"/>
      <c r="T5" s="10"/>
      <c r="U5" s="8"/>
      <c r="V5" s="8"/>
    </row>
    <row r="6" spans="1:29">
      <c r="A6" s="1" t="s">
        <v>448</v>
      </c>
      <c r="B6" s="8"/>
      <c r="C6" s="8"/>
      <c r="D6" s="8"/>
      <c r="E6" s="8"/>
      <c r="F6" s="8"/>
      <c r="G6" s="8"/>
      <c r="H6" s="8"/>
      <c r="I6" s="9"/>
      <c r="J6" s="8"/>
      <c r="K6" s="10"/>
      <c r="L6" s="10"/>
      <c r="M6" s="10"/>
      <c r="N6" s="10"/>
      <c r="O6" s="8"/>
      <c r="P6" s="10"/>
      <c r="Q6" s="10"/>
      <c r="R6" s="8"/>
      <c r="S6" s="10"/>
      <c r="T6" s="10"/>
      <c r="U6" s="8"/>
      <c r="V6" s="8"/>
    </row>
    <row r="7" spans="1:29">
      <c r="D7" s="14"/>
      <c r="F7" s="14"/>
      <c r="G7" s="15"/>
      <c r="H7" s="14"/>
      <c r="J7" s="14"/>
      <c r="K7" s="17"/>
      <c r="L7" s="18"/>
      <c r="M7" s="17"/>
      <c r="N7" s="17"/>
      <c r="O7" s="15"/>
      <c r="P7" s="18"/>
      <c r="Q7" s="17"/>
      <c r="R7" s="15"/>
      <c r="S7" s="18"/>
      <c r="T7" s="17"/>
      <c r="U7" s="15"/>
      <c r="V7" s="15"/>
    </row>
    <row r="8" spans="1:29">
      <c r="D8" s="15"/>
      <c r="E8" s="15"/>
      <c r="F8" s="15"/>
      <c r="G8" s="15" t="s">
        <v>4</v>
      </c>
      <c r="H8" s="15"/>
      <c r="I8" s="20"/>
      <c r="J8" s="15"/>
      <c r="K8" s="17" t="s">
        <v>5</v>
      </c>
      <c r="L8" s="17"/>
      <c r="M8" s="21" t="s">
        <v>6</v>
      </c>
      <c r="N8" s="21"/>
      <c r="O8" s="23"/>
      <c r="P8" s="21"/>
      <c r="Q8" s="21"/>
      <c r="R8" s="23"/>
      <c r="S8" s="21"/>
      <c r="T8" s="21"/>
      <c r="U8" s="23"/>
      <c r="V8" s="23"/>
    </row>
    <row r="9" spans="1:29" s="25" customFormat="1">
      <c r="A9" s="25" t="s">
        <v>9</v>
      </c>
      <c r="D9" s="15"/>
      <c r="E9" s="15" t="s">
        <v>10</v>
      </c>
      <c r="F9" s="15"/>
      <c r="G9" s="15" t="s">
        <v>11</v>
      </c>
      <c r="H9" s="15"/>
      <c r="I9" s="20" t="s">
        <v>12</v>
      </c>
      <c r="J9" s="15"/>
      <c r="K9" s="17" t="s">
        <v>7</v>
      </c>
      <c r="L9" s="17"/>
      <c r="M9" s="93" t="s">
        <v>74</v>
      </c>
      <c r="N9" s="93"/>
      <c r="O9" s="94"/>
      <c r="P9" s="95"/>
      <c r="Q9" s="93" t="s">
        <v>13</v>
      </c>
      <c r="R9" s="94"/>
      <c r="S9" s="95"/>
      <c r="T9" s="93" t="s">
        <v>14</v>
      </c>
      <c r="U9" s="94"/>
      <c r="V9" s="94" t="s">
        <v>75</v>
      </c>
    </row>
    <row r="10" spans="1:29" s="25" customFormat="1">
      <c r="A10" s="28" t="s">
        <v>18</v>
      </c>
      <c r="C10" s="29" t="s">
        <v>19</v>
      </c>
      <c r="E10" s="29" t="s">
        <v>18</v>
      </c>
      <c r="G10" s="29" t="s">
        <v>20</v>
      </c>
      <c r="I10" s="30" t="s">
        <v>20</v>
      </c>
      <c r="K10" s="31" t="s">
        <v>21</v>
      </c>
      <c r="L10" s="32"/>
      <c r="M10" s="31" t="s">
        <v>21</v>
      </c>
      <c r="N10" s="31" t="s">
        <v>27</v>
      </c>
      <c r="O10" s="33" t="s">
        <v>22</v>
      </c>
      <c r="P10" s="32"/>
      <c r="Q10" s="31" t="s">
        <v>21</v>
      </c>
      <c r="R10" s="33" t="s">
        <v>22</v>
      </c>
      <c r="S10" s="32"/>
      <c r="T10" s="31" t="s">
        <v>21</v>
      </c>
      <c r="U10" s="33" t="s">
        <v>22</v>
      </c>
      <c r="V10" s="33" t="s">
        <v>76</v>
      </c>
    </row>
    <row r="11" spans="1:29" s="25" customFormat="1">
      <c r="C11" s="39">
        <v>-1</v>
      </c>
      <c r="D11" s="39"/>
      <c r="E11" s="39">
        <f>MIN($A11:D11)-1</f>
        <v>-2</v>
      </c>
      <c r="F11" s="39"/>
      <c r="G11" s="39">
        <f>MIN($A11:F11)-1</f>
        <v>-3</v>
      </c>
      <c r="H11" s="39"/>
      <c r="I11" s="39">
        <f>MIN($A11:H11)-1</f>
        <v>-4</v>
      </c>
      <c r="J11" s="39"/>
      <c r="K11" s="40">
        <f>MIN($A11:J11)-1</f>
        <v>-5</v>
      </c>
      <c r="L11" s="40"/>
      <c r="M11" s="40">
        <f>MIN($A11:L11)-1</f>
        <v>-6</v>
      </c>
      <c r="N11" s="40">
        <f>MIN($A11:M11)-1</f>
        <v>-7</v>
      </c>
      <c r="O11" s="40">
        <f>MIN($A11:N11)-1</f>
        <v>-8</v>
      </c>
      <c r="P11" s="40"/>
      <c r="Q11" s="40">
        <f>MIN($A11:P11)-1</f>
        <v>-9</v>
      </c>
      <c r="R11" s="40">
        <f>MIN($A11:Q11)-1</f>
        <v>-10</v>
      </c>
      <c r="S11" s="40"/>
      <c r="T11" s="40">
        <f>MIN($A11:S11)-1</f>
        <v>-11</v>
      </c>
      <c r="U11" s="40">
        <f>MIN($A11:T11)-1</f>
        <v>-12</v>
      </c>
      <c r="V11" s="40">
        <f>MIN($A11:U11)-1</f>
        <v>-13</v>
      </c>
    </row>
    <row r="12" spans="1:29" s="25" customFormat="1">
      <c r="I12" s="46"/>
      <c r="K12" s="32"/>
      <c r="L12" s="32"/>
      <c r="M12" s="32"/>
      <c r="N12" s="17" t="str">
        <f>CONCATENATE("(",-M11,")-(",-K11,")")</f>
        <v>(6)-(5)</v>
      </c>
      <c r="O12" s="47" t="str">
        <f>CONCATENATE("(",-N11,")/(",-K11,")")</f>
        <v>(7)/(5)</v>
      </c>
      <c r="P12" s="32"/>
      <c r="Q12" s="17"/>
      <c r="R12" s="47" t="str">
        <f>"(" &amp; -Q11 &amp; ")/(" &amp; -M11 &amp; ")"</f>
        <v>(9)/(6)</v>
      </c>
      <c r="S12" s="32"/>
      <c r="T12" s="17"/>
      <c r="U12" s="47" t="str">
        <f>"(" &amp; -T11 &amp; ")/(" &amp; -M11 &amp; ")"</f>
        <v>(11)/(6)</v>
      </c>
      <c r="V12" s="47"/>
    </row>
    <row r="13" spans="1:29" s="25" customFormat="1">
      <c r="A13" s="6"/>
      <c r="B13" s="6"/>
      <c r="C13" s="25" t="s">
        <v>33</v>
      </c>
      <c r="D13" s="6"/>
      <c r="E13" s="6"/>
      <c r="F13" s="6"/>
      <c r="G13" s="6"/>
      <c r="H13" s="6"/>
      <c r="I13" s="16"/>
      <c r="J13" s="6"/>
      <c r="K13" s="50"/>
      <c r="L13" s="50"/>
      <c r="M13" s="50"/>
      <c r="N13" s="50"/>
      <c r="O13" s="6"/>
      <c r="P13" s="50"/>
      <c r="Q13" s="50"/>
      <c r="R13" s="6"/>
      <c r="S13" s="50"/>
      <c r="T13" s="50"/>
      <c r="U13" s="6"/>
      <c r="V13" s="6"/>
    </row>
    <row r="14" spans="1:29">
      <c r="A14" s="6">
        <v>1</v>
      </c>
      <c r="C14" s="6" t="s">
        <v>33</v>
      </c>
      <c r="E14" s="55" t="s">
        <v>34</v>
      </c>
      <c r="G14" s="56">
        <f>ROUND(('Exhibit C(Rate Design)'!D10+'Exhibit C(Rate Design)'!D29+'Exhibit C(Rate Design)'!D84)/12,0)</f>
        <v>955431</v>
      </c>
      <c r="I14" s="56">
        <f>('Exhibit C(Rate Design)'!D26+'Exhibit C(Rate Design)'!D47+'Exhibit C(Rate Design)'!D101)/1000</f>
        <v>8246234.6115655489</v>
      </c>
      <c r="K14" s="57">
        <f>('Exhibit C(Rate Design)'!I26+'Exhibit C(Rate Design)'!I47+'Exhibit C(Rate Design)'!I101)/1000</f>
        <v>903796.52599999995</v>
      </c>
      <c r="M14" s="57">
        <f>K14+N14</f>
        <v>946582.50433043076</v>
      </c>
      <c r="N14" s="57">
        <f>$K14*O14</f>
        <v>42785.978330430851</v>
      </c>
      <c r="O14" s="58">
        <f>M$57</f>
        <v>4.7340277484570523E-2</v>
      </c>
      <c r="Q14" s="57">
        <f>$M14*R14</f>
        <v>0</v>
      </c>
      <c r="R14" s="96">
        <f>Q$55</f>
        <v>0</v>
      </c>
      <c r="T14" s="57">
        <f>M14/(M14+M15)*T17</f>
        <v>3156.6412076607076</v>
      </c>
      <c r="U14" s="96">
        <f>T14/M14</f>
        <v>3.3347766235058097E-3</v>
      </c>
      <c r="V14" s="58"/>
      <c r="X14" s="97">
        <f>N14/K14-O14</f>
        <v>0</v>
      </c>
      <c r="Y14" s="97">
        <f>Q14/M14-R14</f>
        <v>0</v>
      </c>
      <c r="Z14" s="97">
        <f>T14/M14-U14</f>
        <v>0</v>
      </c>
      <c r="AA14" s="98">
        <f>M14-'Exhibit A(Rate Impact)'!M14</f>
        <v>-2.807669569272548</v>
      </c>
      <c r="AB14" s="96">
        <v>3.3452182882705546E-3</v>
      </c>
      <c r="AC14" s="96">
        <f>U14-AB14</f>
        <v>-1.044166476474491E-5</v>
      </c>
    </row>
    <row r="15" spans="1:29">
      <c r="A15" s="6">
        <f>MAX(A$13:A14)+1</f>
        <v>2</v>
      </c>
      <c r="C15" s="6" t="s">
        <v>35</v>
      </c>
      <c r="E15" s="62" t="s">
        <v>36</v>
      </c>
      <c r="G15" s="56">
        <f>ROUND(('Exhibit C(Rate Design)'!D50+'Exhibit C(Rate Design)'!D69)/12,0)</f>
        <v>1029</v>
      </c>
      <c r="I15" s="56">
        <f>('Exhibit C(Rate Design)'!D66+'Exhibit C(Rate Design)'!D81)/1000</f>
        <v>13246.398031460629</v>
      </c>
      <c r="K15" s="57">
        <f>('Exhibit C(Rate Design)'!I66+'Exhibit C(Rate Design)'!I81)/1000</f>
        <v>1271.4949999999999</v>
      </c>
      <c r="M15" s="57">
        <f>K15+N15</f>
        <v>1331.6879261202439</v>
      </c>
      <c r="N15" s="57">
        <f>$K15*O15</f>
        <v>60.192926120243989</v>
      </c>
      <c r="O15" s="58">
        <f>M$57</f>
        <v>4.7340277484570523E-2</v>
      </c>
      <c r="Q15" s="57">
        <f>$M15*R15</f>
        <v>0</v>
      </c>
      <c r="R15" s="96">
        <f>Q$55</f>
        <v>0</v>
      </c>
      <c r="T15" s="57">
        <f>T17-T14</f>
        <v>4.4408817658304542</v>
      </c>
      <c r="U15" s="96">
        <f>T15/M15</f>
        <v>3.3347766235056094E-3</v>
      </c>
      <c r="V15" s="58"/>
      <c r="X15" s="97">
        <f>N15/K15-O15</f>
        <v>0</v>
      </c>
      <c r="Y15" s="97">
        <f>Q15/M15-R15</f>
        <v>0</v>
      </c>
      <c r="Z15" s="97">
        <f>T15/M15-U15</f>
        <v>0</v>
      </c>
      <c r="AA15" s="98">
        <f>M15-'Exhibit A(Rate Impact)'!M15</f>
        <v>4.697926120243892</v>
      </c>
      <c r="AB15" s="96">
        <v>3.3452182882703534E-3</v>
      </c>
      <c r="AC15" s="96">
        <f t="shared" ref="AC15:AC49" si="0">U15-AB15</f>
        <v>-1.0441664764744042E-5</v>
      </c>
    </row>
    <row r="16" spans="1:29">
      <c r="A16" s="6">
        <f>MAX(A$13:A15)+1</f>
        <v>3</v>
      </c>
      <c r="C16" s="64" t="s">
        <v>37</v>
      </c>
      <c r="E16" s="65"/>
      <c r="G16" s="65"/>
      <c r="I16" s="65"/>
      <c r="K16" s="66">
        <f>'Exhibit C(Rate Design)'!I1313/1000</f>
        <v>37.136720000000011</v>
      </c>
      <c r="M16" s="66">
        <f>K16+N16</f>
        <v>37.136720000000011</v>
      </c>
      <c r="N16" s="66">
        <f>$K16*O16</f>
        <v>0</v>
      </c>
      <c r="O16" s="67">
        <v>0</v>
      </c>
      <c r="Q16" s="66">
        <f>$M16*R16</f>
        <v>0</v>
      </c>
      <c r="R16" s="99">
        <v>0</v>
      </c>
      <c r="T16" s="66"/>
      <c r="U16" s="99"/>
      <c r="V16" s="67"/>
      <c r="X16" s="97">
        <f>N16/K16-O16</f>
        <v>0</v>
      </c>
      <c r="Y16" s="97">
        <f>Q16/M16-R16</f>
        <v>0</v>
      </c>
      <c r="Z16" s="97">
        <f>T16/M16-U16</f>
        <v>0</v>
      </c>
      <c r="AA16" s="98">
        <f>M16-'Exhibit A(Rate Impact)'!M16</f>
        <v>0</v>
      </c>
      <c r="AB16" s="99"/>
      <c r="AC16" s="99">
        <f t="shared" si="0"/>
        <v>0</v>
      </c>
    </row>
    <row r="17" spans="1:29">
      <c r="A17" s="6">
        <f>MAX(A$13:A16)+1</f>
        <v>4</v>
      </c>
      <c r="C17" s="25" t="s">
        <v>38</v>
      </c>
      <c r="G17" s="56">
        <f>SUM(G14:G16)</f>
        <v>956460</v>
      </c>
      <c r="I17" s="56">
        <f>SUM(I14:I16)</f>
        <v>8259481.00959701</v>
      </c>
      <c r="K17" s="57">
        <f>SUM(K14:K16)</f>
        <v>905105.1577199999</v>
      </c>
      <c r="M17" s="57">
        <f>SUM(M14:M16)</f>
        <v>947951.32897655095</v>
      </c>
      <c r="N17" s="57">
        <f>SUM(N14:N16)</f>
        <v>42846.171256551097</v>
      </c>
      <c r="O17" s="58">
        <f>N17/$K17</f>
        <v>4.73383350996281E-2</v>
      </c>
      <c r="Q17" s="57">
        <f>SUM(Q14:Q16)</f>
        <v>0</v>
      </c>
      <c r="R17" s="96">
        <f>Q17/$M17</f>
        <v>0</v>
      </c>
      <c r="T17" s="57">
        <f>$V17*T$54*T$56</f>
        <v>3161.082089426538</v>
      </c>
      <c r="U17" s="96">
        <f>T17/M17</f>
        <v>3.334645981075187E-3</v>
      </c>
      <c r="V17" s="58">
        <v>0.5050543499661041</v>
      </c>
      <c r="X17" s="97">
        <f>N17/K17-O17</f>
        <v>0</v>
      </c>
      <c r="Y17" s="97">
        <f>Q17/M17-R17</f>
        <v>0</v>
      </c>
      <c r="Z17" s="97">
        <f>T17/M17-U17</f>
        <v>0</v>
      </c>
      <c r="AA17" s="98">
        <f>M17-'Exhibit A(Rate Impact)'!M17</f>
        <v>1.8902565509779379</v>
      </c>
      <c r="AB17" s="96">
        <v>3.345086826454788E-3</v>
      </c>
      <c r="AC17" s="96">
        <f t="shared" si="0"/>
        <v>-1.0440845379600973E-5</v>
      </c>
    </row>
    <row r="18" spans="1:29">
      <c r="C18" s="25" t="s">
        <v>39</v>
      </c>
      <c r="G18" s="56"/>
      <c r="I18" s="56"/>
      <c r="K18" s="57"/>
      <c r="M18" s="57"/>
      <c r="N18" s="57"/>
      <c r="Q18" s="57"/>
      <c r="R18" s="96"/>
      <c r="T18" s="57"/>
      <c r="U18" s="96"/>
      <c r="X18" s="97"/>
      <c r="Y18" s="97"/>
      <c r="Z18" s="97"/>
      <c r="AB18" s="96"/>
      <c r="AC18" s="96">
        <f t="shared" si="0"/>
        <v>0</v>
      </c>
    </row>
    <row r="19" spans="1:29">
      <c r="A19" s="6">
        <f>MAX(A$13:A18)+1</f>
        <v>5</v>
      </c>
      <c r="C19" s="6" t="s">
        <v>40</v>
      </c>
      <c r="E19" s="55">
        <v>6</v>
      </c>
      <c r="G19" s="56">
        <f>ROUND(('Exhibit C(Rate Design)'!D111+'Exhibit C(Rate Design)'!D167)/12,0)</f>
        <v>14281</v>
      </c>
      <c r="I19" s="56">
        <f>('Exhibit C(Rate Design)'!D122+'Exhibit C(Rate Design)'!D178)/1000</f>
        <v>6403525.7686540503</v>
      </c>
      <c r="K19" s="57">
        <f>('Exhibit C(Rate Design)'!I122+'Exhibit C(Rate Design)'!I178)/1000</f>
        <v>534791.63699999999</v>
      </c>
      <c r="M19" s="57">
        <f>K19+N19</f>
        <v>549380.03008691431</v>
      </c>
      <c r="N19" s="57">
        <f>$K19*O19</f>
        <v>14588.393086914348</v>
      </c>
      <c r="O19" s="58">
        <f>M$58</f>
        <v>2.7278648500844729E-2</v>
      </c>
      <c r="Q19" s="57">
        <f>$M19*R19</f>
        <v>0</v>
      </c>
      <c r="R19" s="96">
        <f>Q$55</f>
        <v>0</v>
      </c>
      <c r="T19" s="57">
        <f>M19/(M19+M20)*T21</f>
        <v>1289.2439898729961</v>
      </c>
      <c r="U19" s="96">
        <f t="shared" ref="U19:U33" si="1">T19/M19</f>
        <v>2.3467252525888722E-3</v>
      </c>
      <c r="V19" s="58"/>
      <c r="X19" s="97">
        <f t="shared" ref="X19:X38" si="2">N19/K19-O19</f>
        <v>0</v>
      </c>
      <c r="Y19" s="97">
        <f t="shared" ref="Y19:Y38" si="3">Q19/M19-R19</f>
        <v>0</v>
      </c>
      <c r="Z19" s="97">
        <f t="shared" ref="Z19:Z38" si="4">T19/M19-U19</f>
        <v>0</v>
      </c>
      <c r="AA19" s="98">
        <f>M19-'Exhibit A(Rate Impact)'!M19</f>
        <v>0.72008691425435245</v>
      </c>
      <c r="AB19" s="96">
        <v>2.3535086183529416E-3</v>
      </c>
      <c r="AC19" s="96">
        <f t="shared" si="0"/>
        <v>-6.7833657640694288E-6</v>
      </c>
    </row>
    <row r="20" spans="1:29">
      <c r="A20" s="6">
        <f>MAX(A$13:A19)+1</f>
        <v>6</v>
      </c>
      <c r="C20" s="6" t="s">
        <v>41</v>
      </c>
      <c r="E20" s="62" t="s">
        <v>42</v>
      </c>
      <c r="G20" s="72">
        <f>ROUND(('Exhibit C(Rate Design)'!D223+'Exhibit C(Rate Design)'!D307)/12,0)</f>
        <v>2827</v>
      </c>
      <c r="I20" s="72">
        <f>('Exhibit C(Rate Design)'!D241+'Exhibit C(Rate Design)'!D325)/1000</f>
        <v>380064.31338959344</v>
      </c>
      <c r="K20" s="66">
        <f>('Exhibit C(Rate Design)'!I241+'Exhibit C(Rate Design)'!I325)/1000</f>
        <v>43017.667000000001</v>
      </c>
      <c r="M20" s="66">
        <f>K20+N20</f>
        <v>44191.130817419391</v>
      </c>
      <c r="N20" s="66">
        <f>$K20*O20</f>
        <v>1173.4638174193879</v>
      </c>
      <c r="O20" s="67">
        <f>M$58</f>
        <v>2.7278648500844729E-2</v>
      </c>
      <c r="Q20" s="66">
        <f>$M20*R20</f>
        <v>0</v>
      </c>
      <c r="R20" s="99">
        <f>Q$55</f>
        <v>0</v>
      </c>
      <c r="T20" s="66">
        <f>T21-T19</f>
        <v>103.70444262969636</v>
      </c>
      <c r="U20" s="99">
        <f t="shared" si="1"/>
        <v>2.3467252525888709E-3</v>
      </c>
      <c r="V20" s="67"/>
      <c r="X20" s="97">
        <f t="shared" si="2"/>
        <v>0</v>
      </c>
      <c r="Y20" s="97">
        <f t="shared" si="3"/>
        <v>0</v>
      </c>
      <c r="Z20" s="97">
        <f t="shared" si="4"/>
        <v>0</v>
      </c>
      <c r="AA20" s="98">
        <f>M20-'Exhibit A(Rate Impact)'!M20</f>
        <v>-3.7182580606895499E-2</v>
      </c>
      <c r="AB20" s="99">
        <v>2.3535086183529407E-3</v>
      </c>
      <c r="AC20" s="99">
        <f t="shared" si="0"/>
        <v>-6.7833657640698625E-6</v>
      </c>
    </row>
    <row r="21" spans="1:29">
      <c r="A21" s="6">
        <f>MAX(A$13:A20)+1</f>
        <v>7</v>
      </c>
      <c r="B21" s="73"/>
      <c r="C21" s="73" t="s">
        <v>43</v>
      </c>
      <c r="D21" s="73"/>
      <c r="E21" s="73"/>
      <c r="F21" s="73"/>
      <c r="G21" s="74">
        <f>SUM(G19:G20)</f>
        <v>17108</v>
      </c>
      <c r="H21" s="73"/>
      <c r="I21" s="74">
        <f>SUM(I19:I20)</f>
        <v>6783590.082043644</v>
      </c>
      <c r="J21" s="73"/>
      <c r="K21" s="75">
        <f>SUM(K19:K20)</f>
        <v>577809.304</v>
      </c>
      <c r="L21" s="76"/>
      <c r="M21" s="75">
        <f>SUM(M19:M20)</f>
        <v>593571.16090433369</v>
      </c>
      <c r="N21" s="75">
        <f>SUM(N19:N20)</f>
        <v>15761.856904333736</v>
      </c>
      <c r="O21" s="77">
        <f>N21/$K21</f>
        <v>2.7278648500844729E-2</v>
      </c>
      <c r="P21" s="76"/>
      <c r="Q21" s="75">
        <f>SUM(Q19:Q20)</f>
        <v>0</v>
      </c>
      <c r="R21" s="100">
        <f>Q21/$M21</f>
        <v>0</v>
      </c>
      <c r="S21" s="76"/>
      <c r="T21" s="75">
        <f>$V21*T$54*T$56</f>
        <v>1392.9484325026924</v>
      </c>
      <c r="U21" s="100">
        <f t="shared" si="1"/>
        <v>2.3467252525888717E-3</v>
      </c>
      <c r="V21" s="77">
        <v>0.22255501287585283</v>
      </c>
      <c r="X21" s="97">
        <f t="shared" si="2"/>
        <v>0</v>
      </c>
      <c r="Y21" s="97">
        <f t="shared" si="3"/>
        <v>0</v>
      </c>
      <c r="Z21" s="97">
        <f t="shared" si="4"/>
        <v>0</v>
      </c>
      <c r="AA21" s="98">
        <f>M21-'Exhibit A(Rate Impact)'!M21</f>
        <v>0.6829043336911127</v>
      </c>
      <c r="AB21" s="100">
        <v>2.3535086183529416E-3</v>
      </c>
      <c r="AC21" s="100">
        <f t="shared" si="0"/>
        <v>-6.7833657640698625E-6</v>
      </c>
    </row>
    <row r="22" spans="1:29" s="73" customFormat="1">
      <c r="A22" s="6">
        <f>MAX(A$13:A21)+1</f>
        <v>8</v>
      </c>
      <c r="B22" s="6"/>
      <c r="C22" s="6" t="s">
        <v>44</v>
      </c>
      <c r="D22" s="6"/>
      <c r="E22" s="6">
        <v>8</v>
      </c>
      <c r="F22" s="56"/>
      <c r="G22" s="56">
        <f>ROUND(('Exhibit C(Rate Design)'!D427+'Exhibit C(Rate Design)'!D483)/12,0)</f>
        <v>223</v>
      </c>
      <c r="H22" s="56"/>
      <c r="I22" s="56">
        <f>('Exhibit C(Rate Design)'!D438+'Exhibit C(Rate Design)'!D494)/1000</f>
        <v>2393014.31817408</v>
      </c>
      <c r="J22" s="56"/>
      <c r="K22" s="57">
        <f>('Exhibit C(Rate Design)'!I438+'Exhibit C(Rate Design)'!I494)/1000</f>
        <v>174469.02100000001</v>
      </c>
      <c r="L22" s="79"/>
      <c r="M22" s="57">
        <f>K22+N22</f>
        <v>180100.64520314551</v>
      </c>
      <c r="N22" s="57">
        <f>$K22*O22</f>
        <v>5631.6242031454985</v>
      </c>
      <c r="O22" s="58">
        <f>M59</f>
        <v>3.2278648500844734E-2</v>
      </c>
      <c r="P22" s="79"/>
      <c r="Q22" s="57">
        <f>$M22*R22</f>
        <v>0</v>
      </c>
      <c r="R22" s="96">
        <f>Q$55</f>
        <v>0</v>
      </c>
      <c r="S22" s="79"/>
      <c r="T22" s="57">
        <f>$V22*T$54*T$56</f>
        <v>367.30743899685029</v>
      </c>
      <c r="U22" s="96">
        <f t="shared" si="1"/>
        <v>2.0394565415495533E-3</v>
      </c>
      <c r="V22" s="58">
        <v>5.8685669840963434E-2</v>
      </c>
      <c r="X22" s="97">
        <f t="shared" si="2"/>
        <v>0</v>
      </c>
      <c r="Y22" s="97">
        <f t="shared" si="3"/>
        <v>0</v>
      </c>
      <c r="Z22" s="97">
        <f t="shared" si="4"/>
        <v>0</v>
      </c>
      <c r="AA22" s="98">
        <f>M22-'Exhibit A(Rate Impact)'!M22</f>
        <v>0.35720314551144838</v>
      </c>
      <c r="AB22" s="96">
        <v>2.0453230902530155E-3</v>
      </c>
      <c r="AC22" s="96">
        <f t="shared" si="0"/>
        <v>-5.8665487034622113E-6</v>
      </c>
    </row>
    <row r="23" spans="1:29" ht="22.15" customHeight="1">
      <c r="A23" s="6">
        <f>MAX(A$13:A22)+1</f>
        <v>9</v>
      </c>
      <c r="C23" s="6" t="s">
        <v>45</v>
      </c>
      <c r="E23" s="6">
        <v>9</v>
      </c>
      <c r="G23" s="56">
        <f>ROUND(('Exhibit C(Rate Design)'!D497)/12,0)</f>
        <v>164</v>
      </c>
      <c r="I23" s="56">
        <f>('Exhibit C(Rate Design)'!D508)/1000</f>
        <v>5060524.3736956455</v>
      </c>
      <c r="K23" s="57">
        <f>('Exhibit C(Rate Design)'!I508)/1000</f>
        <v>281744.34100000001</v>
      </c>
      <c r="M23" s="57">
        <f>K23+N23</f>
        <v>295082.19628264749</v>
      </c>
      <c r="N23" s="57">
        <f>$K23*O23</f>
        <v>13337.855282647461</v>
      </c>
      <c r="O23" s="58">
        <f>M$60</f>
        <v>4.7340277484570523E-2</v>
      </c>
      <c r="Q23" s="57">
        <f>$M23*R23</f>
        <v>0</v>
      </c>
      <c r="R23" s="96">
        <f>Q$55</f>
        <v>0</v>
      </c>
      <c r="T23" s="57">
        <f>M23/M$26*T$26</f>
        <v>525.05648136472723</v>
      </c>
      <c r="U23" s="96">
        <f t="shared" si="1"/>
        <v>1.7793566944370868E-3</v>
      </c>
      <c r="V23" s="58"/>
      <c r="X23" s="97">
        <f t="shared" si="2"/>
        <v>0</v>
      </c>
      <c r="Y23" s="97">
        <f t="shared" si="3"/>
        <v>0</v>
      </c>
      <c r="Z23" s="97">
        <f t="shared" si="4"/>
        <v>0</v>
      </c>
      <c r="AA23" s="98">
        <f>M23-'Exhibit A(Rate Impact)'!M23</f>
        <v>1452.3112826474826</v>
      </c>
      <c r="AB23" s="96">
        <v>1.7849281159137927E-3</v>
      </c>
      <c r="AC23" s="96">
        <f t="shared" si="0"/>
        <v>-5.5714214767059716E-6</v>
      </c>
    </row>
    <row r="24" spans="1:29" ht="22.15" customHeight="1">
      <c r="A24" s="6">
        <f>MAX(A$13:A23)+1</f>
        <v>10</v>
      </c>
      <c r="C24" s="6" t="s">
        <v>46</v>
      </c>
      <c r="E24" s="62" t="s">
        <v>47</v>
      </c>
      <c r="G24" s="56">
        <f>ROUND(('Exhibit C(Rate Design)'!D1272)/12,0)</f>
        <v>1</v>
      </c>
      <c r="I24" s="56">
        <f>('Exhibit C(Rate Design)'!D1280)/1000</f>
        <v>324160</v>
      </c>
      <c r="K24" s="57">
        <f>('Exhibit C(Rate Design)'!I1280)/1000</f>
        <v>16067.134</v>
      </c>
      <c r="M24" s="57">
        <f>K24+N24</f>
        <v>16827.756581941776</v>
      </c>
      <c r="N24" s="57">
        <f>$K24*O24</f>
        <v>760.62258194177753</v>
      </c>
      <c r="O24" s="58">
        <f>M$60</f>
        <v>4.7340277484570523E-2</v>
      </c>
      <c r="Q24" s="57">
        <f>$M24*R24</f>
        <v>0</v>
      </c>
      <c r="R24" s="96">
        <f>Q$55</f>
        <v>0</v>
      </c>
      <c r="T24" s="57">
        <f>M24/M$26*T$26</f>
        <v>29.94258132643585</v>
      </c>
      <c r="U24" s="96">
        <f t="shared" si="1"/>
        <v>1.7793566944370868E-3</v>
      </c>
      <c r="V24" s="58"/>
      <c r="X24" s="97">
        <f t="shared" si="2"/>
        <v>0</v>
      </c>
      <c r="Y24" s="97">
        <f t="shared" si="3"/>
        <v>0</v>
      </c>
      <c r="Z24" s="97">
        <f t="shared" si="4"/>
        <v>0</v>
      </c>
      <c r="AA24" s="98">
        <f>M24-'Exhibit A(Rate Impact)'!M24</f>
        <v>-1890.2274180582244</v>
      </c>
      <c r="AB24" s="96">
        <v>1.7849281159137927E-3</v>
      </c>
      <c r="AC24" s="96">
        <f t="shared" si="0"/>
        <v>-5.5714214767059716E-6</v>
      </c>
    </row>
    <row r="25" spans="1:29" ht="22.15" customHeight="1">
      <c r="A25" s="6">
        <f>MAX(A$13:A24)+1</f>
        <v>11</v>
      </c>
      <c r="C25" s="6" t="s">
        <v>48</v>
      </c>
      <c r="E25" s="62" t="s">
        <v>49</v>
      </c>
      <c r="G25" s="72">
        <f>ROUND(('Exhibit C(Rate Design)'!D539)/12,0)</f>
        <v>8</v>
      </c>
      <c r="I25" s="72">
        <f>('Exhibit C(Rate Design)'!D549)/1000</f>
        <v>45448.731500000002</v>
      </c>
      <c r="K25" s="66">
        <f>('Exhibit C(Rate Design)'!I549)/1000</f>
        <v>2817.835</v>
      </c>
      <c r="M25" s="66">
        <f>K25+N25</f>
        <v>2951.232090805735</v>
      </c>
      <c r="N25" s="66">
        <f>$K25*O25</f>
        <v>133.39709080573479</v>
      </c>
      <c r="O25" s="67">
        <f>M$60</f>
        <v>4.7340277484570523E-2</v>
      </c>
      <c r="Q25" s="66">
        <f>$M25*R25</f>
        <v>0</v>
      </c>
      <c r="R25" s="99">
        <f>Q$55</f>
        <v>0</v>
      </c>
      <c r="T25" s="66">
        <f>T26-T23-T24</f>
        <v>5.2512945776127324</v>
      </c>
      <c r="U25" s="99">
        <f t="shared" si="1"/>
        <v>1.7793566944370827E-3</v>
      </c>
      <c r="V25" s="67"/>
      <c r="X25" s="97">
        <f t="shared" si="2"/>
        <v>0</v>
      </c>
      <c r="Y25" s="97">
        <f t="shared" si="3"/>
        <v>0</v>
      </c>
      <c r="Z25" s="97">
        <f t="shared" si="4"/>
        <v>0</v>
      </c>
      <c r="AA25" s="98">
        <f>M25-'Exhibit A(Rate Impact)'!M25</f>
        <v>-496.42190919426503</v>
      </c>
      <c r="AB25" s="99">
        <v>1.784928115913786E-3</v>
      </c>
      <c r="AC25" s="99">
        <f t="shared" si="0"/>
        <v>-5.5714214767033695E-6</v>
      </c>
    </row>
    <row r="26" spans="1:29">
      <c r="A26" s="6">
        <f>MAX(A$13:A25)+1</f>
        <v>12</v>
      </c>
      <c r="C26" s="73" t="s">
        <v>50</v>
      </c>
      <c r="D26" s="73"/>
      <c r="E26" s="73"/>
      <c r="F26" s="73"/>
      <c r="G26" s="74">
        <f>SUM(G23:G25)</f>
        <v>173</v>
      </c>
      <c r="H26" s="73"/>
      <c r="I26" s="74">
        <f>SUM(I23:I25)</f>
        <v>5430133.1051956452</v>
      </c>
      <c r="J26" s="73"/>
      <c r="K26" s="75">
        <f>SUM(K23:K25)</f>
        <v>300629.31000000006</v>
      </c>
      <c r="L26" s="76"/>
      <c r="M26" s="75">
        <f>SUM(M23:M25)</f>
        <v>314861.184955395</v>
      </c>
      <c r="N26" s="75">
        <f>SUM(N23:N25)</f>
        <v>14231.874955394973</v>
      </c>
      <c r="O26" s="77">
        <f>N26/$K26</f>
        <v>4.7340277484570516E-2</v>
      </c>
      <c r="P26" s="76"/>
      <c r="Q26" s="75">
        <f>SUM(Q23:Q25)</f>
        <v>0</v>
      </c>
      <c r="R26" s="100">
        <f>Q26/$M26</f>
        <v>0</v>
      </c>
      <c r="S26" s="76"/>
      <c r="T26" s="75">
        <f>$V26*T$54*T$56</f>
        <v>560.25035726877582</v>
      </c>
      <c r="U26" s="100">
        <f t="shared" si="1"/>
        <v>1.7793566944370868E-3</v>
      </c>
      <c r="V26" s="77">
        <v>8.9512664335772194E-2</v>
      </c>
      <c r="X26" s="97">
        <f t="shared" si="2"/>
        <v>0</v>
      </c>
      <c r="Y26" s="97">
        <f t="shared" si="3"/>
        <v>0</v>
      </c>
      <c r="Z26" s="97">
        <f t="shared" si="4"/>
        <v>0</v>
      </c>
      <c r="AA26" s="98">
        <f>M26-'Exhibit A(Rate Impact)'!M26</f>
        <v>-934.33804460498504</v>
      </c>
      <c r="AB26" s="100">
        <v>1.7849281159137927E-3</v>
      </c>
      <c r="AC26" s="100">
        <f t="shared" si="0"/>
        <v>-5.5714214767059716E-6</v>
      </c>
    </row>
    <row r="27" spans="1:29">
      <c r="A27" s="6">
        <f>MAX(A$13:A26)+1</f>
        <v>13</v>
      </c>
      <c r="C27" s="6" t="s">
        <v>51</v>
      </c>
      <c r="E27" s="62">
        <v>10</v>
      </c>
      <c r="G27" s="56">
        <f>ROUND('Exhibit C(Rate Design)'!D578+'Exhibit C(Rate Design)'!D579+'Exhibit C(Rate Design)'!D600+'Exhibit C(Rate Design)'!D601,0)</f>
        <v>3540</v>
      </c>
      <c r="I27" s="56">
        <f>('Exhibit C(Rate Design)'!D597+'Exhibit C(Rate Design)'!D619)/1000</f>
        <v>242214.34810360699</v>
      </c>
      <c r="K27" s="57">
        <f>('Exhibit C(Rate Design)'!I597+'Exhibit C(Rate Design)'!I619)/1000</f>
        <v>19068.064999999999</v>
      </c>
      <c r="M27" s="57">
        <f t="shared" ref="M27:M32" si="5">K27+N27</f>
        <v>19702.624432726258</v>
      </c>
      <c r="N27" s="57">
        <f t="shared" ref="N27:N32" si="6">$K27*O27</f>
        <v>634.55943272625996</v>
      </c>
      <c r="O27" s="58">
        <f>M61</f>
        <v>3.3278648500844735E-2</v>
      </c>
      <c r="Q27" s="57">
        <f t="shared" ref="Q27:Q32" si="7">$M27*R27</f>
        <v>0</v>
      </c>
      <c r="R27" s="96">
        <f t="shared" ref="R27:R32" si="8">Q$55</f>
        <v>0</v>
      </c>
      <c r="T27" s="57">
        <f>$V27*T$54*T$56</f>
        <v>56.918960206252237</v>
      </c>
      <c r="U27" s="96">
        <f t="shared" si="1"/>
        <v>2.888902460715298E-3</v>
      </c>
      <c r="V27" s="58">
        <v>9.0940910847811564E-3</v>
      </c>
      <c r="X27" s="97">
        <f t="shared" si="2"/>
        <v>0</v>
      </c>
      <c r="Y27" s="97">
        <f t="shared" si="3"/>
        <v>0</v>
      </c>
      <c r="Z27" s="97">
        <f t="shared" si="4"/>
        <v>0</v>
      </c>
      <c r="AA27" s="98">
        <f>M27-'Exhibit A(Rate Impact)'!M27</f>
        <v>1.6432726257335162E-2</v>
      </c>
      <c r="AB27" s="96">
        <v>2.8972043967734162E-3</v>
      </c>
      <c r="AC27" s="96">
        <f t="shared" si="0"/>
        <v>-8.3019360581182249E-6</v>
      </c>
    </row>
    <row r="28" spans="1:29" ht="22.15" customHeight="1">
      <c r="A28" s="6">
        <f>MAX(A$13:A27)+1</f>
        <v>14</v>
      </c>
      <c r="C28" s="6" t="s">
        <v>52</v>
      </c>
      <c r="E28" s="55">
        <v>23</v>
      </c>
      <c r="G28" s="56">
        <f>ROUND(('Exhibit C(Rate Design)'!D792+'Exhibit C(Rate Design)'!D856)/12,0)</f>
        <v>102995</v>
      </c>
      <c r="I28" s="56">
        <f>('Exhibit C(Rate Design)'!D805+'Exhibit C(Rate Design)'!D869)/1000</f>
        <v>1823052.4187130935</v>
      </c>
      <c r="K28" s="57">
        <f>('Exhibit C(Rate Design)'!I805+'Exhibit C(Rate Design)'!I869)/1000</f>
        <v>175902.86</v>
      </c>
      <c r="M28" s="57">
        <f t="shared" si="5"/>
        <v>181756.6694482333</v>
      </c>
      <c r="N28" s="57">
        <f t="shared" si="6"/>
        <v>5853.8094482333008</v>
      </c>
      <c r="O28" s="58">
        <f>M62</f>
        <v>3.3278648500844735E-2</v>
      </c>
      <c r="Q28" s="57">
        <f t="shared" si="7"/>
        <v>0</v>
      </c>
      <c r="R28" s="96">
        <f t="shared" si="8"/>
        <v>0</v>
      </c>
      <c r="T28" s="57">
        <f>$V28*T$54*T$56</f>
        <v>620.8988789560334</v>
      </c>
      <c r="U28" s="96">
        <f t="shared" si="1"/>
        <v>3.4160995623485147E-3</v>
      </c>
      <c r="V28" s="58">
        <v>9.9202637209181474E-2</v>
      </c>
      <c r="X28" s="97">
        <f t="shared" si="2"/>
        <v>0</v>
      </c>
      <c r="Y28" s="97">
        <f t="shared" si="3"/>
        <v>0</v>
      </c>
      <c r="Z28" s="97">
        <f t="shared" si="4"/>
        <v>0</v>
      </c>
      <c r="AA28" s="98">
        <f>M28-'Exhibit A(Rate Impact)'!M28</f>
        <v>0.51544823328731582</v>
      </c>
      <c r="AB28" s="96">
        <v>3.4259165224295282E-3</v>
      </c>
      <c r="AC28" s="96">
        <f t="shared" si="0"/>
        <v>-9.8169600810135531E-6</v>
      </c>
    </row>
    <row r="29" spans="1:29">
      <c r="A29" s="6">
        <f>MAX(A$13:A28)+1</f>
        <v>15</v>
      </c>
      <c r="C29" s="6" t="s">
        <v>53</v>
      </c>
      <c r="E29" s="6">
        <v>31</v>
      </c>
      <c r="G29" s="56">
        <f>ROUND(('Exhibit C(Rate Design)'!D921+'Exhibit C(Rate Design)'!D935+'Exhibit C(Rate Design)'!D949)/12,0)</f>
        <v>7</v>
      </c>
      <c r="I29" s="56">
        <f>('Exhibit C(Rate Design)'!D983)/1000</f>
        <v>319328.38347723125</v>
      </c>
      <c r="K29" s="57">
        <f>('Exhibit C(Rate Design)'!I983)/1000</f>
        <v>18496.418000000001</v>
      </c>
      <c r="M29" s="57">
        <f t="shared" si="5"/>
        <v>19372.043560590606</v>
      </c>
      <c r="N29" s="57">
        <f t="shared" si="6"/>
        <v>875.62556059060501</v>
      </c>
      <c r="O29" s="58">
        <f>M$60</f>
        <v>4.7340277484570523E-2</v>
      </c>
      <c r="Q29" s="57">
        <f t="shared" si="7"/>
        <v>0</v>
      </c>
      <c r="R29" s="96">
        <f t="shared" si="8"/>
        <v>0</v>
      </c>
      <c r="T29" s="57">
        <f>M29*U$23</f>
        <v>34.469775394463753</v>
      </c>
      <c r="U29" s="96">
        <f t="shared" si="1"/>
        <v>1.7793566944370868E-3</v>
      </c>
      <c r="V29" s="58"/>
      <c r="X29" s="97">
        <f t="shared" si="2"/>
        <v>0</v>
      </c>
      <c r="Y29" s="97">
        <f t="shared" si="3"/>
        <v>0</v>
      </c>
      <c r="Z29" s="97">
        <f t="shared" si="4"/>
        <v>0</v>
      </c>
      <c r="AA29" s="98">
        <f>M29-'Exhibit A(Rate Impact)'!M29</f>
        <v>336.54056059060531</v>
      </c>
      <c r="AB29" s="96">
        <v>1.7849281159137927E-3</v>
      </c>
      <c r="AC29" s="96">
        <f t="shared" si="0"/>
        <v>-5.5714214767059716E-6</v>
      </c>
    </row>
    <row r="30" spans="1:29">
      <c r="A30" s="6">
        <f>MAX(A$13:A29)+1</f>
        <v>16</v>
      </c>
      <c r="C30" s="6" t="s">
        <v>54</v>
      </c>
      <c r="E30" s="62" t="s">
        <v>55</v>
      </c>
      <c r="G30" s="56">
        <f>ROUND(('Exhibit C(Rate Design)'!D1119+'Exhibit C(Rate Design)'!D1120+'Exhibit C(Rate Design)'!D1121)/12,0)</f>
        <v>3</v>
      </c>
      <c r="I30" s="56">
        <f>('Exhibit C(Rate Design)'!D1162)/1000</f>
        <v>173984.215</v>
      </c>
      <c r="K30" s="57">
        <f>('Exhibit C(Rate Design)'!I1162-'Exhibit C(Rate Design)'!I1148-'Exhibit C(Rate Design)'!I1149)/1000</f>
        <v>3951.837</v>
      </c>
      <c r="M30" s="57">
        <f t="shared" si="5"/>
        <v>4138.9180601537928</v>
      </c>
      <c r="N30" s="57">
        <f t="shared" si="6"/>
        <v>187.08106015379272</v>
      </c>
      <c r="O30" s="58">
        <f>M$60</f>
        <v>4.7340277484570523E-2</v>
      </c>
      <c r="Q30" s="57">
        <f t="shared" si="7"/>
        <v>0</v>
      </c>
      <c r="R30" s="96">
        <f t="shared" si="8"/>
        <v>0</v>
      </c>
      <c r="T30" s="57">
        <f>M30*U$23</f>
        <v>7.3646115580612124</v>
      </c>
      <c r="U30" s="96">
        <f t="shared" si="1"/>
        <v>1.7793566944370868E-3</v>
      </c>
      <c r="V30" s="58"/>
      <c r="X30" s="97">
        <f t="shared" si="2"/>
        <v>0</v>
      </c>
      <c r="Y30" s="97">
        <f t="shared" si="3"/>
        <v>0</v>
      </c>
      <c r="Z30" s="97">
        <f t="shared" si="4"/>
        <v>0</v>
      </c>
      <c r="AA30" s="98">
        <f>M30-'Exhibit A(Rate Impact)'!M30</f>
        <v>283.89106015379275</v>
      </c>
      <c r="AB30" s="96">
        <v>1.7849281159137927E-3</v>
      </c>
      <c r="AC30" s="96">
        <f t="shared" si="0"/>
        <v>-5.5714214767059716E-6</v>
      </c>
    </row>
    <row r="31" spans="1:29">
      <c r="A31" s="6">
        <f>MAX(A$13:A30)+1</f>
        <v>17</v>
      </c>
      <c r="C31" s="6" t="s">
        <v>54</v>
      </c>
      <c r="E31" s="62" t="s">
        <v>56</v>
      </c>
      <c r="G31" s="56">
        <f>ROUND(('Exhibit C(Rate Design)'!D1166+'Exhibit C(Rate Design)'!D1167+'Exhibit C(Rate Design)'!D1168)/12,0)</f>
        <v>15</v>
      </c>
      <c r="I31" s="56">
        <f>('Exhibit C(Rate Design)'!D1208)/1000</f>
        <v>31450.823</v>
      </c>
      <c r="K31" s="57">
        <f>('Exhibit C(Rate Design)'!I1208-'Exhibit C(Rate Design)'!I1195)/1000</f>
        <v>1661.0930000000001</v>
      </c>
      <c r="M31" s="57">
        <f t="shared" si="5"/>
        <v>1739.7296035476777</v>
      </c>
      <c r="N31" s="57">
        <f t="shared" si="6"/>
        <v>78.636603547677709</v>
      </c>
      <c r="O31" s="58">
        <f>M$60</f>
        <v>4.7340277484570523E-2</v>
      </c>
      <c r="Q31" s="57">
        <f t="shared" si="7"/>
        <v>0</v>
      </c>
      <c r="R31" s="96">
        <f t="shared" si="8"/>
        <v>0</v>
      </c>
      <c r="T31" s="57">
        <f>M31*U$19</f>
        <v>4.0826673933217625</v>
      </c>
      <c r="U31" s="96">
        <f t="shared" si="1"/>
        <v>2.3467252525888722E-3</v>
      </c>
      <c r="V31" s="58"/>
      <c r="X31" s="97">
        <f t="shared" si="2"/>
        <v>0</v>
      </c>
      <c r="Y31" s="97">
        <f t="shared" si="3"/>
        <v>0</v>
      </c>
      <c r="Z31" s="97">
        <f t="shared" si="4"/>
        <v>0</v>
      </c>
      <c r="AA31" s="98">
        <f>M31-'Exhibit A(Rate Impact)'!M31</f>
        <v>121.27260354767759</v>
      </c>
      <c r="AB31" s="96">
        <v>2.3535086183529416E-3</v>
      </c>
      <c r="AC31" s="96">
        <f t="shared" si="0"/>
        <v>-6.7833657640694288E-6</v>
      </c>
    </row>
    <row r="32" spans="1:29">
      <c r="A32" s="6">
        <f>MAX(A$13:A31)+1</f>
        <v>18</v>
      </c>
      <c r="C32" s="6" t="s">
        <v>54</v>
      </c>
      <c r="E32" s="62" t="s">
        <v>57</v>
      </c>
      <c r="G32" s="56">
        <f>ROUND(('Exhibit C(Rate Design)'!D1212+'Exhibit C(Rate Design)'!D1213+'Exhibit C(Rate Design)'!D1214)/12,0)</f>
        <v>6</v>
      </c>
      <c r="I32" s="56">
        <f>('Exhibit C(Rate Design)'!D1255)/1000</f>
        <v>69497.998999999996</v>
      </c>
      <c r="K32" s="57">
        <f>('Exhibit C(Rate Design)'!I1255-'Exhibit C(Rate Design)'!I1241)/1000</f>
        <v>3588.1930000000002</v>
      </c>
      <c r="M32" s="57">
        <f t="shared" si="5"/>
        <v>3758.0590522881939</v>
      </c>
      <c r="N32" s="57">
        <f t="shared" si="6"/>
        <v>169.86605228819357</v>
      </c>
      <c r="O32" s="58">
        <f>M$60</f>
        <v>4.7340277484570523E-2</v>
      </c>
      <c r="Q32" s="57">
        <f t="shared" si="7"/>
        <v>0</v>
      </c>
      <c r="R32" s="96">
        <f t="shared" si="8"/>
        <v>0</v>
      </c>
      <c r="T32" s="57">
        <f>M32*U$22</f>
        <v>7.6643981177186715</v>
      </c>
      <c r="U32" s="96">
        <f t="shared" si="1"/>
        <v>2.0394565415495533E-3</v>
      </c>
      <c r="V32" s="58"/>
      <c r="X32" s="97">
        <f t="shared" si="2"/>
        <v>0</v>
      </c>
      <c r="Y32" s="97">
        <f t="shared" si="3"/>
        <v>0</v>
      </c>
      <c r="Z32" s="97">
        <f t="shared" si="4"/>
        <v>0</v>
      </c>
      <c r="AA32" s="98">
        <f>M32-'Exhibit A(Rate Impact)'!M32</f>
        <v>174.31505228819378</v>
      </c>
      <c r="AB32" s="96">
        <v>2.0453230902530155E-3</v>
      </c>
      <c r="AC32" s="96">
        <f t="shared" si="0"/>
        <v>-5.8665487034622113E-6</v>
      </c>
    </row>
    <row r="33" spans="1:29">
      <c r="A33" s="6">
        <f>MAX(A$13:A32)+1</f>
        <v>19</v>
      </c>
      <c r="C33" s="73" t="s">
        <v>58</v>
      </c>
      <c r="D33" s="73"/>
      <c r="E33" s="73"/>
      <c r="F33" s="73"/>
      <c r="G33" s="74">
        <f>SUM(G30:G32)</f>
        <v>24</v>
      </c>
      <c r="H33" s="73"/>
      <c r="I33" s="74">
        <f>SUM(I30:I32)</f>
        <v>274933.03700000001</v>
      </c>
      <c r="J33" s="73"/>
      <c r="K33" s="75">
        <f>SUM(K30:K32)</f>
        <v>9201.1229999999996</v>
      </c>
      <c r="L33" s="76"/>
      <c r="M33" s="75">
        <f>SUM(M30:M32)</f>
        <v>9636.7067159896651</v>
      </c>
      <c r="N33" s="75">
        <f>SUM(N30:N32)</f>
        <v>435.58371598966403</v>
      </c>
      <c r="O33" s="77">
        <f>N33/$K33</f>
        <v>4.734027748457053E-2</v>
      </c>
      <c r="P33" s="76"/>
      <c r="Q33" s="75">
        <f>SUM(Q30:Q32)</f>
        <v>0</v>
      </c>
      <c r="R33" s="100">
        <f>Q33/$M33</f>
        <v>0</v>
      </c>
      <c r="S33" s="76"/>
      <c r="T33" s="75">
        <f>SUM(T30:T32)</f>
        <v>19.111677069101646</v>
      </c>
      <c r="U33" s="100">
        <f t="shared" si="1"/>
        <v>1.9832166353460435E-3</v>
      </c>
      <c r="V33" s="77"/>
      <c r="X33" s="97">
        <f t="shared" si="2"/>
        <v>0</v>
      </c>
      <c r="Y33" s="97">
        <f t="shared" si="3"/>
        <v>0</v>
      </c>
      <c r="Z33" s="97">
        <f t="shared" si="4"/>
        <v>0</v>
      </c>
      <c r="AA33" s="98">
        <f>M33-'Exhibit A(Rate Impact)'!M33</f>
        <v>579.47871598966412</v>
      </c>
      <c r="AB33" s="100">
        <v>1.9891219427648557E-3</v>
      </c>
      <c r="AC33" s="100">
        <f t="shared" si="0"/>
        <v>-5.9053074188122542E-6</v>
      </c>
    </row>
    <row r="34" spans="1:29">
      <c r="A34" s="6">
        <f>MAX(A$13:A33)+1</f>
        <v>20</v>
      </c>
      <c r="C34" s="6" t="s">
        <v>59</v>
      </c>
      <c r="E34" s="6">
        <v>34</v>
      </c>
      <c r="G34" s="56">
        <v>1</v>
      </c>
      <c r="I34" s="56">
        <f>('Exhibit C(Rate Design)'!D1258)/1000</f>
        <v>1236761.9577242604</v>
      </c>
      <c r="K34" s="57">
        <f>('Exhibit C(Rate Design)'!I1258)/1000</f>
        <v>16875.427752652893</v>
      </c>
      <c r="M34" s="57">
        <f>K34+N34</f>
        <v>16875.427752652893</v>
      </c>
      <c r="N34" s="57">
        <f>$K34*O34</f>
        <v>0</v>
      </c>
      <c r="O34" s="58">
        <v>0</v>
      </c>
      <c r="Q34" s="57">
        <f>$M34*R34</f>
        <v>0</v>
      </c>
      <c r="R34" s="96">
        <v>0</v>
      </c>
      <c r="T34" s="57"/>
      <c r="U34" s="96"/>
      <c r="V34" s="58"/>
      <c r="X34" s="97">
        <f t="shared" si="2"/>
        <v>0</v>
      </c>
      <c r="Y34" s="97">
        <f t="shared" si="3"/>
        <v>0</v>
      </c>
      <c r="Z34" s="97">
        <f t="shared" si="4"/>
        <v>0</v>
      </c>
      <c r="AA34" s="98">
        <f>M34-'Exhibit A(Rate Impact)'!M34</f>
        <v>0</v>
      </c>
      <c r="AB34" s="96"/>
      <c r="AC34" s="96">
        <f t="shared" si="0"/>
        <v>0</v>
      </c>
    </row>
    <row r="35" spans="1:29">
      <c r="A35" s="6">
        <f>MAX(A$13:A34)+1</f>
        <v>21</v>
      </c>
      <c r="C35" s="6" t="s">
        <v>60</v>
      </c>
      <c r="E35" s="62"/>
      <c r="G35" s="56">
        <f>ROUND(('Exhibit C(Rate Design)'!D1261)/12,0)</f>
        <v>1</v>
      </c>
      <c r="I35" s="56">
        <f>('Exhibit C(Rate Design)'!D1269)/1000</f>
        <v>647000</v>
      </c>
      <c r="K35" s="57">
        <f>('Exhibit C(Rate Design)'!I1269)/1000</f>
        <v>39362.118000000002</v>
      </c>
      <c r="M35" s="57">
        <f>K35+N35</f>
        <v>40829.484561170779</v>
      </c>
      <c r="N35" s="57">
        <f>$K35*O35</f>
        <v>1467.3665611707736</v>
      </c>
      <c r="O35" s="58">
        <f>M55</f>
        <v>3.7278648500844731E-2</v>
      </c>
      <c r="Q35" s="57">
        <f>$M35*R35</f>
        <v>0</v>
      </c>
      <c r="R35" s="96">
        <f>Q$56</f>
        <v>0</v>
      </c>
      <c r="T35" s="57">
        <f>M35*T$55</f>
        <v>106.01006759781572</v>
      </c>
      <c r="U35" s="96">
        <f>T35/M35</f>
        <v>2.5964096470282726E-3</v>
      </c>
      <c r="V35" s="58">
        <v>1.134766727430773E-2</v>
      </c>
      <c r="X35" s="97">
        <f t="shared" si="2"/>
        <v>0</v>
      </c>
      <c r="Y35" s="97">
        <f t="shared" si="3"/>
        <v>0</v>
      </c>
      <c r="Z35" s="97">
        <f t="shared" si="4"/>
        <v>0</v>
      </c>
      <c r="AA35" s="98">
        <f>M35-'Exhibit A(Rate Impact)'!M35</f>
        <v>4.1561170779459644E-2</v>
      </c>
      <c r="AB35" s="96">
        <v>2.6038421813528536E-3</v>
      </c>
      <c r="AC35" s="96">
        <f t="shared" si="0"/>
        <v>-7.4325343245810332E-6</v>
      </c>
    </row>
    <row r="36" spans="1:29">
      <c r="A36" s="6">
        <f>MAX(A$13:A35)+1</f>
        <v>22</v>
      </c>
      <c r="C36" s="6" t="s">
        <v>61</v>
      </c>
      <c r="E36" s="62"/>
      <c r="G36" s="56">
        <v>1</v>
      </c>
      <c r="I36" s="56">
        <f>('Exhibit C(Rate Design)'!D1286)/1000</f>
        <v>1339588</v>
      </c>
      <c r="K36" s="57">
        <f>('Exhibit C(Rate Design)'!I1286)/1000</f>
        <v>104628.47446898281</v>
      </c>
      <c r="M36" s="57">
        <f>K36+N36</f>
        <v>104628.47446898281</v>
      </c>
      <c r="N36" s="57">
        <f>$K36*O36</f>
        <v>0</v>
      </c>
      <c r="O36" s="58">
        <v>0</v>
      </c>
      <c r="Q36" s="57">
        <f>$M36*R36</f>
        <v>0</v>
      </c>
      <c r="R36" s="96">
        <v>0</v>
      </c>
      <c r="T36" s="57"/>
      <c r="U36" s="96"/>
      <c r="V36" s="58"/>
      <c r="X36" s="97">
        <f t="shared" si="2"/>
        <v>0</v>
      </c>
      <c r="Y36" s="97">
        <f t="shared" si="3"/>
        <v>0</v>
      </c>
      <c r="Z36" s="97">
        <f t="shared" si="4"/>
        <v>0</v>
      </c>
      <c r="AA36" s="98">
        <f>M36-'Exhibit A(Rate Impact)'!M36</f>
        <v>0</v>
      </c>
      <c r="AB36" s="96"/>
      <c r="AC36" s="96">
        <f t="shared" si="0"/>
        <v>0</v>
      </c>
    </row>
    <row r="37" spans="1:29">
      <c r="A37" s="6">
        <f>MAX(A$13:A36)+1</f>
        <v>23</v>
      </c>
      <c r="C37" s="6" t="s">
        <v>37</v>
      </c>
      <c r="E37" s="62"/>
      <c r="G37" s="56"/>
      <c r="I37" s="56"/>
      <c r="K37" s="57">
        <f>('Exhibit C(Rate Design)'!I1314+'Exhibit C(Rate Design)'!I1315+'Exhibit C(Rate Design)'!I1316)/1000</f>
        <v>7039.6780500000004</v>
      </c>
      <c r="M37" s="57">
        <f>K37+N37</f>
        <v>7039.6780500000004</v>
      </c>
      <c r="N37" s="57">
        <f>$K37*O37</f>
        <v>0</v>
      </c>
      <c r="O37" s="58">
        <v>0</v>
      </c>
      <c r="Q37" s="57">
        <f>$M37*R37</f>
        <v>0</v>
      </c>
      <c r="R37" s="96">
        <v>0</v>
      </c>
      <c r="T37" s="57"/>
      <c r="U37" s="96"/>
      <c r="V37" s="58"/>
      <c r="X37" s="97">
        <f t="shared" si="2"/>
        <v>0</v>
      </c>
      <c r="Y37" s="97">
        <f t="shared" si="3"/>
        <v>0</v>
      </c>
      <c r="Z37" s="97">
        <f t="shared" si="4"/>
        <v>0</v>
      </c>
      <c r="AA37" s="98">
        <f>M37-'Exhibit A(Rate Impact)'!M37</f>
        <v>0</v>
      </c>
      <c r="AB37" s="96"/>
      <c r="AC37" s="96">
        <f t="shared" si="0"/>
        <v>0</v>
      </c>
    </row>
    <row r="38" spans="1:29">
      <c r="A38" s="6">
        <f>MAX(A$13:A37)+1</f>
        <v>24</v>
      </c>
      <c r="C38" s="25" t="s">
        <v>62</v>
      </c>
      <c r="G38" s="56">
        <f>SUM(G19:G20,G22:G25,G27:G32,G34:G37)</f>
        <v>124073</v>
      </c>
      <c r="I38" s="56">
        <f>SUM(I19:I20,I22:I25,I27:I32,I34:I37)</f>
        <v>20489615.650431562</v>
      </c>
      <c r="K38" s="57">
        <f>SUM(K19:K20,K22:K25,K27:K32,K34:K37)</f>
        <v>1443481.7992716359</v>
      </c>
      <c r="M38" s="57">
        <f>SUM(M19:M20,M22:M25,M27:M32,M34:M37)</f>
        <v>1488374.1000532203</v>
      </c>
      <c r="N38" s="57">
        <f>SUM(N19:N20,N22:N25,N27:N32,N34:N37)</f>
        <v>44892.30078158481</v>
      </c>
      <c r="O38" s="58">
        <f>N38/$K38</f>
        <v>3.1100011655316291E-2</v>
      </c>
      <c r="Q38" s="57">
        <f>SUM(Q19:Q20,Q22:Q25,Q27:Q32,Q34:Q37)</f>
        <v>0</v>
      </c>
      <c r="R38" s="96">
        <f>Q38/$M38</f>
        <v>0</v>
      </c>
      <c r="T38" s="57">
        <f>SUM(T19:T20,T22:T25,T27:T32,T34:T37)</f>
        <v>3157.9155879919854</v>
      </c>
      <c r="U38" s="96">
        <f>T38/M38</f>
        <v>2.1217216745971772E-3</v>
      </c>
      <c r="V38" s="58"/>
      <c r="X38" s="97">
        <f t="shared" si="2"/>
        <v>0</v>
      </c>
      <c r="Y38" s="97">
        <f t="shared" si="3"/>
        <v>0</v>
      </c>
      <c r="Z38" s="97">
        <f t="shared" si="4"/>
        <v>0</v>
      </c>
      <c r="AA38" s="98">
        <f>M38-'Exhibit A(Rate Impact)'!M38</f>
        <v>-16.705218415474519</v>
      </c>
      <c r="AB38" s="96">
        <v>2.1274293961215723E-3</v>
      </c>
      <c r="AC38" s="96">
        <f t="shared" si="0"/>
        <v>-5.7077215243951131E-6</v>
      </c>
    </row>
    <row r="39" spans="1:29">
      <c r="C39" s="25" t="s">
        <v>63</v>
      </c>
      <c r="G39" s="56"/>
      <c r="I39" s="56"/>
      <c r="K39" s="57"/>
      <c r="M39" s="57"/>
      <c r="N39" s="57"/>
      <c r="Q39" s="57"/>
      <c r="R39" s="96"/>
      <c r="T39" s="57"/>
      <c r="U39" s="96"/>
      <c r="X39" s="97"/>
      <c r="Y39" s="97"/>
      <c r="Z39" s="97"/>
      <c r="AB39" s="96"/>
      <c r="AC39" s="96">
        <f t="shared" si="0"/>
        <v>0</v>
      </c>
    </row>
    <row r="40" spans="1:29">
      <c r="A40" s="6">
        <f>MAX(A$13:A39)+1</f>
        <v>25</v>
      </c>
      <c r="C40" s="6" t="s">
        <v>64</v>
      </c>
      <c r="E40" s="6">
        <v>7</v>
      </c>
      <c r="G40" s="56">
        <f>ROUND(('Exhibit C(Rate Design)'!D391),0)</f>
        <v>6333</v>
      </c>
      <c r="I40" s="56">
        <f>('Exhibit C(Rate Design)'!D397)/1000</f>
        <v>10030.59208518304</v>
      </c>
      <c r="K40" s="57">
        <f>('Exhibit C(Rate Design)'!I397)/1000</f>
        <v>1362.222</v>
      </c>
      <c r="M40" s="57">
        <f>K40+N40</f>
        <v>1372.1371351181176</v>
      </c>
      <c r="N40" s="57">
        <f>$K40*O40</f>
        <v>9.9151351181177123</v>
      </c>
      <c r="O40" s="58">
        <f>M65</f>
        <v>7.2786485008447324E-3</v>
      </c>
      <c r="Q40" s="57">
        <f>$M40*R40</f>
        <v>0</v>
      </c>
      <c r="R40" s="96">
        <f>Q$55</f>
        <v>0</v>
      </c>
      <c r="T40" s="57">
        <f>M40/SUM(M$40:M$42)*$V$40*T$54*T$56</f>
        <v>5.0421257545489357</v>
      </c>
      <c r="U40" s="96">
        <f t="shared" ref="U40:U45" si="9">T40/M40</f>
        <v>3.6746514801633836E-3</v>
      </c>
      <c r="V40" s="58">
        <v>3.9885157932150646E-3</v>
      </c>
      <c r="X40" s="97">
        <f t="shared" ref="X40:X49" si="10">N40/K40-O40</f>
        <v>0</v>
      </c>
      <c r="Y40" s="97">
        <f t="shared" ref="Y40:Y49" si="11">Q40/M40-R40</f>
        <v>0</v>
      </c>
      <c r="Z40" s="97">
        <f t="shared" ref="Z40:Z49" si="12">T40/M40-U40</f>
        <v>0</v>
      </c>
      <c r="AA40" s="98">
        <f>M40-'Exhibit A(Rate Impact)'!M40</f>
        <v>-0.21486488188247677</v>
      </c>
      <c r="AB40" s="96">
        <v>3.6854848283895854E-3</v>
      </c>
      <c r="AC40" s="96">
        <f t="shared" si="0"/>
        <v>-1.0833348226201803E-5</v>
      </c>
    </row>
    <row r="41" spans="1:29">
      <c r="A41" s="6">
        <f>MAX(A$13:A40)+1</f>
        <v>26</v>
      </c>
      <c r="C41" s="6" t="s">
        <v>65</v>
      </c>
      <c r="E41" s="6">
        <v>11</v>
      </c>
      <c r="G41" s="56">
        <f>ROUND(('Exhibit C(Rate Design)'!D627),0)</f>
        <v>795</v>
      </c>
      <c r="I41" s="56">
        <f>('Exhibit C(Rate Design)'!D648)/1000</f>
        <v>13419.473877279579</v>
      </c>
      <c r="K41" s="57">
        <f>('Exhibit C(Rate Design)'!I648)/1000</f>
        <v>3897.3339999999998</v>
      </c>
      <c r="M41" s="57">
        <f>K41+N41</f>
        <v>3925.701324276391</v>
      </c>
      <c r="N41" s="57">
        <f>$K41*O41</f>
        <v>28.367324276391201</v>
      </c>
      <c r="O41" s="58">
        <f>M66</f>
        <v>7.2786485008447324E-3</v>
      </c>
      <c r="Q41" s="57">
        <f>$M41*R41</f>
        <v>0</v>
      </c>
      <c r="R41" s="96">
        <f>Q$55</f>
        <v>0</v>
      </c>
      <c r="T41" s="57">
        <f>M41/SUM(M$40:M$42)*$V$40*T$54*T$56</f>
        <v>14.425584181931592</v>
      </c>
      <c r="U41" s="96">
        <f t="shared" si="9"/>
        <v>3.6746514801633827E-3</v>
      </c>
      <c r="V41" s="58"/>
      <c r="X41" s="97">
        <f t="shared" si="10"/>
        <v>0</v>
      </c>
      <c r="Y41" s="97">
        <f t="shared" si="11"/>
        <v>0</v>
      </c>
      <c r="Z41" s="97">
        <f t="shared" si="12"/>
        <v>0</v>
      </c>
      <c r="AA41" s="98">
        <f>M41-'Exhibit A(Rate Impact)'!M41</f>
        <v>0.21732427639108209</v>
      </c>
      <c r="AB41" s="96">
        <v>3.6854848283895845E-3</v>
      </c>
      <c r="AC41" s="96">
        <f t="shared" si="0"/>
        <v>-1.0833348226201803E-5</v>
      </c>
    </row>
    <row r="42" spans="1:29">
      <c r="A42" s="6">
        <f>MAX(A$13:A41)+1</f>
        <v>27</v>
      </c>
      <c r="C42" s="6" t="s">
        <v>66</v>
      </c>
      <c r="E42" s="6">
        <v>12</v>
      </c>
      <c r="G42" s="56">
        <f>ROUND(('Exhibit C(Rate Design)'!D724),0)</f>
        <v>1331</v>
      </c>
      <c r="I42" s="56">
        <f>('Exhibit C(Rate Design)'!D725)/1000</f>
        <v>29890.554483748136</v>
      </c>
      <c r="K42" s="57">
        <f>('Exhibit C(Rate Design)'!I725)/1000</f>
        <v>1484.8420000000001</v>
      </c>
      <c r="M42" s="57">
        <f>K42+N42</f>
        <v>1495.6496429972915</v>
      </c>
      <c r="N42" s="57">
        <f>$K42*O42</f>
        <v>10.807642997291294</v>
      </c>
      <c r="O42" s="58">
        <f>M67</f>
        <v>7.2786485008447324E-3</v>
      </c>
      <c r="Q42" s="57">
        <f>$M42*R42</f>
        <v>0</v>
      </c>
      <c r="R42" s="96">
        <f>Q$55</f>
        <v>0</v>
      </c>
      <c r="T42" s="57">
        <f>M42/SUM(M$40:M$42)*$V$40*T$54*T$56</f>
        <v>5.4959911744458321</v>
      </c>
      <c r="U42" s="96">
        <f t="shared" si="9"/>
        <v>3.6746514801633827E-3</v>
      </c>
      <c r="V42" s="58"/>
      <c r="X42" s="97">
        <f t="shared" si="10"/>
        <v>0</v>
      </c>
      <c r="Y42" s="97">
        <f t="shared" si="11"/>
        <v>0</v>
      </c>
      <c r="Z42" s="97">
        <f t="shared" si="12"/>
        <v>0</v>
      </c>
      <c r="AA42" s="98">
        <f>M42-'Exhibit A(Rate Impact)'!M42</f>
        <v>-1.3570027085734182E-3</v>
      </c>
      <c r="AB42" s="96">
        <v>3.6854848283895845E-3</v>
      </c>
      <c r="AC42" s="96">
        <f t="shared" si="0"/>
        <v>-1.0833348226201803E-5</v>
      </c>
    </row>
    <row r="43" spans="1:29">
      <c r="A43" s="6">
        <f>MAX(A$13:A42)+1</f>
        <v>28</v>
      </c>
      <c r="C43" s="6" t="s">
        <v>67</v>
      </c>
      <c r="E43" s="6">
        <v>15</v>
      </c>
      <c r="G43" s="56">
        <f>ROUND(('Exhibit C(Rate Design)'!D730)/12,0)</f>
        <v>780</v>
      </c>
      <c r="I43" s="56">
        <f>('Exhibit C(Rate Design)'!D734)/1000</f>
        <v>15798.908622976987</v>
      </c>
      <c r="K43" s="57">
        <f>('Exhibit C(Rate Design)'!I734)/1000</f>
        <v>779.55399999999997</v>
      </c>
      <c r="M43" s="57">
        <f>K43+N43</f>
        <v>816.45830267420683</v>
      </c>
      <c r="N43" s="57">
        <f>$K43*O43</f>
        <v>36.904302674206889</v>
      </c>
      <c r="O43" s="58">
        <f>M68</f>
        <v>4.7340277484570523E-2</v>
      </c>
      <c r="Q43" s="57">
        <f>$M43*R43</f>
        <v>0</v>
      </c>
      <c r="R43" s="96">
        <f>Q$55</f>
        <v>0</v>
      </c>
      <c r="T43" s="57">
        <f>$V43*T$54*T$56</f>
        <v>1.1564206673794493</v>
      </c>
      <c r="U43" s="96">
        <f t="shared" si="9"/>
        <v>1.4163866833024274E-3</v>
      </c>
      <c r="V43" s="96">
        <v>1.8476435344855324E-4</v>
      </c>
      <c r="X43" s="97">
        <f t="shared" si="10"/>
        <v>0</v>
      </c>
      <c r="Y43" s="97">
        <f t="shared" si="11"/>
        <v>0</v>
      </c>
      <c r="Z43" s="97">
        <f t="shared" si="12"/>
        <v>0</v>
      </c>
      <c r="AA43" s="98">
        <f>M43-'Exhibit A(Rate Impact)'!M43</f>
        <v>-1.6973257932022534E-3</v>
      </c>
      <c r="AB43" s="96">
        <v>1.420821593521015E-3</v>
      </c>
      <c r="AC43" s="96">
        <f t="shared" si="0"/>
        <v>-4.4349102185875598E-6</v>
      </c>
    </row>
    <row r="44" spans="1:29">
      <c r="A44" s="6">
        <f>MAX(A$13:A43)+1</f>
        <v>29</v>
      </c>
      <c r="C44" s="6" t="s">
        <v>68</v>
      </c>
      <c r="E44" s="6">
        <v>15</v>
      </c>
      <c r="G44" s="72">
        <f>ROUND(('Exhibit C(Rate Design)'!D764)/12,0)</f>
        <v>2738</v>
      </c>
      <c r="I44" s="72">
        <f>('Exhibit C(Rate Design)'!D768)/1000</f>
        <v>8267.891702285393</v>
      </c>
      <c r="K44" s="66">
        <f>('Exhibit C(Rate Design)'!I768)/1000</f>
        <v>830.74199999999996</v>
      </c>
      <c r="M44" s="66">
        <f>K44+N44</f>
        <v>870.06955679808709</v>
      </c>
      <c r="N44" s="66">
        <f>$K44*O44</f>
        <v>39.32755679808708</v>
      </c>
      <c r="O44" s="67">
        <f>M69</f>
        <v>4.7340277484570523E-2</v>
      </c>
      <c r="Q44" s="66">
        <f>$M44*R44</f>
        <v>0</v>
      </c>
      <c r="R44" s="99">
        <f>Q$55</f>
        <v>0</v>
      </c>
      <c r="T44" s="66">
        <f>$V44*T$54*T$56</f>
        <v>2.3447526826041365</v>
      </c>
      <c r="U44" s="99">
        <f t="shared" si="9"/>
        <v>2.6949025675981355E-3</v>
      </c>
      <c r="V44" s="99">
        <v>3.7462726637344158E-4</v>
      </c>
      <c r="X44" s="97">
        <f t="shared" si="10"/>
        <v>0</v>
      </c>
      <c r="Y44" s="97">
        <f t="shared" si="11"/>
        <v>0</v>
      </c>
      <c r="Z44" s="97">
        <f t="shared" si="12"/>
        <v>0</v>
      </c>
      <c r="AA44" s="98">
        <f>M44-'Exhibit A(Rate Impact)'!M44</f>
        <v>-4.4320191295810218E-4</v>
      </c>
      <c r="AB44" s="99">
        <v>2.7033406947536889E-3</v>
      </c>
      <c r="AC44" s="99">
        <f t="shared" si="0"/>
        <v>-8.4381271555533828E-6</v>
      </c>
    </row>
    <row r="45" spans="1:29">
      <c r="A45" s="6">
        <f>MAX(A$13:A44)+1</f>
        <v>30</v>
      </c>
      <c r="C45" s="73" t="s">
        <v>69</v>
      </c>
      <c r="D45" s="81"/>
      <c r="F45" s="81"/>
      <c r="G45" s="56">
        <f>SUM(G40:G44)</f>
        <v>11977</v>
      </c>
      <c r="H45" s="81"/>
      <c r="I45" s="56">
        <f>SUM(I40:I44)</f>
        <v>77407.420771473146</v>
      </c>
      <c r="J45" s="81"/>
      <c r="K45" s="57">
        <f>SUM(K40:K44)</f>
        <v>8354.6939999999995</v>
      </c>
      <c r="L45" s="57"/>
      <c r="M45" s="57">
        <f>SUM(M40:M44)</f>
        <v>8480.0159618640937</v>
      </c>
      <c r="N45" s="57">
        <f>SUM(N40:N44)</f>
        <v>125.32196186409416</v>
      </c>
      <c r="O45" s="58">
        <f>N45/$K45</f>
        <v>1.5000185747568274E-2</v>
      </c>
      <c r="P45" s="57"/>
      <c r="Q45" s="57">
        <f>SUM(Q40:Q44)</f>
        <v>0</v>
      </c>
      <c r="R45" s="96">
        <f>Q45/$M45</f>
        <v>0</v>
      </c>
      <c r="S45" s="57"/>
      <c r="T45" s="57">
        <f>SUM(T40:T44)</f>
        <v>28.464874460909947</v>
      </c>
      <c r="U45" s="96">
        <f t="shared" si="9"/>
        <v>3.3567005756735325E-3</v>
      </c>
      <c r="V45" s="58"/>
      <c r="X45" s="97">
        <f t="shared" si="10"/>
        <v>0</v>
      </c>
      <c r="Y45" s="97">
        <f t="shared" si="11"/>
        <v>0</v>
      </c>
      <c r="Z45" s="97">
        <f t="shared" si="12"/>
        <v>0</v>
      </c>
      <c r="AA45" s="98">
        <f>M45-'Exhibit A(Rate Impact)'!M45</f>
        <v>-1.0381359061284456E-3</v>
      </c>
      <c r="AB45" s="96">
        <v>3.3667187239911187E-3</v>
      </c>
      <c r="AC45" s="96">
        <f t="shared" si="0"/>
        <v>-1.001814831758617E-5</v>
      </c>
    </row>
    <row r="46" spans="1:29">
      <c r="A46" s="6">
        <f>MAX(A$13:A45)+1</f>
        <v>31</v>
      </c>
      <c r="C46" s="6" t="s">
        <v>70</v>
      </c>
      <c r="E46" s="62"/>
      <c r="G46" s="56">
        <f>ROUND(('Exhibit C(Rate Design)'!D1293),0)</f>
        <v>4</v>
      </c>
      <c r="I46" s="56">
        <f>('Exhibit C(Rate Design)'!D1294)/1000</f>
        <v>7.423</v>
      </c>
      <c r="K46" s="57">
        <f>('Exhibit C(Rate Design)'!I1294)/1000</f>
        <v>0.56000000000000005</v>
      </c>
      <c r="M46" s="57">
        <f>K46+N46</f>
        <v>0.56000000000000005</v>
      </c>
      <c r="N46" s="57">
        <f>$K46*O46</f>
        <v>0</v>
      </c>
      <c r="O46" s="58">
        <v>0</v>
      </c>
      <c r="Q46" s="57">
        <f>$M46*R46</f>
        <v>0</v>
      </c>
      <c r="R46" s="96">
        <v>0</v>
      </c>
      <c r="T46" s="57"/>
      <c r="U46" s="96"/>
      <c r="V46" s="58"/>
      <c r="X46" s="97">
        <f t="shared" si="10"/>
        <v>0</v>
      </c>
      <c r="Y46" s="97">
        <f t="shared" si="11"/>
        <v>0</v>
      </c>
      <c r="Z46" s="97">
        <f t="shared" si="12"/>
        <v>0</v>
      </c>
      <c r="AA46" s="98">
        <f>M46-'Exhibit A(Rate Impact)'!M46</f>
        <v>0</v>
      </c>
      <c r="AB46" s="96"/>
      <c r="AC46" s="96">
        <f t="shared" si="0"/>
        <v>0</v>
      </c>
    </row>
    <row r="47" spans="1:29" ht="22.15" customHeight="1">
      <c r="A47" s="6">
        <f>MAX(A$13:A46)+1</f>
        <v>32</v>
      </c>
      <c r="C47" s="64" t="s">
        <v>37</v>
      </c>
      <c r="D47" s="82"/>
      <c r="E47" s="65"/>
      <c r="F47" s="82"/>
      <c r="G47" s="83"/>
      <c r="H47" s="82"/>
      <c r="I47" s="83"/>
      <c r="J47" s="82"/>
      <c r="K47" s="66">
        <f>'Exhibit C(Rate Design)'!I1317/1000</f>
        <v>4.6616400000000002</v>
      </c>
      <c r="M47" s="66">
        <f>K47+N47</f>
        <v>4.6616400000000002</v>
      </c>
      <c r="N47" s="66">
        <f>$K47*O47</f>
        <v>0</v>
      </c>
      <c r="O47" s="67">
        <v>0</v>
      </c>
      <c r="Q47" s="66">
        <f>$M47*R47</f>
        <v>0</v>
      </c>
      <c r="R47" s="99">
        <v>0</v>
      </c>
      <c r="T47" s="66"/>
      <c r="U47" s="99"/>
      <c r="V47" s="67"/>
      <c r="X47" s="97">
        <f t="shared" si="10"/>
        <v>0</v>
      </c>
      <c r="Y47" s="97">
        <f t="shared" si="11"/>
        <v>0</v>
      </c>
      <c r="Z47" s="97">
        <f t="shared" si="12"/>
        <v>0</v>
      </c>
      <c r="AA47" s="98">
        <f>M47-'Exhibit A(Rate Impact)'!M47</f>
        <v>0</v>
      </c>
      <c r="AB47" s="99"/>
      <c r="AC47" s="99">
        <f t="shared" si="0"/>
        <v>0</v>
      </c>
    </row>
    <row r="48" spans="1:29">
      <c r="A48" s="6">
        <f>MAX(A$13:A47)+1</f>
        <v>33</v>
      </c>
      <c r="C48" s="84" t="s">
        <v>71</v>
      </c>
      <c r="E48" s="85"/>
      <c r="G48" s="72">
        <f>SUM(G46:G47)+G45</f>
        <v>11981</v>
      </c>
      <c r="I48" s="72">
        <f>SUM(I46:I47)+I45</f>
        <v>77414.843771473141</v>
      </c>
      <c r="K48" s="66">
        <f>SUM(K46:K47)+K45</f>
        <v>8359.9156399999993</v>
      </c>
      <c r="M48" s="66">
        <f>SUM(M46:M47)+M45</f>
        <v>8485.2376018640934</v>
      </c>
      <c r="N48" s="66">
        <f>SUM(N46:N47)+N45</f>
        <v>125.32196186409416</v>
      </c>
      <c r="O48" s="86">
        <f>N48/$K48</f>
        <v>1.499081656571527E-2</v>
      </c>
      <c r="Q48" s="66">
        <f>SUM(Q46:Q47)+Q45</f>
        <v>0</v>
      </c>
      <c r="R48" s="101">
        <f>Q48/$M48</f>
        <v>0</v>
      </c>
      <c r="T48" s="66">
        <f>SUM(T46:T47)+T45</f>
        <v>28.464874460909947</v>
      </c>
      <c r="U48" s="101">
        <f>T48/M48</f>
        <v>3.3546349314551422E-3</v>
      </c>
      <c r="V48" s="86"/>
      <c r="X48" s="97">
        <f t="shared" si="10"/>
        <v>0</v>
      </c>
      <c r="Y48" s="97">
        <f t="shared" si="11"/>
        <v>0</v>
      </c>
      <c r="Z48" s="97">
        <f t="shared" si="12"/>
        <v>0</v>
      </c>
      <c r="AA48" s="98">
        <f>M48-'Exhibit A(Rate Impact)'!M48</f>
        <v>-1.0381359061284456E-3</v>
      </c>
      <c r="AB48" s="101">
        <v>3.3646407352665242E-3</v>
      </c>
      <c r="AC48" s="101">
        <f t="shared" si="0"/>
        <v>-1.0005803811382035E-5</v>
      </c>
    </row>
    <row r="49" spans="1:29" ht="22.15" customHeight="1" thickBot="1">
      <c r="A49" s="6">
        <f>MAX(A$13:A48)+1</f>
        <v>34</v>
      </c>
      <c r="C49" s="87" t="s">
        <v>72</v>
      </c>
      <c r="E49" s="88"/>
      <c r="G49" s="89">
        <f>G48+G38+G17</f>
        <v>1092514</v>
      </c>
      <c r="I49" s="89">
        <f>I48+I38+I17</f>
        <v>28826511.503800046</v>
      </c>
      <c r="K49" s="90">
        <f>K48+K38+K17</f>
        <v>2356946.872631636</v>
      </c>
      <c r="M49" s="90">
        <f>M48+M38+M17</f>
        <v>2444810.6666316353</v>
      </c>
      <c r="N49" s="90">
        <f>N48+N38+N17</f>
        <v>87863.793999999994</v>
      </c>
      <c r="O49" s="91">
        <f>N49/$K49</f>
        <v>3.7278648500844724E-2</v>
      </c>
      <c r="Q49" s="90">
        <f>Q48+Q38+Q17</f>
        <v>0</v>
      </c>
      <c r="R49" s="102">
        <f>Q49/$M49</f>
        <v>0</v>
      </c>
      <c r="T49" s="90">
        <f>T48+T38+T17</f>
        <v>6347.4625518794328</v>
      </c>
      <c r="U49" s="102">
        <f>T49/M49</f>
        <v>2.5963002528227347E-3</v>
      </c>
      <c r="V49" s="91">
        <f>SUM(V14:V48)</f>
        <v>1</v>
      </c>
      <c r="X49" s="97">
        <f t="shared" si="10"/>
        <v>0</v>
      </c>
      <c r="Y49" s="97">
        <f t="shared" si="11"/>
        <v>0</v>
      </c>
      <c r="Z49" s="97">
        <f t="shared" si="12"/>
        <v>0</v>
      </c>
      <c r="AA49" s="98">
        <f>M49-'Exhibit A(Rate Impact)'!M49</f>
        <v>-14.816000000573695</v>
      </c>
      <c r="AB49" s="102">
        <v>2.6037312743478203E-3</v>
      </c>
      <c r="AC49" s="102">
        <f t="shared" si="0"/>
        <v>-7.4310215250855509E-6</v>
      </c>
    </row>
    <row r="50" spans="1:29" ht="25.15" customHeight="1" thickTop="1"/>
    <row r="51" spans="1:29">
      <c r="M51" s="103" t="s">
        <v>77</v>
      </c>
    </row>
    <row r="52" spans="1:29">
      <c r="K52" s="104" t="s">
        <v>78</v>
      </c>
      <c r="M52" s="105">
        <f>87232937/1000</f>
        <v>87232.937000000005</v>
      </c>
    </row>
    <row r="53" spans="1:29">
      <c r="K53" s="104" t="s">
        <v>79</v>
      </c>
      <c r="M53" s="105">
        <f>6978587/1000</f>
        <v>6978.5870000000004</v>
      </c>
      <c r="X53" s="6">
        <f>6978587/1000</f>
        <v>6978.5870000000004</v>
      </c>
    </row>
    <row r="54" spans="1:29">
      <c r="K54" s="104" t="s">
        <v>80</v>
      </c>
      <c r="M54" s="105">
        <f>M52+M53-T54</f>
        <v>87863.794000000009</v>
      </c>
      <c r="N54" s="7">
        <f>N49-M54</f>
        <v>0</v>
      </c>
      <c r="O54" s="106"/>
      <c r="Q54" s="105">
        <v>0</v>
      </c>
      <c r="T54" s="105">
        <f>6347730/1000</f>
        <v>6347.73</v>
      </c>
      <c r="X54" s="107">
        <f>M54+T54</f>
        <v>94211.524000000005</v>
      </c>
    </row>
    <row r="55" spans="1:29">
      <c r="K55" s="104" t="s">
        <v>81</v>
      </c>
      <c r="M55" s="96">
        <f>M54/K49</f>
        <v>3.7278648500844731E-2</v>
      </c>
      <c r="O55" s="96"/>
      <c r="Q55" s="96">
        <f>(Q54-Q35)/($M49-$M16-$M34-$M$35-$M36-$M37-$M46-$M47)*Q57</f>
        <v>0</v>
      </c>
      <c r="R55" s="50"/>
      <c r="T55" s="96">
        <f>T54/M49</f>
        <v>2.5964096470282726E-3</v>
      </c>
      <c r="U55" s="50"/>
      <c r="V55" s="50"/>
    </row>
    <row r="56" spans="1:29">
      <c r="K56" s="104" t="s">
        <v>82</v>
      </c>
      <c r="M56" s="96"/>
      <c r="N56" s="96">
        <v>1.0061628983725791E-2</v>
      </c>
      <c r="O56" s="108"/>
      <c r="Q56" s="96">
        <f>Q54/M49</f>
        <v>0</v>
      </c>
      <c r="T56" s="96">
        <v>0.98600521580436129</v>
      </c>
    </row>
    <row r="57" spans="1:29">
      <c r="K57" s="104" t="s">
        <v>83</v>
      </c>
      <c r="M57" s="96">
        <f>$M$55+N57</f>
        <v>4.7340277484570523E-2</v>
      </c>
      <c r="N57" s="96">
        <f>$N$56</f>
        <v>1.0061628983725791E-2</v>
      </c>
      <c r="O57" s="96"/>
      <c r="Q57" s="96">
        <v>1.0000000000000002</v>
      </c>
      <c r="R57" s="50"/>
      <c r="T57" s="50">
        <f>T49-T54</f>
        <v>-0.26744812056676892</v>
      </c>
      <c r="U57" s="50"/>
      <c r="V57" s="50"/>
    </row>
    <row r="58" spans="1:29">
      <c r="K58" s="104" t="s">
        <v>84</v>
      </c>
      <c r="M58" s="96">
        <f t="shared" ref="M58:M69" si="13">$M$55+N58</f>
        <v>2.7278648500844729E-2</v>
      </c>
      <c r="N58" s="109">
        <v>-0.01</v>
      </c>
      <c r="O58" s="96"/>
      <c r="Q58" s="50">
        <f>Q49-Q54</f>
        <v>0</v>
      </c>
      <c r="R58" s="50"/>
      <c r="T58" s="96"/>
      <c r="U58" s="50"/>
      <c r="V58" s="50"/>
    </row>
    <row r="59" spans="1:29">
      <c r="K59" s="110" t="s">
        <v>85</v>
      </c>
      <c r="M59" s="96">
        <f t="shared" si="13"/>
        <v>3.2278648500844734E-2</v>
      </c>
      <c r="N59" s="109">
        <v>-5.0000000000000001E-3</v>
      </c>
      <c r="O59" s="96"/>
      <c r="Q59" s="96"/>
      <c r="R59" s="50"/>
      <c r="T59" s="96"/>
      <c r="U59" s="50"/>
      <c r="V59" s="50"/>
    </row>
    <row r="60" spans="1:29">
      <c r="K60" s="104" t="s">
        <v>86</v>
      </c>
      <c r="M60" s="96">
        <f t="shared" si="13"/>
        <v>4.7340277484570523E-2</v>
      </c>
      <c r="N60" s="96">
        <f>$N$56</f>
        <v>1.0061628983725791E-2</v>
      </c>
      <c r="O60" s="96"/>
      <c r="Q60" s="96"/>
      <c r="R60" s="7"/>
      <c r="T60" s="96"/>
      <c r="U60" s="7"/>
      <c r="V60" s="7"/>
    </row>
    <row r="61" spans="1:29">
      <c r="K61" s="110">
        <v>10</v>
      </c>
      <c r="M61" s="96">
        <f t="shared" si="13"/>
        <v>3.3278648500844735E-2</v>
      </c>
      <c r="N61" s="109">
        <v>-4.0000000000000001E-3</v>
      </c>
      <c r="O61" s="96"/>
      <c r="Q61" s="96"/>
      <c r="R61" s="50"/>
      <c r="T61" s="96"/>
      <c r="U61" s="50"/>
      <c r="V61" s="50"/>
    </row>
    <row r="62" spans="1:29">
      <c r="K62" s="110">
        <v>23</v>
      </c>
      <c r="M62" s="96">
        <f t="shared" si="13"/>
        <v>3.3278648500844735E-2</v>
      </c>
      <c r="N62" s="109">
        <v>-4.0000000000000001E-3</v>
      </c>
      <c r="O62" s="96"/>
      <c r="Q62" s="96"/>
      <c r="R62" s="50"/>
      <c r="T62" s="96"/>
      <c r="U62" s="50"/>
      <c r="V62" s="50"/>
    </row>
    <row r="63" spans="1:29">
      <c r="K63" s="104" t="s">
        <v>87</v>
      </c>
      <c r="M63" s="96">
        <f t="shared" si="13"/>
        <v>3.7278648500844731E-2</v>
      </c>
      <c r="N63" s="109">
        <v>0</v>
      </c>
      <c r="O63" s="96"/>
      <c r="Q63" s="96"/>
      <c r="R63" s="50"/>
      <c r="T63" s="96"/>
      <c r="U63" s="50"/>
      <c r="V63" s="50"/>
    </row>
    <row r="64" spans="1:29">
      <c r="K64" s="104" t="s">
        <v>88</v>
      </c>
      <c r="M64" s="109">
        <v>0</v>
      </c>
      <c r="N64" s="96"/>
      <c r="O64" s="96"/>
      <c r="Q64" s="96"/>
      <c r="R64" s="50"/>
      <c r="T64" s="96"/>
      <c r="U64" s="50"/>
      <c r="V64" s="50"/>
    </row>
    <row r="65" spans="11:22">
      <c r="K65" s="111">
        <v>7</v>
      </c>
      <c r="M65" s="96">
        <f t="shared" si="13"/>
        <v>7.2786485008447324E-3</v>
      </c>
      <c r="N65" s="109">
        <v>-0.03</v>
      </c>
      <c r="O65" s="96"/>
      <c r="Q65" s="96"/>
      <c r="R65" s="50"/>
      <c r="T65" s="96"/>
      <c r="U65" s="50"/>
      <c r="V65" s="50"/>
    </row>
    <row r="66" spans="11:22">
      <c r="K66" s="111">
        <v>11</v>
      </c>
      <c r="M66" s="96">
        <f t="shared" si="13"/>
        <v>7.2786485008447324E-3</v>
      </c>
      <c r="N66" s="109">
        <v>-0.03</v>
      </c>
      <c r="O66" s="96"/>
      <c r="Q66" s="96"/>
      <c r="R66" s="50"/>
      <c r="T66" s="96"/>
      <c r="U66" s="50"/>
      <c r="V66" s="50"/>
    </row>
    <row r="67" spans="11:22">
      <c r="K67" s="111">
        <v>12</v>
      </c>
      <c r="M67" s="96">
        <f t="shared" si="13"/>
        <v>7.2786485008447324E-3</v>
      </c>
      <c r="N67" s="109">
        <v>-0.03</v>
      </c>
      <c r="O67" s="96"/>
      <c r="Q67" s="96"/>
      <c r="R67" s="50"/>
      <c r="T67" s="96"/>
      <c r="U67" s="50"/>
      <c r="V67" s="50"/>
    </row>
    <row r="68" spans="11:22">
      <c r="K68" s="104" t="s">
        <v>89</v>
      </c>
      <c r="M68" s="96">
        <f t="shared" si="13"/>
        <v>4.7340277484570523E-2</v>
      </c>
      <c r="N68" s="96">
        <f t="shared" ref="N68:N69" si="14">$N$56</f>
        <v>1.0061628983725791E-2</v>
      </c>
      <c r="O68" s="96"/>
      <c r="Q68" s="96"/>
      <c r="R68" s="50"/>
      <c r="T68" s="96"/>
      <c r="U68" s="50"/>
      <c r="V68" s="50"/>
    </row>
    <row r="69" spans="11:22">
      <c r="K69" s="104" t="s">
        <v>90</v>
      </c>
      <c r="M69" s="96">
        <f t="shared" si="13"/>
        <v>4.7340277484570523E-2</v>
      </c>
      <c r="N69" s="96">
        <f t="shared" si="14"/>
        <v>1.0061628983725791E-2</v>
      </c>
      <c r="O69" s="96"/>
      <c r="R69" s="50"/>
      <c r="T69" s="96"/>
      <c r="U69" s="50"/>
      <c r="V69" s="50"/>
    </row>
    <row r="70" spans="11:22">
      <c r="Q70" s="96"/>
      <c r="R70" s="50"/>
      <c r="T70" s="96"/>
      <c r="U70" s="50"/>
      <c r="V70" s="50"/>
    </row>
  </sheetData>
  <printOptions horizontalCentered="1"/>
  <pageMargins left="0.5" right="0.5" top="1" bottom="0.5" header="0.5" footer="0.25"/>
  <pageSetup scale="4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F8004-7537-4633-BC10-1D901FA0E586}">
  <sheetPr transitionEvaluation="1" transitionEntry="1"/>
  <dimension ref="A1:T1325"/>
  <sheetViews>
    <sheetView view="pageBreakPreview" topLeftCell="A6" zoomScale="85" zoomScaleNormal="80" zoomScaleSheetLayoutView="85" workbookViewId="0">
      <pane xSplit="2" ySplit="3" topLeftCell="D924" activePane="bottomRight" state="frozen"/>
      <selection activeCell="H121" sqref="H121"/>
      <selection pane="topRight" activeCell="H121" sqref="H121"/>
      <selection pane="bottomLeft" activeCell="H121" sqref="H121"/>
      <selection pane="bottomRight" activeCell="S1277" sqref="S1277"/>
    </sheetView>
  </sheetViews>
  <sheetFormatPr defaultColWidth="10.28515625" defaultRowHeight="15.75"/>
  <cols>
    <col min="1" max="1" width="28.85546875" style="116" customWidth="1"/>
    <col min="2" max="2" width="10.28515625" style="114" customWidth="1"/>
    <col min="3" max="4" width="17.28515625" style="114" bestFit="1" customWidth="1"/>
    <col min="5" max="5" width="2.28515625" style="114" customWidth="1"/>
    <col min="6" max="6" width="10.7109375" style="114" bestFit="1" customWidth="1"/>
    <col min="7" max="7" width="2.28515625" style="114" bestFit="1" customWidth="1"/>
    <col min="8" max="9" width="16.5703125" style="114" bestFit="1" customWidth="1"/>
    <col min="10" max="10" width="2.28515625" style="114" customWidth="1"/>
    <col min="11" max="11" width="10.7109375" style="114" bestFit="1" customWidth="1"/>
    <col min="12" max="12" width="2.28515625" style="114" bestFit="1" customWidth="1"/>
    <col min="13" max="13" width="16.5703125" style="114" bestFit="1" customWidth="1"/>
    <col min="14" max="14" width="5.5703125" style="114" customWidth="1"/>
    <col min="15" max="15" width="28.85546875" style="114" customWidth="1"/>
    <col min="16" max="16" width="14.85546875" style="114" customWidth="1"/>
    <col min="17" max="17" width="15.140625" style="114" customWidth="1"/>
    <col min="18" max="18" width="14.28515625" style="114" customWidth="1"/>
    <col min="19" max="19" width="8.28515625" style="114" bestFit="1" customWidth="1"/>
    <col min="20" max="20" width="10.42578125" style="115" bestFit="1" customWidth="1"/>
    <col min="21" max="16384" width="10.28515625" style="114"/>
  </cols>
  <sheetData>
    <row r="1" spans="1:20" ht="18.7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20" ht="18.75">
      <c r="A2" s="112" t="s">
        <v>92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20" ht="18.75">
      <c r="A3" s="1" t="s">
        <v>447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20" ht="18.75">
      <c r="A4" s="1" t="s">
        <v>448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20" ht="18.75">
      <c r="A5" s="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6" spans="1:20">
      <c r="C6" s="117"/>
      <c r="D6" s="118"/>
      <c r="E6" s="119"/>
      <c r="F6" s="120" t="s">
        <v>5</v>
      </c>
      <c r="G6" s="121"/>
      <c r="H6" s="122"/>
      <c r="I6" s="122"/>
      <c r="J6" s="119"/>
      <c r="K6" s="120" t="s">
        <v>6</v>
      </c>
      <c r="L6" s="121"/>
      <c r="M6" s="122"/>
    </row>
    <row r="7" spans="1:20">
      <c r="C7" s="123" t="s">
        <v>93</v>
      </c>
      <c r="D7" s="122"/>
      <c r="E7" s="124"/>
      <c r="F7" s="125"/>
      <c r="G7" s="125"/>
      <c r="H7" s="126" t="s">
        <v>94</v>
      </c>
      <c r="I7" s="126"/>
      <c r="J7" s="124"/>
      <c r="K7" s="127"/>
      <c r="L7" s="125"/>
      <c r="M7" s="126"/>
    </row>
    <row r="8" spans="1:20">
      <c r="C8" s="128" t="s">
        <v>7</v>
      </c>
      <c r="D8" s="128" t="s">
        <v>20</v>
      </c>
      <c r="E8" s="129"/>
      <c r="F8" s="130" t="s">
        <v>95</v>
      </c>
      <c r="G8" s="125"/>
      <c r="H8" s="128" t="s">
        <v>7</v>
      </c>
      <c r="I8" s="128" t="s">
        <v>20</v>
      </c>
      <c r="J8" s="129"/>
      <c r="K8" s="130" t="s">
        <v>95</v>
      </c>
      <c r="L8" s="125"/>
      <c r="M8" s="130" t="s">
        <v>94</v>
      </c>
      <c r="O8" s="131" t="s">
        <v>96</v>
      </c>
      <c r="P8" s="132">
        <v>4</v>
      </c>
    </row>
    <row r="9" spans="1:20">
      <c r="A9" s="133" t="s">
        <v>449</v>
      </c>
      <c r="C9" s="134"/>
      <c r="D9" s="135"/>
      <c r="E9" s="135"/>
      <c r="J9" s="135"/>
    </row>
    <row r="10" spans="1:20">
      <c r="A10" s="136" t="s">
        <v>97</v>
      </c>
      <c r="C10" s="135">
        <f>SUM(C11:C14)</f>
        <v>9912896.2969997637</v>
      </c>
      <c r="D10" s="137">
        <v>10211688.872469638</v>
      </c>
      <c r="E10" s="137"/>
      <c r="F10" s="138"/>
      <c r="G10" s="138"/>
      <c r="H10" s="139"/>
      <c r="I10" s="139"/>
      <c r="J10" s="137"/>
      <c r="K10" s="138"/>
      <c r="L10" s="138"/>
      <c r="M10" s="139"/>
      <c r="O10" s="140"/>
      <c r="P10" s="141"/>
    </row>
    <row r="11" spans="1:20">
      <c r="A11" s="136" t="s">
        <v>98</v>
      </c>
      <c r="C11" s="135">
        <v>7541300.6989998901</v>
      </c>
      <c r="D11" s="135">
        <f>ROUND($C11/$C$10*D$10,0)</f>
        <v>7768609</v>
      </c>
      <c r="E11" s="135"/>
      <c r="F11" s="138">
        <v>10</v>
      </c>
      <c r="G11" s="138"/>
      <c r="H11" s="139">
        <f t="shared" ref="H11:I17" si="0">ROUND($F11*C11,0)</f>
        <v>75413007</v>
      </c>
      <c r="I11" s="139">
        <f t="shared" si="0"/>
        <v>77686090</v>
      </c>
      <c r="J11" s="135"/>
      <c r="K11" s="138">
        <f>F11+2</f>
        <v>12</v>
      </c>
      <c r="L11" s="138"/>
      <c r="M11" s="139">
        <f t="shared" ref="M11:M17" si="1">ROUND($K11*D11,0)</f>
        <v>93223308</v>
      </c>
      <c r="O11" s="142" t="s">
        <v>99</v>
      </c>
      <c r="P11" s="143"/>
      <c r="Q11" s="144"/>
      <c r="S11" s="145">
        <f>K11-'Order(Exhibit B)'!K11</f>
        <v>0</v>
      </c>
      <c r="T11" s="115">
        <f>M11-'Order(Exhibit B)'!M11</f>
        <v>0</v>
      </c>
    </row>
    <row r="12" spans="1:20">
      <c r="A12" s="136" t="s">
        <v>100</v>
      </c>
      <c r="C12" s="135">
        <v>2355534.0666665407</v>
      </c>
      <c r="D12" s="135">
        <f t="shared" ref="D12:D14" si="2">ROUND($C12/$C$10*D$10,0)</f>
        <v>2426534</v>
      </c>
      <c r="E12" s="135"/>
      <c r="F12" s="138">
        <v>6</v>
      </c>
      <c r="G12" s="138"/>
      <c r="H12" s="139">
        <f t="shared" si="0"/>
        <v>14133204</v>
      </c>
      <c r="I12" s="139">
        <f t="shared" si="0"/>
        <v>14559204</v>
      </c>
      <c r="J12" s="135"/>
      <c r="K12" s="138">
        <f>F12+1</f>
        <v>7</v>
      </c>
      <c r="L12" s="138"/>
      <c r="M12" s="139">
        <f t="shared" si="1"/>
        <v>16985738</v>
      </c>
      <c r="O12" s="146" t="s">
        <v>101</v>
      </c>
      <c r="P12" s="147">
        <f>M26+M47+M66+M81+M101</f>
        <v>947912302</v>
      </c>
      <c r="Q12" s="144"/>
      <c r="S12" s="145">
        <f>K12-'Order(Exhibit B)'!K12</f>
        <v>0</v>
      </c>
      <c r="T12" s="115">
        <f>M12-'Order(Exhibit B)'!M12</f>
        <v>0</v>
      </c>
    </row>
    <row r="13" spans="1:20">
      <c r="A13" s="136" t="s">
        <v>102</v>
      </c>
      <c r="C13" s="135">
        <v>3639.3979999999997</v>
      </c>
      <c r="D13" s="135">
        <f t="shared" si="2"/>
        <v>3749</v>
      </c>
      <c r="E13" s="135"/>
      <c r="F13" s="138">
        <v>20</v>
      </c>
      <c r="G13" s="138"/>
      <c r="H13" s="139">
        <f t="shared" si="0"/>
        <v>72788</v>
      </c>
      <c r="I13" s="139">
        <f t="shared" si="0"/>
        <v>74980</v>
      </c>
      <c r="J13" s="135"/>
      <c r="K13" s="138">
        <f>K11+7.5</f>
        <v>19.5</v>
      </c>
      <c r="L13" s="138"/>
      <c r="M13" s="139">
        <f t="shared" si="1"/>
        <v>73106</v>
      </c>
      <c r="N13" s="148"/>
      <c r="O13" s="149" t="s">
        <v>103</v>
      </c>
      <c r="P13" s="150">
        <f>('Exhibit B(Rate Spread)'!M14+'Exhibit B(Rate Spread)'!M15)*1000</f>
        <v>947914192.25655103</v>
      </c>
      <c r="Q13" s="151"/>
      <c r="R13" s="148"/>
      <c r="S13" s="145">
        <f>K13-'Order(Exhibit B)'!K13</f>
        <v>0</v>
      </c>
      <c r="T13" s="115">
        <f>M13-'Order(Exhibit B)'!M13</f>
        <v>0</v>
      </c>
    </row>
    <row r="14" spans="1:20">
      <c r="A14" s="136" t="s">
        <v>104</v>
      </c>
      <c r="C14" s="135">
        <v>12422.13333333335</v>
      </c>
      <c r="D14" s="135">
        <f t="shared" si="2"/>
        <v>12797</v>
      </c>
      <c r="E14" s="135"/>
      <c r="F14" s="138">
        <v>12</v>
      </c>
      <c r="G14" s="138"/>
      <c r="H14" s="139">
        <f t="shared" si="0"/>
        <v>149066</v>
      </c>
      <c r="I14" s="139">
        <f t="shared" si="0"/>
        <v>153564</v>
      </c>
      <c r="J14" s="135"/>
      <c r="K14" s="138">
        <f>K12+7.5</f>
        <v>14.5</v>
      </c>
      <c r="L14" s="138"/>
      <c r="M14" s="139">
        <f t="shared" si="1"/>
        <v>185557</v>
      </c>
      <c r="N14" s="148"/>
      <c r="O14" s="152" t="s">
        <v>105</v>
      </c>
      <c r="P14" s="153">
        <f>P13-P12</f>
        <v>1890.256551027298</v>
      </c>
      <c r="Q14" s="148"/>
      <c r="R14" s="148"/>
      <c r="S14" s="145">
        <f>K14-'Order(Exhibit B)'!K14</f>
        <v>0</v>
      </c>
      <c r="T14" s="115">
        <f>M14-'Order(Exhibit B)'!M14</f>
        <v>0</v>
      </c>
    </row>
    <row r="15" spans="1:20">
      <c r="A15" s="136" t="s">
        <v>106</v>
      </c>
      <c r="C15" s="135">
        <v>0</v>
      </c>
      <c r="D15" s="135">
        <f>ROUND($C15/$C$10*D$10,0)</f>
        <v>0</v>
      </c>
      <c r="E15" s="135"/>
      <c r="F15" s="138">
        <v>2</v>
      </c>
      <c r="G15" s="138"/>
      <c r="H15" s="139">
        <f t="shared" si="0"/>
        <v>0</v>
      </c>
      <c r="I15" s="139">
        <f t="shared" si="0"/>
        <v>0</v>
      </c>
      <c r="J15" s="135"/>
      <c r="K15" s="138">
        <f>F15</f>
        <v>2</v>
      </c>
      <c r="L15" s="138"/>
      <c r="M15" s="139">
        <f t="shared" si="1"/>
        <v>0</v>
      </c>
      <c r="N15" s="148"/>
      <c r="O15" s="132"/>
      <c r="P15" s="154"/>
      <c r="Q15" s="148"/>
      <c r="R15" s="148"/>
      <c r="S15" s="145">
        <f>K15-'Order(Exhibit B)'!K15</f>
        <v>0</v>
      </c>
      <c r="T15" s="115">
        <f>M15-'Order(Exhibit B)'!M15</f>
        <v>0</v>
      </c>
    </row>
    <row r="16" spans="1:20">
      <c r="A16" s="136" t="s">
        <v>107</v>
      </c>
      <c r="C16" s="135">
        <v>483.1</v>
      </c>
      <c r="D16" s="135">
        <f>ROUND($C16/$C$10*D$10,0)</f>
        <v>498</v>
      </c>
      <c r="E16" s="135"/>
      <c r="F16" s="138">
        <v>22</v>
      </c>
      <c r="G16" s="138"/>
      <c r="H16" s="139">
        <f t="shared" si="0"/>
        <v>10628</v>
      </c>
      <c r="I16" s="139">
        <f t="shared" si="0"/>
        <v>10956</v>
      </c>
      <c r="J16" s="135"/>
      <c r="K16" s="138">
        <f>F16</f>
        <v>22</v>
      </c>
      <c r="L16" s="138"/>
      <c r="M16" s="139">
        <f t="shared" si="1"/>
        <v>10956</v>
      </c>
      <c r="N16" s="148"/>
      <c r="O16" s="146" t="s">
        <v>108</v>
      </c>
      <c r="P16" s="155">
        <f>P12/($I$26+$I$47+$I$66+$I$81+$I$101)-1</f>
        <v>4.7338188960274863E-2</v>
      </c>
      <c r="Q16" s="148"/>
      <c r="R16" s="148"/>
      <c r="S16" s="145">
        <f>K16-'Order(Exhibit B)'!K16</f>
        <v>0</v>
      </c>
      <c r="T16" s="115">
        <f>M16-'Order(Exhibit B)'!M16</f>
        <v>0</v>
      </c>
    </row>
    <row r="17" spans="1:20">
      <c r="A17" s="136" t="s">
        <v>109</v>
      </c>
      <c r="C17" s="135">
        <v>6120807</v>
      </c>
      <c r="D17" s="135">
        <v>7098075.6602435652</v>
      </c>
      <c r="E17" s="135"/>
      <c r="F17" s="138">
        <v>-0.5</v>
      </c>
      <c r="G17" s="138"/>
      <c r="H17" s="139">
        <f t="shared" si="0"/>
        <v>-3060404</v>
      </c>
      <c r="I17" s="139">
        <f t="shared" si="0"/>
        <v>-3549038</v>
      </c>
      <c r="J17" s="135"/>
      <c r="K17" s="138">
        <f>F17</f>
        <v>-0.5</v>
      </c>
      <c r="L17" s="138"/>
      <c r="M17" s="139">
        <f t="shared" si="1"/>
        <v>-3549038</v>
      </c>
      <c r="N17" s="148"/>
      <c r="O17" s="149" t="s">
        <v>110</v>
      </c>
      <c r="P17" s="156">
        <f>P13/($I$26+$I$47+$I$66+$I$81+$I$101)-1</f>
        <v>4.734027748457037E-2</v>
      </c>
      <c r="Q17" s="148"/>
      <c r="R17" s="148"/>
      <c r="S17" s="145">
        <f>K17-'Order(Exhibit B)'!K17</f>
        <v>0</v>
      </c>
      <c r="T17" s="115">
        <f>M17-'Order(Exhibit B)'!M17</f>
        <v>0</v>
      </c>
    </row>
    <row r="18" spans="1:20">
      <c r="A18" s="136" t="s">
        <v>111</v>
      </c>
      <c r="C18" s="135">
        <v>0</v>
      </c>
      <c r="D18" s="135">
        <f>ROUND($C18/SUM($C20:$C21)*SUM(D20:D21),0)</f>
        <v>0</v>
      </c>
      <c r="E18" s="135"/>
      <c r="F18" s="157">
        <v>4.3559999999999999</v>
      </c>
      <c r="G18" s="138" t="s">
        <v>112</v>
      </c>
      <c r="H18" s="139">
        <f t="shared" ref="H18:I24" si="3">ROUND($F18*C18/100,0)</f>
        <v>0</v>
      </c>
      <c r="I18" s="139">
        <f t="shared" si="3"/>
        <v>0</v>
      </c>
      <c r="J18" s="135"/>
      <c r="K18" s="157">
        <f>F18</f>
        <v>4.3559999999999999</v>
      </c>
      <c r="L18" s="138" t="s">
        <v>112</v>
      </c>
      <c r="M18" s="139">
        <f t="shared" ref="M18:M24" si="4">ROUND($K18*D18/100,0)</f>
        <v>0</v>
      </c>
      <c r="N18" s="158"/>
      <c r="O18" s="149" t="s">
        <v>113</v>
      </c>
      <c r="P18" s="159">
        <f>(P13-SUM(M11:M17,M30:M36,M51:M57,M70:M76,M85:M91))/SUM(I18:I24,I37:I45,I58:I64,I77:I79,I92:I98)-1</f>
        <v>2.7917257638714332E-2</v>
      </c>
      <c r="Q18" s="158"/>
      <c r="R18" s="158"/>
      <c r="S18" s="145">
        <f>K18-'Order(Exhibit B)'!K18</f>
        <v>0</v>
      </c>
      <c r="T18" s="115">
        <f>M18-'Order(Exhibit B)'!M18</f>
        <v>0</v>
      </c>
    </row>
    <row r="19" spans="1:20">
      <c r="A19" s="136" t="s">
        <v>114</v>
      </c>
      <c r="C19" s="135">
        <v>0</v>
      </c>
      <c r="D19" s="135">
        <f>ROUND($C19/SUM($C20:$C21)*SUM(D20:D21),0)</f>
        <v>0</v>
      </c>
      <c r="E19" s="135"/>
      <c r="F19" s="157">
        <v>-1.6334</v>
      </c>
      <c r="G19" s="138" t="s">
        <v>112</v>
      </c>
      <c r="H19" s="139">
        <f t="shared" si="3"/>
        <v>0</v>
      </c>
      <c r="I19" s="139">
        <f t="shared" si="3"/>
        <v>0</v>
      </c>
      <c r="J19" s="135"/>
      <c r="K19" s="157">
        <f>F19</f>
        <v>-1.6334</v>
      </c>
      <c r="L19" s="138" t="s">
        <v>112</v>
      </c>
      <c r="M19" s="139">
        <f t="shared" si="4"/>
        <v>0</v>
      </c>
      <c r="N19" s="148"/>
      <c r="O19" s="160" t="s">
        <v>115</v>
      </c>
      <c r="P19" s="161"/>
      <c r="Q19" s="162">
        <f>K20/K22</f>
        <v>1.129999878754077</v>
      </c>
      <c r="R19" s="162">
        <f>K21/K23</f>
        <v>1.1300078074292863</v>
      </c>
      <c r="S19" s="145">
        <f>K19-'Order(Exhibit B)'!K19</f>
        <v>0</v>
      </c>
      <c r="T19" s="115">
        <f>M19-'Order(Exhibit B)'!M19</f>
        <v>0</v>
      </c>
    </row>
    <row r="20" spans="1:20">
      <c r="A20" s="136" t="s">
        <v>116</v>
      </c>
      <c r="C20" s="135">
        <v>1184431973</v>
      </c>
      <c r="D20" s="137">
        <v>1280445808</v>
      </c>
      <c r="E20" s="137"/>
      <c r="F20" s="157">
        <v>9.0279000000000007</v>
      </c>
      <c r="G20" s="163" t="s">
        <v>112</v>
      </c>
      <c r="H20" s="139">
        <f t="shared" si="3"/>
        <v>106929334</v>
      </c>
      <c r="I20" s="139">
        <f t="shared" si="3"/>
        <v>115597367</v>
      </c>
      <c r="J20" s="137"/>
      <c r="K20" s="157">
        <f>ROUND(($P$13-SUM(M11:M19,M24,M30:M40,M45,M51:M59,M64,M81,M85:M93,M98)-(F21-F20)/100*SUM(D21,D42,D61,D95)-(F23-F22)/100*SUM(D23,D44,D63,D97))/(SUM(D20:D21,D41:D42,D60:D61,D94:D95)+F22/F20*SUM(D22:D23,D43:D44,D62:D63,D96:D97))*100,$P$8)</f>
        <v>9.3199000000000005</v>
      </c>
      <c r="L20" s="163" t="s">
        <v>112</v>
      </c>
      <c r="M20" s="139">
        <f t="shared" si="4"/>
        <v>119336269</v>
      </c>
      <c r="N20" s="164"/>
      <c r="O20" s="160" t="s">
        <v>117</v>
      </c>
      <c r="P20" s="165"/>
      <c r="Q20" s="166">
        <f>K21-K20</f>
        <v>2.6930999999999994</v>
      </c>
      <c r="R20" s="166">
        <f>F21-F20</f>
        <v>2.6930999999999994</v>
      </c>
      <c r="S20" s="145">
        <f>K20-'Order(Exhibit B)'!K20</f>
        <v>3.8500000000000867E-2</v>
      </c>
      <c r="T20" s="115">
        <f>M20-'Order(Exhibit B)'!M20</f>
        <v>492972</v>
      </c>
    </row>
    <row r="21" spans="1:20">
      <c r="A21" s="136" t="s">
        <v>118</v>
      </c>
      <c r="C21" s="135">
        <v>1683587899.7623816</v>
      </c>
      <c r="D21" s="137">
        <v>1820064906</v>
      </c>
      <c r="E21" s="137"/>
      <c r="F21" s="157">
        <v>11.721</v>
      </c>
      <c r="G21" s="163" t="s">
        <v>112</v>
      </c>
      <c r="H21" s="139">
        <f t="shared" si="3"/>
        <v>197333338</v>
      </c>
      <c r="I21" s="139">
        <f t="shared" si="3"/>
        <v>213329808</v>
      </c>
      <c r="J21" s="137"/>
      <c r="K21" s="157">
        <f>K20+F21-F20</f>
        <v>12.013</v>
      </c>
      <c r="L21" s="163" t="s">
        <v>112</v>
      </c>
      <c r="M21" s="139">
        <f t="shared" si="4"/>
        <v>218644397</v>
      </c>
      <c r="N21" s="164"/>
      <c r="O21" s="167" t="s">
        <v>119</v>
      </c>
      <c r="P21" s="168"/>
      <c r="Q21" s="166">
        <f>K23-K22</f>
        <v>2.3832000000000004</v>
      </c>
      <c r="R21" s="166">
        <f>F23-F22</f>
        <v>2.3832000000000004</v>
      </c>
      <c r="S21" s="145">
        <f>K21-'Order(Exhibit B)'!K21</f>
        <v>3.8499999999999091E-2</v>
      </c>
      <c r="T21" s="115">
        <f>M21-'Order(Exhibit B)'!M21</f>
        <v>700725</v>
      </c>
    </row>
    <row r="22" spans="1:20">
      <c r="A22" s="136" t="s">
        <v>120</v>
      </c>
      <c r="B22" s="169"/>
      <c r="C22" s="135">
        <v>2282008538</v>
      </c>
      <c r="D22" s="137">
        <v>2250428111</v>
      </c>
      <c r="E22" s="137"/>
      <c r="F22" s="170">
        <v>7.9893000000000001</v>
      </c>
      <c r="G22" s="163" t="s">
        <v>112</v>
      </c>
      <c r="H22" s="139">
        <f t="shared" si="3"/>
        <v>182316508</v>
      </c>
      <c r="I22" s="139">
        <f t="shared" si="3"/>
        <v>179793453</v>
      </c>
      <c r="J22" s="137"/>
      <c r="K22" s="170">
        <f>ROUND(K20*F22/F20,$P$8)</f>
        <v>8.2477</v>
      </c>
      <c r="L22" s="163" t="s">
        <v>112</v>
      </c>
      <c r="M22" s="139">
        <f t="shared" si="4"/>
        <v>185608559</v>
      </c>
      <c r="N22" s="164"/>
      <c r="O22" s="160" t="s">
        <v>117</v>
      </c>
      <c r="P22" s="165">
        <v>0</v>
      </c>
      <c r="R22" s="145"/>
      <c r="S22" s="145">
        <f>K22-'Order(Exhibit B)'!K22</f>
        <v>3.4100000000000463E-2</v>
      </c>
      <c r="T22" s="115">
        <f>M22-'Order(Exhibit B)'!M22</f>
        <v>767396</v>
      </c>
    </row>
    <row r="23" spans="1:20">
      <c r="A23" s="136" t="s">
        <v>121</v>
      </c>
      <c r="B23" s="169"/>
      <c r="C23" s="135">
        <v>2129421079.6356161</v>
      </c>
      <c r="D23" s="137">
        <v>2099952291</v>
      </c>
      <c r="E23" s="137"/>
      <c r="F23" s="170">
        <v>10.3725</v>
      </c>
      <c r="G23" s="163" t="s">
        <v>112</v>
      </c>
      <c r="H23" s="139">
        <f t="shared" si="3"/>
        <v>220874201</v>
      </c>
      <c r="I23" s="139">
        <f t="shared" si="3"/>
        <v>217817551</v>
      </c>
      <c r="J23" s="137"/>
      <c r="K23" s="157">
        <f>K22+F23-F22</f>
        <v>10.6309</v>
      </c>
      <c r="L23" s="163" t="s">
        <v>112</v>
      </c>
      <c r="M23" s="139">
        <f t="shared" si="4"/>
        <v>223243828</v>
      </c>
      <c r="N23" s="164"/>
      <c r="O23" s="132" t="s">
        <v>122</v>
      </c>
      <c r="P23" s="171">
        <f>ROUND(D26/D10,0)</f>
        <v>731</v>
      </c>
      <c r="S23" s="145">
        <f>K23-'Order(Exhibit B)'!K23</f>
        <v>3.4100000000000463E-2</v>
      </c>
      <c r="T23" s="115">
        <f>M23-'Order(Exhibit B)'!M23</f>
        <v>716084</v>
      </c>
    </row>
    <row r="24" spans="1:20">
      <c r="A24" s="172" t="s">
        <v>123</v>
      </c>
      <c r="B24" s="173"/>
      <c r="C24" s="135">
        <v>16475158</v>
      </c>
      <c r="D24" s="135">
        <f>ROUND($C24/$C$26*D$26,0)</f>
        <v>16815241</v>
      </c>
      <c r="E24" s="135"/>
      <c r="F24" s="174">
        <v>11.912599999999999</v>
      </c>
      <c r="G24" s="13" t="s">
        <v>112</v>
      </c>
      <c r="H24" s="139">
        <f t="shared" si="3"/>
        <v>1962620</v>
      </c>
      <c r="I24" s="139">
        <f t="shared" si="3"/>
        <v>2003132</v>
      </c>
      <c r="J24" s="135"/>
      <c r="K24" s="175">
        <f>'Order(Exhibit B)'!K24</f>
        <v>12.0525</v>
      </c>
      <c r="L24" s="13" t="s">
        <v>112</v>
      </c>
      <c r="M24" s="139">
        <f t="shared" si="4"/>
        <v>2026657</v>
      </c>
      <c r="N24" s="164"/>
      <c r="O24" s="132" t="s">
        <v>124</v>
      </c>
      <c r="P24" s="171">
        <f>ROUND(SUM(D20:D21,D24*4/12)/(D10*4/12),0)</f>
        <v>913</v>
      </c>
      <c r="Q24" s="170"/>
      <c r="R24" s="164"/>
      <c r="S24" s="145">
        <f>K24-'Order(Exhibit B)'!K24</f>
        <v>0</v>
      </c>
      <c r="T24" s="115">
        <f>M24-'Order(Exhibit B)'!M24</f>
        <v>0</v>
      </c>
    </row>
    <row r="25" spans="1:20">
      <c r="A25" s="172" t="s">
        <v>125</v>
      </c>
      <c r="B25" s="173"/>
      <c r="C25" s="135">
        <v>20749664</v>
      </c>
      <c r="D25" s="135"/>
      <c r="E25" s="135"/>
      <c r="F25" s="174"/>
      <c r="G25" s="13"/>
      <c r="H25" s="139">
        <v>2688568</v>
      </c>
      <c r="I25" s="139"/>
      <c r="J25" s="135"/>
      <c r="K25" s="174"/>
      <c r="L25" s="13"/>
      <c r="M25" s="139"/>
      <c r="N25" s="164"/>
      <c r="O25" s="132" t="s">
        <v>126</v>
      </c>
      <c r="P25" s="171">
        <f>ROUND(SUM(D22:D23,D24*8/12)/(D10*8/12),0)</f>
        <v>641</v>
      </c>
      <c r="Q25" s="170"/>
      <c r="R25" s="164"/>
      <c r="S25" s="145">
        <f>K25-'Order(Exhibit B)'!K25</f>
        <v>0</v>
      </c>
      <c r="T25" s="115">
        <f>M25-'Order(Exhibit B)'!M25</f>
        <v>0</v>
      </c>
    </row>
    <row r="26" spans="1:20" ht="16.5" thickBot="1">
      <c r="A26" s="176" t="s">
        <v>127</v>
      </c>
      <c r="B26" s="177"/>
      <c r="C26" s="178">
        <f>SUM(C20:C25)</f>
        <v>7316674312.3979979</v>
      </c>
      <c r="D26" s="178">
        <v>7467706357.8583565</v>
      </c>
      <c r="E26" s="178"/>
      <c r="F26" s="177"/>
      <c r="G26" s="177"/>
      <c r="H26" s="179">
        <f>SUM(H11:H25)</f>
        <v>798822858</v>
      </c>
      <c r="I26" s="179">
        <f>SUM(I11:I25)</f>
        <v>817477067</v>
      </c>
      <c r="J26" s="178"/>
      <c r="K26" s="177"/>
      <c r="L26" s="177"/>
      <c r="M26" s="179">
        <f>SUM(M11:M25)</f>
        <v>855789337</v>
      </c>
      <c r="O26" s="132" t="s">
        <v>108</v>
      </c>
      <c r="P26" s="131">
        <f>M26/I26-1</f>
        <v>4.6866476806009194E-2</v>
      </c>
      <c r="S26" s="145">
        <f>K26-'Order(Exhibit B)'!K26</f>
        <v>0</v>
      </c>
      <c r="T26" s="115">
        <f>M26-'Order(Exhibit B)'!M26</f>
        <v>2677177</v>
      </c>
    </row>
    <row r="27" spans="1:20" ht="16.5" thickTop="1">
      <c r="C27" s="180"/>
      <c r="D27" s="180"/>
      <c r="E27" s="180"/>
      <c r="J27" s="180"/>
      <c r="S27" s="145">
        <f>K27-'Order(Exhibit B)'!K27</f>
        <v>0</v>
      </c>
      <c r="T27" s="115">
        <f>M27-'Order(Exhibit B)'!M27</f>
        <v>0</v>
      </c>
    </row>
    <row r="28" spans="1:20">
      <c r="A28" s="133" t="s">
        <v>450</v>
      </c>
      <c r="C28" s="135"/>
      <c r="D28" s="135"/>
      <c r="E28" s="135"/>
      <c r="J28" s="135"/>
      <c r="P28" s="139"/>
      <c r="S28" s="145">
        <f>K28-'Order(Exhibit B)'!K28</f>
        <v>0</v>
      </c>
      <c r="T28" s="115">
        <f>M28-'Order(Exhibit B)'!M28</f>
        <v>0</v>
      </c>
    </row>
    <row r="29" spans="1:20">
      <c r="A29" s="136" t="s">
        <v>97</v>
      </c>
      <c r="C29" s="135">
        <f>SUM(C30:C33)</f>
        <v>788997.91783333721</v>
      </c>
      <c r="D29" s="137">
        <v>1040676.0000000002</v>
      </c>
      <c r="E29" s="137"/>
      <c r="F29" s="138"/>
      <c r="G29" s="138"/>
      <c r="H29" s="139"/>
      <c r="I29" s="139"/>
      <c r="J29" s="137"/>
      <c r="K29" s="138"/>
      <c r="L29" s="138"/>
      <c r="M29" s="139"/>
      <c r="O29" s="164" t="s">
        <v>128</v>
      </c>
      <c r="P29" s="159" t="s">
        <v>26</v>
      </c>
      <c r="Q29" s="114" t="s">
        <v>6</v>
      </c>
      <c r="S29" s="145">
        <f>K29-'Order(Exhibit B)'!K29</f>
        <v>0</v>
      </c>
      <c r="T29" s="115">
        <f>M29-'Order(Exhibit B)'!M29</f>
        <v>0</v>
      </c>
    </row>
    <row r="30" spans="1:20">
      <c r="A30" s="136" t="s">
        <v>98</v>
      </c>
      <c r="C30" s="135">
        <v>766112.18400000397</v>
      </c>
      <c r="D30" s="135">
        <f t="shared" ref="D30:D35" si="5">ROUND($C30/$C$29*D$29,0)</f>
        <v>1010490</v>
      </c>
      <c r="E30" s="135"/>
      <c r="F30" s="138">
        <v>10</v>
      </c>
      <c r="G30" s="138"/>
      <c r="H30" s="139">
        <f t="shared" ref="H30:I36" si="6">ROUND($F30*C30,0)</f>
        <v>7661122</v>
      </c>
      <c r="I30" s="139">
        <f t="shared" si="6"/>
        <v>10104900</v>
      </c>
      <c r="J30" s="135"/>
      <c r="K30" s="138">
        <f>K11</f>
        <v>12</v>
      </c>
      <c r="L30" s="138"/>
      <c r="M30" s="139">
        <f t="shared" ref="M30:M36" si="7">ROUND($K30*D30,0)</f>
        <v>12125880</v>
      </c>
      <c r="O30" s="114" t="s">
        <v>105</v>
      </c>
      <c r="P30" s="145">
        <v>4.1875999999999998</v>
      </c>
      <c r="Q30" s="145">
        <f>Q32-Q31</f>
        <v>4.3275000000000006</v>
      </c>
      <c r="S30" s="145">
        <f>K30-'Order(Exhibit B)'!K30</f>
        <v>0</v>
      </c>
      <c r="T30" s="115">
        <f>M30-'Order(Exhibit B)'!M30</f>
        <v>0</v>
      </c>
    </row>
    <row r="31" spans="1:20">
      <c r="A31" s="136" t="s">
        <v>100</v>
      </c>
      <c r="C31" s="135">
        <v>22471.23333333333</v>
      </c>
      <c r="D31" s="135">
        <f t="shared" si="5"/>
        <v>29639</v>
      </c>
      <c r="E31" s="135"/>
      <c r="F31" s="138">
        <v>6</v>
      </c>
      <c r="G31" s="138"/>
      <c r="H31" s="139">
        <f t="shared" si="6"/>
        <v>134827</v>
      </c>
      <c r="I31" s="139">
        <f t="shared" si="6"/>
        <v>177834</v>
      </c>
      <c r="J31" s="135"/>
      <c r="K31" s="138">
        <f t="shared" ref="K31:K36" si="8">K12</f>
        <v>7</v>
      </c>
      <c r="L31" s="138"/>
      <c r="M31" s="139">
        <f t="shared" si="7"/>
        <v>207473</v>
      </c>
      <c r="O31" s="114" t="s">
        <v>129</v>
      </c>
      <c r="P31" s="145">
        <v>7.7249999999999996</v>
      </c>
      <c r="Q31" s="145">
        <f>P31</f>
        <v>7.7249999999999996</v>
      </c>
      <c r="S31" s="145">
        <f>K31-'Order(Exhibit B)'!K31</f>
        <v>0</v>
      </c>
      <c r="T31" s="115">
        <f>M31-'Order(Exhibit B)'!M31</f>
        <v>0</v>
      </c>
    </row>
    <row r="32" spans="1:20">
      <c r="A32" s="136" t="s">
        <v>102</v>
      </c>
      <c r="C32" s="135">
        <v>186.50049999999999</v>
      </c>
      <c r="D32" s="135">
        <f t="shared" si="5"/>
        <v>246</v>
      </c>
      <c r="E32" s="135"/>
      <c r="F32" s="138">
        <v>20</v>
      </c>
      <c r="G32" s="138"/>
      <c r="H32" s="139">
        <f t="shared" si="6"/>
        <v>3730</v>
      </c>
      <c r="I32" s="139">
        <f t="shared" si="6"/>
        <v>4920</v>
      </c>
      <c r="J32" s="135"/>
      <c r="K32" s="138">
        <f t="shared" si="8"/>
        <v>19.5</v>
      </c>
      <c r="L32" s="138"/>
      <c r="M32" s="139">
        <f t="shared" si="7"/>
        <v>4797</v>
      </c>
      <c r="O32" s="114" t="s">
        <v>130</v>
      </c>
      <c r="P32" s="145">
        <f>SUM(P30:P31)</f>
        <v>11.912599999999999</v>
      </c>
      <c r="Q32" s="145">
        <f>K24</f>
        <v>12.0525</v>
      </c>
      <c r="S32" s="145">
        <f>K32-'Order(Exhibit B)'!K32</f>
        <v>0</v>
      </c>
      <c r="T32" s="115">
        <f>M32-'Order(Exhibit B)'!M32</f>
        <v>0</v>
      </c>
    </row>
    <row r="33" spans="1:20">
      <c r="A33" s="136" t="s">
        <v>104</v>
      </c>
      <c r="C33" s="135">
        <v>228</v>
      </c>
      <c r="D33" s="135">
        <f t="shared" si="5"/>
        <v>301</v>
      </c>
      <c r="E33" s="135"/>
      <c r="F33" s="138">
        <v>12</v>
      </c>
      <c r="G33" s="138"/>
      <c r="H33" s="139">
        <f t="shared" si="6"/>
        <v>2736</v>
      </c>
      <c r="I33" s="139">
        <f t="shared" si="6"/>
        <v>3612</v>
      </c>
      <c r="J33" s="135"/>
      <c r="K33" s="138">
        <f t="shared" si="8"/>
        <v>14.5</v>
      </c>
      <c r="L33" s="138"/>
      <c r="M33" s="139">
        <f t="shared" si="7"/>
        <v>4365</v>
      </c>
      <c r="Q33" s="145"/>
      <c r="S33" s="145">
        <f>K33-'Order(Exhibit B)'!K33</f>
        <v>0</v>
      </c>
      <c r="T33" s="115">
        <f>M33-'Order(Exhibit B)'!M33</f>
        <v>0</v>
      </c>
    </row>
    <row r="34" spans="1:20">
      <c r="A34" s="136" t="s">
        <v>106</v>
      </c>
      <c r="C34" s="135">
        <v>1232.9549999999999</v>
      </c>
      <c r="D34" s="135">
        <f t="shared" si="5"/>
        <v>1626</v>
      </c>
      <c r="E34" s="135"/>
      <c r="F34" s="138">
        <v>2</v>
      </c>
      <c r="G34" s="138"/>
      <c r="H34" s="139">
        <f t="shared" si="6"/>
        <v>2466</v>
      </c>
      <c r="I34" s="139">
        <f t="shared" si="6"/>
        <v>3252</v>
      </c>
      <c r="J34" s="135"/>
      <c r="K34" s="138">
        <f t="shared" si="8"/>
        <v>2</v>
      </c>
      <c r="L34" s="138"/>
      <c r="M34" s="139">
        <f t="shared" si="7"/>
        <v>3252</v>
      </c>
      <c r="N34" s="148"/>
      <c r="Q34" s="145"/>
      <c r="R34" s="148"/>
      <c r="S34" s="145">
        <f>K34-'Order(Exhibit B)'!K34</f>
        <v>0</v>
      </c>
      <c r="T34" s="115">
        <f>M34-'Order(Exhibit B)'!M34</f>
        <v>0</v>
      </c>
    </row>
    <row r="35" spans="1:20">
      <c r="A35" s="136" t="s">
        <v>107</v>
      </c>
      <c r="C35" s="135">
        <v>40</v>
      </c>
      <c r="D35" s="135">
        <f t="shared" si="5"/>
        <v>53</v>
      </c>
      <c r="E35" s="135"/>
      <c r="F35" s="138">
        <v>22</v>
      </c>
      <c r="G35" s="138"/>
      <c r="H35" s="139">
        <f t="shared" si="6"/>
        <v>880</v>
      </c>
      <c r="I35" s="139">
        <f t="shared" si="6"/>
        <v>1166</v>
      </c>
      <c r="J35" s="135"/>
      <c r="K35" s="138">
        <f t="shared" si="8"/>
        <v>22</v>
      </c>
      <c r="L35" s="138"/>
      <c r="M35" s="139">
        <f t="shared" si="7"/>
        <v>1166</v>
      </c>
      <c r="N35" s="148"/>
      <c r="Q35" s="148"/>
      <c r="R35" s="148"/>
      <c r="S35" s="145">
        <f>K35-'Order(Exhibit B)'!K35</f>
        <v>0</v>
      </c>
      <c r="T35" s="115">
        <f>M35-'Order(Exhibit B)'!M35</f>
        <v>0</v>
      </c>
    </row>
    <row r="36" spans="1:20">
      <c r="A36" s="136" t="s">
        <v>109</v>
      </c>
      <c r="C36" s="135">
        <v>546761</v>
      </c>
      <c r="D36" s="135">
        <v>723366.82776481612</v>
      </c>
      <c r="E36" s="135"/>
      <c r="F36" s="138">
        <v>-0.5</v>
      </c>
      <c r="G36" s="138"/>
      <c r="H36" s="139">
        <f t="shared" si="6"/>
        <v>-273381</v>
      </c>
      <c r="I36" s="139">
        <f t="shared" si="6"/>
        <v>-361683</v>
      </c>
      <c r="J36" s="135"/>
      <c r="K36" s="138">
        <f t="shared" si="8"/>
        <v>-0.5</v>
      </c>
      <c r="L36" s="138"/>
      <c r="M36" s="139">
        <f t="shared" si="7"/>
        <v>-361683</v>
      </c>
      <c r="N36" s="148"/>
      <c r="Q36" s="148"/>
      <c r="R36" s="148"/>
      <c r="S36" s="145">
        <f>K36-'Order(Exhibit B)'!K36</f>
        <v>0</v>
      </c>
      <c r="T36" s="115">
        <f>M36-'Order(Exhibit B)'!M36</f>
        <v>0</v>
      </c>
    </row>
    <row r="37" spans="1:20">
      <c r="A37" s="136" t="s">
        <v>111</v>
      </c>
      <c r="C37" s="135">
        <v>31440</v>
      </c>
      <c r="D37" s="135">
        <f>ROUND($C37/SUM($C41:$C42)*SUM(D41:D42),0)</f>
        <v>45401</v>
      </c>
      <c r="E37" s="135"/>
      <c r="F37" s="157">
        <v>4.3559999999999999</v>
      </c>
      <c r="G37" s="138" t="s">
        <v>112</v>
      </c>
      <c r="H37" s="139">
        <f>ROUND($F37*C37/100,0)</f>
        <v>1370</v>
      </c>
      <c r="I37" s="139">
        <f>ROUND($F37*D37/100,0)</f>
        <v>1978</v>
      </c>
      <c r="J37" s="135"/>
      <c r="K37" s="157">
        <f>K18</f>
        <v>4.3559999999999999</v>
      </c>
      <c r="L37" s="138" t="s">
        <v>112</v>
      </c>
      <c r="M37" s="139">
        <f t="shared" ref="M37:M45" si="9">ROUND($K37*D37/100,0)</f>
        <v>1978</v>
      </c>
      <c r="N37" s="148"/>
      <c r="Q37" s="148"/>
      <c r="R37" s="148"/>
      <c r="S37" s="145">
        <f>K37-'Order(Exhibit B)'!K37</f>
        <v>0</v>
      </c>
      <c r="T37" s="115">
        <f>M37-'Order(Exhibit B)'!M37</f>
        <v>0</v>
      </c>
    </row>
    <row r="38" spans="1:20">
      <c r="A38" s="136" t="s">
        <v>114</v>
      </c>
      <c r="C38" s="135">
        <v>203190</v>
      </c>
      <c r="D38" s="135">
        <f>ROUND($C38/SUM($C41:$C42)*SUM(D41:D42),0)</f>
        <v>293414</v>
      </c>
      <c r="E38" s="135"/>
      <c r="F38" s="157">
        <v>-1.6334</v>
      </c>
      <c r="G38" s="138" t="s">
        <v>112</v>
      </c>
      <c r="H38" s="139">
        <f>ROUND($F38*C38/100,0)</f>
        <v>-3319</v>
      </c>
      <c r="I38" s="139">
        <f>ROUND($F38*D38/100,0)</f>
        <v>-4793</v>
      </c>
      <c r="J38" s="135"/>
      <c r="K38" s="157">
        <f>K19</f>
        <v>-1.6334</v>
      </c>
      <c r="L38" s="138" t="s">
        <v>112</v>
      </c>
      <c r="M38" s="139">
        <f t="shared" si="9"/>
        <v>-4793</v>
      </c>
      <c r="N38" s="158"/>
      <c r="Q38" s="158"/>
      <c r="R38" s="158"/>
      <c r="S38" s="145">
        <f>K38-'Order(Exhibit B)'!K38</f>
        <v>0</v>
      </c>
      <c r="T38" s="115">
        <f>M38-'Order(Exhibit B)'!M38</f>
        <v>0</v>
      </c>
    </row>
    <row r="39" spans="1:20">
      <c r="A39" s="136" t="s">
        <v>131</v>
      </c>
      <c r="C39" s="135">
        <v>124577</v>
      </c>
      <c r="D39" s="135">
        <f>$C39/($C$47)*D$47</f>
        <v>168932.71065862276</v>
      </c>
      <c r="E39" s="135"/>
      <c r="F39" s="157">
        <v>25.353200000000001</v>
      </c>
      <c r="G39" s="138" t="s">
        <v>112</v>
      </c>
      <c r="H39" s="139">
        <f t="shared" ref="H39:I45" si="10">ROUND($F39*C39/100,0)</f>
        <v>31584</v>
      </c>
      <c r="I39" s="139">
        <f t="shared" si="10"/>
        <v>42830</v>
      </c>
      <c r="J39" s="135"/>
      <c r="K39" s="157">
        <f>K77</f>
        <v>26.060991816365853</v>
      </c>
      <c r="L39" s="138" t="s">
        <v>112</v>
      </c>
      <c r="M39" s="139">
        <f t="shared" si="9"/>
        <v>44026</v>
      </c>
      <c r="N39" s="148"/>
      <c r="O39" s="164"/>
      <c r="Q39" s="148"/>
      <c r="R39" s="148"/>
      <c r="S39" s="145">
        <f>K39-'Order(Exhibit B)'!K39</f>
        <v>9.324935234607068E-2</v>
      </c>
      <c r="T39" s="115">
        <f>M39-'Order(Exhibit B)'!M39</f>
        <v>158</v>
      </c>
    </row>
    <row r="40" spans="1:20">
      <c r="A40" s="136" t="s">
        <v>132</v>
      </c>
      <c r="C40" s="135">
        <v>1140971</v>
      </c>
      <c r="D40" s="135">
        <f>$C40/($C$47)*D$47</f>
        <v>1547214.363910509</v>
      </c>
      <c r="E40" s="135"/>
      <c r="F40" s="157">
        <v>5.2004000000000001</v>
      </c>
      <c r="G40" s="138" t="s">
        <v>112</v>
      </c>
      <c r="H40" s="139">
        <f t="shared" si="10"/>
        <v>59335</v>
      </c>
      <c r="I40" s="139">
        <f t="shared" si="10"/>
        <v>80461</v>
      </c>
      <c r="J40" s="135"/>
      <c r="K40" s="157">
        <f>K78</f>
        <v>5.3455809066243702</v>
      </c>
      <c r="L40" s="138" t="s">
        <v>112</v>
      </c>
      <c r="M40" s="139">
        <f t="shared" si="9"/>
        <v>82708</v>
      </c>
      <c r="N40" s="158"/>
      <c r="Q40" s="158"/>
      <c r="R40" s="158"/>
      <c r="S40" s="145">
        <f>K40-'Order(Exhibit B)'!K40</f>
        <v>1.9127129196334636E-2</v>
      </c>
      <c r="T40" s="115">
        <f>M40-'Order(Exhibit B)'!M40</f>
        <v>296</v>
      </c>
    </row>
    <row r="41" spans="1:20">
      <c r="A41" s="136" t="s">
        <v>116</v>
      </c>
      <c r="C41" s="135">
        <v>76905411</v>
      </c>
      <c r="D41" s="135">
        <v>111054258</v>
      </c>
      <c r="E41" s="135"/>
      <c r="F41" s="157">
        <v>9.0279000000000007</v>
      </c>
      <c r="G41" s="163" t="s">
        <v>112</v>
      </c>
      <c r="H41" s="139">
        <f t="shared" si="10"/>
        <v>6942944</v>
      </c>
      <c r="I41" s="139">
        <f t="shared" si="10"/>
        <v>10025867</v>
      </c>
      <c r="J41" s="135"/>
      <c r="K41" s="157">
        <f>K20</f>
        <v>9.3199000000000005</v>
      </c>
      <c r="L41" s="163" t="s">
        <v>112</v>
      </c>
      <c r="M41" s="139">
        <f t="shared" si="9"/>
        <v>10350146</v>
      </c>
      <c r="N41" s="164"/>
      <c r="Q41" s="164"/>
      <c r="R41" s="164"/>
      <c r="S41" s="145">
        <f>K41-'Order(Exhibit B)'!K41</f>
        <v>3.8500000000000867E-2</v>
      </c>
      <c r="T41" s="115">
        <f>M41-'Order(Exhibit B)'!M41</f>
        <v>42756</v>
      </c>
    </row>
    <row r="42" spans="1:20">
      <c r="A42" s="136" t="s">
        <v>118</v>
      </c>
      <c r="C42" s="135">
        <v>80408666</v>
      </c>
      <c r="D42" s="135">
        <v>116113088</v>
      </c>
      <c r="E42" s="135"/>
      <c r="F42" s="157">
        <v>11.721</v>
      </c>
      <c r="G42" s="163" t="s">
        <v>112</v>
      </c>
      <c r="H42" s="139">
        <f t="shared" si="10"/>
        <v>9424700</v>
      </c>
      <c r="I42" s="139">
        <f t="shared" si="10"/>
        <v>13609615</v>
      </c>
      <c r="J42" s="135"/>
      <c r="K42" s="157">
        <f>K21</f>
        <v>12.013</v>
      </c>
      <c r="L42" s="163" t="s">
        <v>112</v>
      </c>
      <c r="M42" s="139">
        <f t="shared" si="9"/>
        <v>13948665</v>
      </c>
      <c r="N42" s="164"/>
      <c r="Q42" s="164"/>
      <c r="R42" s="164"/>
      <c r="S42" s="145">
        <f>K42-'Order(Exhibit B)'!K42</f>
        <v>3.8499999999999091E-2</v>
      </c>
      <c r="T42" s="115">
        <f>M42-'Order(Exhibit B)'!M42</f>
        <v>44703</v>
      </c>
    </row>
    <row r="43" spans="1:20">
      <c r="A43" s="136" t="s">
        <v>120</v>
      </c>
      <c r="C43" s="135">
        <v>154938340</v>
      </c>
      <c r="D43" s="135">
        <v>204102884</v>
      </c>
      <c r="E43" s="135"/>
      <c r="F43" s="170">
        <v>7.9893000000000001</v>
      </c>
      <c r="G43" s="163" t="s">
        <v>112</v>
      </c>
      <c r="H43" s="139">
        <f t="shared" si="10"/>
        <v>12378489</v>
      </c>
      <c r="I43" s="139">
        <f t="shared" si="10"/>
        <v>16306392</v>
      </c>
      <c r="J43" s="135"/>
      <c r="K43" s="157">
        <f>K22</f>
        <v>8.2477</v>
      </c>
      <c r="L43" s="163" t="s">
        <v>112</v>
      </c>
      <c r="M43" s="139">
        <f t="shared" si="9"/>
        <v>16833794</v>
      </c>
      <c r="N43" s="164"/>
      <c r="Q43" s="164"/>
      <c r="R43" s="164"/>
      <c r="S43" s="145">
        <f>K43-'Order(Exhibit B)'!K43</f>
        <v>3.4100000000000463E-2</v>
      </c>
      <c r="T43" s="115">
        <f>M43-'Order(Exhibit B)'!M43</f>
        <v>69600</v>
      </c>
    </row>
    <row r="44" spans="1:20">
      <c r="A44" s="136" t="s">
        <v>121</v>
      </c>
      <c r="C44" s="135">
        <v>156110719</v>
      </c>
      <c r="D44" s="135">
        <v>205647278</v>
      </c>
      <c r="E44" s="135"/>
      <c r="F44" s="170">
        <v>10.3725</v>
      </c>
      <c r="G44" s="163" t="s">
        <v>112</v>
      </c>
      <c r="H44" s="139">
        <f t="shared" si="10"/>
        <v>16192584</v>
      </c>
      <c r="I44" s="139">
        <f t="shared" si="10"/>
        <v>21330764</v>
      </c>
      <c r="J44" s="135"/>
      <c r="K44" s="157">
        <f>K23</f>
        <v>10.6309</v>
      </c>
      <c r="L44" s="163" t="s">
        <v>112</v>
      </c>
      <c r="M44" s="139">
        <f t="shared" si="9"/>
        <v>21862156</v>
      </c>
      <c r="N44" s="164"/>
      <c r="O44" s="132" t="s">
        <v>122</v>
      </c>
      <c r="P44" s="171">
        <f>ROUND(D47/D29,0)</f>
        <v>614</v>
      </c>
      <c r="Q44" s="164"/>
      <c r="R44" s="164"/>
      <c r="S44" s="145">
        <f>K44-'Order(Exhibit B)'!K44</f>
        <v>3.4100000000000463E-2</v>
      </c>
      <c r="T44" s="115">
        <f>M44-'Order(Exhibit B)'!M44</f>
        <v>70125</v>
      </c>
    </row>
    <row r="45" spans="1:20">
      <c r="A45" s="172" t="s">
        <v>123</v>
      </c>
      <c r="C45" s="135">
        <v>0</v>
      </c>
      <c r="D45" s="137"/>
      <c r="E45" s="137"/>
      <c r="F45" s="174">
        <v>11.912599999999999</v>
      </c>
      <c r="G45" s="13" t="s">
        <v>112</v>
      </c>
      <c r="H45" s="139">
        <f t="shared" si="10"/>
        <v>0</v>
      </c>
      <c r="I45" s="139">
        <f t="shared" si="10"/>
        <v>0</v>
      </c>
      <c r="J45" s="137"/>
      <c r="K45" s="157">
        <f>K24</f>
        <v>12.0525</v>
      </c>
      <c r="L45" s="13" t="s">
        <v>112</v>
      </c>
      <c r="M45" s="139">
        <f t="shared" si="9"/>
        <v>0</v>
      </c>
      <c r="N45" s="164"/>
      <c r="O45" s="132" t="s">
        <v>124</v>
      </c>
      <c r="P45" s="171">
        <f>ROUND(SUM(D41:D42,(D39+D40+D45)*4/12)/(D29*4/12),0)</f>
        <v>657</v>
      </c>
      <c r="Q45" s="164"/>
      <c r="R45" s="164"/>
      <c r="S45" s="145">
        <f>K45-'Order(Exhibit B)'!K45</f>
        <v>0</v>
      </c>
      <c r="T45" s="115">
        <f>M45-'Order(Exhibit B)'!M45</f>
        <v>0</v>
      </c>
    </row>
    <row r="46" spans="1:20">
      <c r="A46" s="172" t="s">
        <v>125</v>
      </c>
      <c r="B46" s="173"/>
      <c r="C46" s="135">
        <v>1322528</v>
      </c>
      <c r="D46" s="135"/>
      <c r="E46" s="135"/>
      <c r="F46" s="174"/>
      <c r="G46" s="13"/>
      <c r="H46" s="139">
        <v>175822</v>
      </c>
      <c r="I46" s="139"/>
      <c r="J46" s="135"/>
      <c r="K46" s="174"/>
      <c r="L46" s="13"/>
      <c r="M46" s="139"/>
      <c r="N46" s="164"/>
      <c r="O46" s="132" t="s">
        <v>126</v>
      </c>
      <c r="P46" s="171">
        <f>ROUND(SUM(D43:D44,(D39+D40+D45)*8/12)/(D29*8/12),0)</f>
        <v>592</v>
      </c>
      <c r="Q46" s="164"/>
      <c r="R46" s="164"/>
      <c r="S46" s="145">
        <f>K46-'Order(Exhibit B)'!K46</f>
        <v>0</v>
      </c>
      <c r="T46" s="115">
        <f>M46-'Order(Exhibit B)'!M46</f>
        <v>0</v>
      </c>
    </row>
    <row r="47" spans="1:20" ht="16.5" thickBot="1">
      <c r="A47" s="176" t="s">
        <v>127</v>
      </c>
      <c r="B47" s="177"/>
      <c r="C47" s="178">
        <f>SUM(C39:C46)</f>
        <v>470951212</v>
      </c>
      <c r="D47" s="178">
        <v>638633654.93729746</v>
      </c>
      <c r="E47" s="178"/>
      <c r="F47" s="177"/>
      <c r="G47" s="177"/>
      <c r="H47" s="179">
        <f>SUM(H30:H46)</f>
        <v>52735889</v>
      </c>
      <c r="I47" s="179">
        <f>SUM(I30:I46)</f>
        <v>71327115</v>
      </c>
      <c r="J47" s="178"/>
      <c r="K47" s="177"/>
      <c r="L47" s="177"/>
      <c r="M47" s="179">
        <f>SUM(M30:M46)</f>
        <v>75103930</v>
      </c>
      <c r="O47" s="132" t="s">
        <v>108</v>
      </c>
      <c r="P47" s="131">
        <f>M47/I47-1</f>
        <v>5.2950620531897252E-2</v>
      </c>
      <c r="S47" s="145">
        <f>K47-'Order(Exhibit B)'!K47</f>
        <v>0</v>
      </c>
      <c r="T47" s="115">
        <f>M47-'Order(Exhibit B)'!M47</f>
        <v>227638</v>
      </c>
    </row>
    <row r="48" spans="1:20" ht="16.5" thickTop="1">
      <c r="C48" s="135"/>
      <c r="D48" s="135"/>
      <c r="E48" s="135"/>
      <c r="J48" s="135"/>
      <c r="O48" s="181"/>
      <c r="P48" s="181"/>
      <c r="S48" s="145">
        <f>K48-'Order(Exhibit B)'!K48</f>
        <v>0</v>
      </c>
      <c r="T48" s="115">
        <f>M48-'Order(Exhibit B)'!M48</f>
        <v>0</v>
      </c>
    </row>
    <row r="49" spans="1:20">
      <c r="A49" s="133" t="s">
        <v>451</v>
      </c>
      <c r="C49" s="135"/>
      <c r="D49" s="135"/>
      <c r="E49" s="135"/>
      <c r="J49" s="135"/>
      <c r="O49" s="181"/>
      <c r="P49" s="181"/>
      <c r="S49" s="145">
        <f>K49-'Order(Exhibit B)'!K49</f>
        <v>0</v>
      </c>
      <c r="T49" s="115">
        <f>M49-'Order(Exhibit B)'!M49</f>
        <v>0</v>
      </c>
    </row>
    <row r="50" spans="1:20">
      <c r="A50" s="136" t="s">
        <v>97</v>
      </c>
      <c r="C50" s="135">
        <f>SUM(C51:C54)</f>
        <v>5227.8718333333336</v>
      </c>
      <c r="D50" s="135">
        <v>4618.4473025266461</v>
      </c>
      <c r="E50" s="135"/>
      <c r="F50" s="138"/>
      <c r="G50" s="138"/>
      <c r="H50" s="139"/>
      <c r="I50" s="139"/>
      <c r="J50" s="135"/>
      <c r="K50" s="138"/>
      <c r="L50" s="138"/>
      <c r="M50" s="139"/>
      <c r="S50" s="145">
        <f>K50-'Order(Exhibit B)'!K50</f>
        <v>0</v>
      </c>
      <c r="T50" s="115">
        <f>M50-'Order(Exhibit B)'!M50</f>
        <v>0</v>
      </c>
    </row>
    <row r="51" spans="1:20">
      <c r="A51" s="136" t="s">
        <v>98</v>
      </c>
      <c r="C51" s="135">
        <v>3989.7719999999999</v>
      </c>
      <c r="D51" s="135">
        <f t="shared" ref="D51:D55" si="11">ROUND($C51/$C$50*D$50,0)</f>
        <v>3525</v>
      </c>
      <c r="E51" s="135"/>
      <c r="F51" s="138">
        <v>10</v>
      </c>
      <c r="G51" s="138"/>
      <c r="H51" s="139">
        <f t="shared" ref="H51:I57" si="12">ROUND($F51*C51,0)</f>
        <v>39898</v>
      </c>
      <c r="I51" s="139">
        <f t="shared" si="12"/>
        <v>35250</v>
      </c>
      <c r="J51" s="135"/>
      <c r="K51" s="138">
        <f t="shared" ref="K51:K64" si="13">K11</f>
        <v>12</v>
      </c>
      <c r="L51" s="138"/>
      <c r="M51" s="139">
        <f t="shared" ref="M51:M57" si="14">ROUND($K51*D51,0)</f>
        <v>42300</v>
      </c>
      <c r="S51" s="145">
        <f>K51-'Order(Exhibit B)'!K51</f>
        <v>0</v>
      </c>
      <c r="T51" s="115">
        <f>M51-'Order(Exhibit B)'!M51</f>
        <v>0</v>
      </c>
    </row>
    <row r="52" spans="1:20">
      <c r="A52" s="136" t="s">
        <v>100</v>
      </c>
      <c r="C52" s="135">
        <v>1226.033333333334</v>
      </c>
      <c r="D52" s="135">
        <f t="shared" si="11"/>
        <v>1083</v>
      </c>
      <c r="E52" s="135"/>
      <c r="F52" s="138">
        <v>6</v>
      </c>
      <c r="G52" s="138"/>
      <c r="H52" s="139">
        <f t="shared" si="12"/>
        <v>7356</v>
      </c>
      <c r="I52" s="139">
        <f t="shared" si="12"/>
        <v>6498</v>
      </c>
      <c r="J52" s="135"/>
      <c r="K52" s="138">
        <f t="shared" si="13"/>
        <v>7</v>
      </c>
      <c r="L52" s="138"/>
      <c r="M52" s="139">
        <f t="shared" si="14"/>
        <v>7581</v>
      </c>
      <c r="S52" s="145">
        <f>K52-'Order(Exhibit B)'!K52</f>
        <v>0</v>
      </c>
      <c r="T52" s="115">
        <f>M52-'Order(Exhibit B)'!M52</f>
        <v>0</v>
      </c>
    </row>
    <row r="53" spans="1:20">
      <c r="A53" s="136" t="s">
        <v>102</v>
      </c>
      <c r="C53" s="135">
        <v>12.0665</v>
      </c>
      <c r="D53" s="135">
        <f t="shared" si="11"/>
        <v>11</v>
      </c>
      <c r="E53" s="135"/>
      <c r="F53" s="138">
        <v>20</v>
      </c>
      <c r="G53" s="138"/>
      <c r="H53" s="139">
        <f t="shared" si="12"/>
        <v>241</v>
      </c>
      <c r="I53" s="139">
        <f t="shared" si="12"/>
        <v>220</v>
      </c>
      <c r="J53" s="135"/>
      <c r="K53" s="138">
        <f t="shared" si="13"/>
        <v>19.5</v>
      </c>
      <c r="L53" s="138"/>
      <c r="M53" s="139">
        <f t="shared" si="14"/>
        <v>215</v>
      </c>
      <c r="S53" s="145">
        <f>K53-'Order(Exhibit B)'!K53</f>
        <v>0</v>
      </c>
      <c r="T53" s="115">
        <f>M53-'Order(Exhibit B)'!M53</f>
        <v>0</v>
      </c>
    </row>
    <row r="54" spans="1:20">
      <c r="A54" s="136" t="s">
        <v>104</v>
      </c>
      <c r="C54" s="135">
        <v>0</v>
      </c>
      <c r="D54" s="135">
        <f t="shared" si="11"/>
        <v>0</v>
      </c>
      <c r="E54" s="135"/>
      <c r="F54" s="138">
        <v>12</v>
      </c>
      <c r="G54" s="138"/>
      <c r="H54" s="139">
        <f t="shared" si="12"/>
        <v>0</v>
      </c>
      <c r="I54" s="139">
        <f t="shared" si="12"/>
        <v>0</v>
      </c>
      <c r="J54" s="135"/>
      <c r="K54" s="138">
        <f t="shared" si="13"/>
        <v>14.5</v>
      </c>
      <c r="L54" s="138"/>
      <c r="M54" s="139">
        <f t="shared" si="14"/>
        <v>0</v>
      </c>
      <c r="S54" s="145">
        <f>K54-'Order(Exhibit B)'!K54</f>
        <v>0</v>
      </c>
      <c r="T54" s="115">
        <f>M54-'Order(Exhibit B)'!M54</f>
        <v>0</v>
      </c>
    </row>
    <row r="55" spans="1:20">
      <c r="A55" s="136" t="s">
        <v>106</v>
      </c>
      <c r="C55" s="135">
        <v>0</v>
      </c>
      <c r="D55" s="135">
        <f t="shared" si="11"/>
        <v>0</v>
      </c>
      <c r="E55" s="135"/>
      <c r="F55" s="138">
        <v>2</v>
      </c>
      <c r="G55" s="138"/>
      <c r="H55" s="139">
        <f t="shared" si="12"/>
        <v>0</v>
      </c>
      <c r="I55" s="139">
        <f t="shared" si="12"/>
        <v>0</v>
      </c>
      <c r="J55" s="135"/>
      <c r="K55" s="138">
        <f t="shared" si="13"/>
        <v>2</v>
      </c>
      <c r="L55" s="138"/>
      <c r="M55" s="139">
        <f t="shared" si="14"/>
        <v>0</v>
      </c>
      <c r="N55" s="148"/>
      <c r="Q55" s="148"/>
      <c r="R55" s="148"/>
      <c r="S55" s="145">
        <f>K55-'Order(Exhibit B)'!K55</f>
        <v>0</v>
      </c>
      <c r="T55" s="115">
        <f>M55-'Order(Exhibit B)'!M55</f>
        <v>0</v>
      </c>
    </row>
    <row r="56" spans="1:20">
      <c r="A56" s="136" t="s">
        <v>107</v>
      </c>
      <c r="C56" s="135">
        <v>8</v>
      </c>
      <c r="D56" s="135">
        <f>ROUND($C56/$C$50*D$50,0)</f>
        <v>7</v>
      </c>
      <c r="E56" s="135"/>
      <c r="F56" s="138">
        <v>22</v>
      </c>
      <c r="G56" s="138"/>
      <c r="H56" s="139">
        <f t="shared" si="12"/>
        <v>176</v>
      </c>
      <c r="I56" s="139">
        <f t="shared" si="12"/>
        <v>154</v>
      </c>
      <c r="J56" s="135"/>
      <c r="K56" s="138">
        <f t="shared" si="13"/>
        <v>22</v>
      </c>
      <c r="L56" s="138"/>
      <c r="M56" s="139">
        <f t="shared" si="14"/>
        <v>154</v>
      </c>
      <c r="N56" s="148"/>
      <c r="Q56" s="148"/>
      <c r="R56" s="148"/>
      <c r="S56" s="145">
        <f>K56-'Order(Exhibit B)'!K56</f>
        <v>0</v>
      </c>
      <c r="T56" s="115">
        <f>M56-'Order(Exhibit B)'!M56</f>
        <v>0</v>
      </c>
    </row>
    <row r="57" spans="1:20">
      <c r="A57" s="136" t="s">
        <v>109</v>
      </c>
      <c r="C57" s="135">
        <v>3683</v>
      </c>
      <c r="D57" s="135">
        <v>3210.2513889314941</v>
      </c>
      <c r="E57" s="135"/>
      <c r="F57" s="138">
        <v>-0.5</v>
      </c>
      <c r="G57" s="138"/>
      <c r="H57" s="139">
        <f t="shared" si="12"/>
        <v>-1842</v>
      </c>
      <c r="I57" s="139">
        <f t="shared" si="12"/>
        <v>-1605</v>
      </c>
      <c r="J57" s="135"/>
      <c r="K57" s="138">
        <f t="shared" si="13"/>
        <v>-0.5</v>
      </c>
      <c r="L57" s="138"/>
      <c r="M57" s="139">
        <f t="shared" si="14"/>
        <v>-1605</v>
      </c>
      <c r="N57" s="148"/>
      <c r="Q57" s="148"/>
      <c r="R57" s="148"/>
      <c r="S57" s="145">
        <f>K57-'Order(Exhibit B)'!K57</f>
        <v>0</v>
      </c>
      <c r="T57" s="115">
        <f>M57-'Order(Exhibit B)'!M57</f>
        <v>0</v>
      </c>
    </row>
    <row r="58" spans="1:20">
      <c r="A58" s="136" t="s">
        <v>111</v>
      </c>
      <c r="C58" s="135">
        <v>341910</v>
      </c>
      <c r="D58" s="135">
        <f>ROUND($C58/SUM($C60:$C61)*SUM(D60:D61),0)</f>
        <v>313011</v>
      </c>
      <c r="E58" s="135"/>
      <c r="F58" s="157">
        <v>4.3559999999999999</v>
      </c>
      <c r="G58" s="138" t="s">
        <v>112</v>
      </c>
      <c r="H58" s="139">
        <f t="shared" ref="H58:I64" si="15">ROUND($F58*C58/100,0)</f>
        <v>14894</v>
      </c>
      <c r="I58" s="139">
        <f t="shared" si="15"/>
        <v>13635</v>
      </c>
      <c r="J58" s="135"/>
      <c r="K58" s="157">
        <f t="shared" si="13"/>
        <v>4.3559999999999999</v>
      </c>
      <c r="L58" s="138" t="s">
        <v>112</v>
      </c>
      <c r="M58" s="139">
        <f t="shared" ref="M58:M64" si="16">ROUND($K58*D58/100,0)</f>
        <v>13635</v>
      </c>
      <c r="N58" s="148"/>
      <c r="Q58" s="148"/>
      <c r="R58" s="148"/>
      <c r="S58" s="145">
        <f>K58-'Order(Exhibit B)'!K58</f>
        <v>0</v>
      </c>
      <c r="T58" s="115">
        <f>M58-'Order(Exhibit B)'!M58</f>
        <v>0</v>
      </c>
    </row>
    <row r="59" spans="1:20">
      <c r="A59" s="136" t="s">
        <v>114</v>
      </c>
      <c r="C59" s="135">
        <v>1103124.0297625889</v>
      </c>
      <c r="D59" s="135">
        <f>ROUND($C59/SUM($C60:$C61)*SUM(D60:D61),0)</f>
        <v>1009884</v>
      </c>
      <c r="E59" s="135"/>
      <c r="F59" s="157">
        <v>-1.6334</v>
      </c>
      <c r="G59" s="138" t="s">
        <v>112</v>
      </c>
      <c r="H59" s="139">
        <f t="shared" si="15"/>
        <v>-18018</v>
      </c>
      <c r="I59" s="139">
        <f t="shared" si="15"/>
        <v>-16495</v>
      </c>
      <c r="J59" s="135"/>
      <c r="K59" s="157">
        <f t="shared" si="13"/>
        <v>-1.6334</v>
      </c>
      <c r="L59" s="138" t="s">
        <v>112</v>
      </c>
      <c r="M59" s="139">
        <f t="shared" si="16"/>
        <v>-16495</v>
      </c>
      <c r="N59" s="158"/>
      <c r="Q59" s="158"/>
      <c r="R59" s="158"/>
      <c r="S59" s="145">
        <f>K59-'Order(Exhibit B)'!K59</f>
        <v>0</v>
      </c>
      <c r="T59" s="115">
        <f>M59-'Order(Exhibit B)'!M59</f>
        <v>0</v>
      </c>
    </row>
    <row r="60" spans="1:20">
      <c r="A60" s="136" t="s">
        <v>116</v>
      </c>
      <c r="C60" s="135">
        <v>604819</v>
      </c>
      <c r="D60" s="137">
        <v>553698</v>
      </c>
      <c r="E60" s="137"/>
      <c r="F60" s="157">
        <v>9.0279000000000007</v>
      </c>
      <c r="G60" s="163" t="s">
        <v>112</v>
      </c>
      <c r="H60" s="139">
        <f t="shared" si="15"/>
        <v>54602</v>
      </c>
      <c r="I60" s="139">
        <f t="shared" si="15"/>
        <v>49987</v>
      </c>
      <c r="J60" s="137"/>
      <c r="K60" s="157">
        <f t="shared" si="13"/>
        <v>9.3199000000000005</v>
      </c>
      <c r="L60" s="163" t="s">
        <v>112</v>
      </c>
      <c r="M60" s="139">
        <f t="shared" si="16"/>
        <v>51604</v>
      </c>
      <c r="N60" s="164"/>
      <c r="Q60" s="164"/>
      <c r="R60" s="164"/>
      <c r="S60" s="145">
        <f>K60-'Order(Exhibit B)'!K60</f>
        <v>3.8500000000000867E-2</v>
      </c>
      <c r="T60" s="115">
        <f>M60-'Order(Exhibit B)'!M60</f>
        <v>213</v>
      </c>
    </row>
    <row r="61" spans="1:20">
      <c r="A61" s="136" t="s">
        <v>118</v>
      </c>
      <c r="C61" s="135">
        <v>840214.02976258902</v>
      </c>
      <c r="D61" s="137">
        <v>769196</v>
      </c>
      <c r="E61" s="137"/>
      <c r="F61" s="157">
        <v>11.721</v>
      </c>
      <c r="G61" s="163" t="s">
        <v>112</v>
      </c>
      <c r="H61" s="139">
        <f t="shared" si="15"/>
        <v>98481</v>
      </c>
      <c r="I61" s="139">
        <f t="shared" si="15"/>
        <v>90157</v>
      </c>
      <c r="J61" s="137"/>
      <c r="K61" s="157">
        <f t="shared" si="13"/>
        <v>12.013</v>
      </c>
      <c r="L61" s="163" t="s">
        <v>112</v>
      </c>
      <c r="M61" s="139">
        <f t="shared" si="16"/>
        <v>92404</v>
      </c>
      <c r="N61" s="164"/>
      <c r="Q61" s="164"/>
      <c r="R61" s="164"/>
      <c r="S61" s="145">
        <f>K61-'Order(Exhibit B)'!K61</f>
        <v>3.8499999999999091E-2</v>
      </c>
      <c r="T61" s="115">
        <f>M61-'Order(Exhibit B)'!M61</f>
        <v>297</v>
      </c>
    </row>
    <row r="62" spans="1:20">
      <c r="A62" s="136" t="s">
        <v>120</v>
      </c>
      <c r="B62" s="169"/>
      <c r="C62" s="135">
        <v>1206868</v>
      </c>
      <c r="D62" s="137">
        <v>986937</v>
      </c>
      <c r="E62" s="137"/>
      <c r="F62" s="170">
        <v>7.9893000000000001</v>
      </c>
      <c r="G62" s="163" t="s">
        <v>112</v>
      </c>
      <c r="H62" s="139">
        <f t="shared" si="15"/>
        <v>96420</v>
      </c>
      <c r="I62" s="139">
        <f t="shared" si="15"/>
        <v>78849</v>
      </c>
      <c r="J62" s="137"/>
      <c r="K62" s="170">
        <f t="shared" si="13"/>
        <v>8.2477</v>
      </c>
      <c r="L62" s="163" t="s">
        <v>112</v>
      </c>
      <c r="M62" s="139">
        <f t="shared" si="16"/>
        <v>81400</v>
      </c>
      <c r="N62" s="164"/>
      <c r="Q62" s="164"/>
      <c r="R62" s="164"/>
      <c r="S62" s="145">
        <f>K62-'Order(Exhibit B)'!K62</f>
        <v>3.4100000000000463E-2</v>
      </c>
      <c r="T62" s="115">
        <f>M62-'Order(Exhibit B)'!M62</f>
        <v>337</v>
      </c>
    </row>
    <row r="63" spans="1:20">
      <c r="A63" s="136" t="s">
        <v>121</v>
      </c>
      <c r="B63" s="169"/>
      <c r="C63" s="135">
        <v>1283232.8565330321</v>
      </c>
      <c r="D63" s="137">
        <v>1049386</v>
      </c>
      <c r="E63" s="137"/>
      <c r="F63" s="170">
        <v>10.3725</v>
      </c>
      <c r="G63" s="163" t="s">
        <v>112</v>
      </c>
      <c r="H63" s="139">
        <f t="shared" si="15"/>
        <v>133103</v>
      </c>
      <c r="I63" s="139">
        <f t="shared" si="15"/>
        <v>108848</v>
      </c>
      <c r="J63" s="137"/>
      <c r="K63" s="170">
        <f t="shared" si="13"/>
        <v>10.6309</v>
      </c>
      <c r="L63" s="163" t="s">
        <v>112</v>
      </c>
      <c r="M63" s="139">
        <f t="shared" si="16"/>
        <v>111559</v>
      </c>
      <c r="N63" s="164"/>
      <c r="O63" s="132" t="s">
        <v>122</v>
      </c>
      <c r="P63" s="171">
        <f>ROUND(D66/D50,0)</f>
        <v>727</v>
      </c>
      <c r="Q63" s="164"/>
      <c r="R63" s="164"/>
      <c r="S63" s="145">
        <f>K63-'Order(Exhibit B)'!K63</f>
        <v>3.4100000000000463E-2</v>
      </c>
      <c r="T63" s="115">
        <f>M63-'Order(Exhibit B)'!M63</f>
        <v>358</v>
      </c>
    </row>
    <row r="64" spans="1:20">
      <c r="A64" s="172" t="s">
        <v>123</v>
      </c>
      <c r="B64" s="173"/>
      <c r="C64" s="135">
        <v>0</v>
      </c>
      <c r="D64" s="137"/>
      <c r="E64" s="137"/>
      <c r="F64" s="174">
        <v>11.912599999999999</v>
      </c>
      <c r="G64" s="13" t="s">
        <v>112</v>
      </c>
      <c r="H64" s="139">
        <f t="shared" si="15"/>
        <v>0</v>
      </c>
      <c r="I64" s="139">
        <f t="shared" si="15"/>
        <v>0</v>
      </c>
      <c r="J64" s="137"/>
      <c r="K64" s="174">
        <f t="shared" si="13"/>
        <v>12.0525</v>
      </c>
      <c r="L64" s="13" t="s">
        <v>112</v>
      </c>
      <c r="M64" s="139">
        <f t="shared" si="16"/>
        <v>0</v>
      </c>
      <c r="N64" s="164"/>
      <c r="O64" s="132" t="s">
        <v>124</v>
      </c>
      <c r="P64" s="171">
        <f>ROUND(SUM(D60:D61,D64*4/12)/(D50*4/12),0)</f>
        <v>859</v>
      </c>
      <c r="Q64" s="164"/>
      <c r="R64" s="164"/>
      <c r="S64" s="145">
        <f>K64-'Order(Exhibit B)'!K64</f>
        <v>0</v>
      </c>
      <c r="T64" s="115">
        <f>M64-'Order(Exhibit B)'!M64</f>
        <v>0</v>
      </c>
    </row>
    <row r="65" spans="1:20">
      <c r="A65" s="172" t="s">
        <v>125</v>
      </c>
      <c r="B65" s="173"/>
      <c r="C65" s="135">
        <v>11387</v>
      </c>
      <c r="D65" s="135"/>
      <c r="E65" s="135"/>
      <c r="F65" s="174"/>
      <c r="G65" s="13"/>
      <c r="H65" s="139">
        <v>1458</v>
      </c>
      <c r="I65" s="139"/>
      <c r="J65" s="135"/>
      <c r="K65" s="174"/>
      <c r="L65" s="13"/>
      <c r="M65" s="139"/>
      <c r="N65" s="164"/>
      <c r="O65" s="132" t="s">
        <v>126</v>
      </c>
      <c r="P65" s="171">
        <f>ROUND(SUM(D62:D63,D64*8/12)/(D50*8/12),0)</f>
        <v>661</v>
      </c>
      <c r="Q65" s="164"/>
      <c r="R65" s="164"/>
      <c r="S65" s="145">
        <f>K65-'Order(Exhibit B)'!K65</f>
        <v>0</v>
      </c>
      <c r="T65" s="115">
        <f>M65-'Order(Exhibit B)'!M65</f>
        <v>0</v>
      </c>
    </row>
    <row r="66" spans="1:20" ht="16.5" thickBot="1">
      <c r="A66" s="176" t="s">
        <v>127</v>
      </c>
      <c r="B66" s="177"/>
      <c r="C66" s="178">
        <f>SUM(C60:C65)</f>
        <v>3946520.8862956213</v>
      </c>
      <c r="D66" s="178">
        <v>3359216.5999275949</v>
      </c>
      <c r="E66" s="178"/>
      <c r="F66" s="177"/>
      <c r="G66" s="177"/>
      <c r="H66" s="179">
        <f>SUM(H51:H65)</f>
        <v>426769</v>
      </c>
      <c r="I66" s="179">
        <f>SUM(I51:I65)</f>
        <v>365498</v>
      </c>
      <c r="J66" s="178"/>
      <c r="K66" s="177"/>
      <c r="L66" s="177"/>
      <c r="M66" s="179">
        <f>SUM(M51:M65)</f>
        <v>382752</v>
      </c>
      <c r="O66" s="132" t="s">
        <v>108</v>
      </c>
      <c r="P66" s="131">
        <f>M66/I66-1</f>
        <v>4.7206824661147229E-2</v>
      </c>
      <c r="S66" s="145">
        <f>K66-'Order(Exhibit B)'!K66</f>
        <v>0</v>
      </c>
      <c r="T66" s="115">
        <f>M66-'Order(Exhibit B)'!M66</f>
        <v>1205</v>
      </c>
    </row>
    <row r="67" spans="1:20" ht="16.5" thickTop="1">
      <c r="C67" s="135"/>
      <c r="D67" s="135"/>
      <c r="E67" s="135"/>
      <c r="J67" s="135"/>
      <c r="S67" s="145">
        <f>K67-'Order(Exhibit B)'!K67</f>
        <v>0</v>
      </c>
      <c r="T67" s="115">
        <f>M67-'Order(Exhibit B)'!M67</f>
        <v>0</v>
      </c>
    </row>
    <row r="68" spans="1:20">
      <c r="A68" s="182" t="s">
        <v>452</v>
      </c>
      <c r="C68" s="135"/>
      <c r="D68" s="135"/>
      <c r="E68" s="135"/>
      <c r="F68" s="132"/>
      <c r="G68" s="132"/>
      <c r="J68" s="135"/>
      <c r="K68" s="132"/>
      <c r="L68" s="132"/>
      <c r="S68" s="145">
        <f>K68-'Order(Exhibit B)'!K68</f>
        <v>0</v>
      </c>
      <c r="T68" s="115">
        <f>M68-'Order(Exhibit B)'!M68</f>
        <v>0</v>
      </c>
    </row>
    <row r="69" spans="1:20">
      <c r="A69" s="136" t="s">
        <v>97</v>
      </c>
      <c r="B69" s="132"/>
      <c r="C69" s="135">
        <f>SUM(C70:C73)</f>
        <v>8749.5013333333336</v>
      </c>
      <c r="D69" s="135">
        <v>7729.5526974733539</v>
      </c>
      <c r="E69" s="135"/>
      <c r="F69" s="183"/>
      <c r="G69" s="183"/>
      <c r="H69" s="139"/>
      <c r="I69" s="139"/>
      <c r="J69" s="135"/>
      <c r="K69" s="183"/>
      <c r="L69" s="183"/>
      <c r="M69" s="139"/>
      <c r="S69" s="145">
        <f>K69-'Order(Exhibit B)'!K69</f>
        <v>0</v>
      </c>
      <c r="T69" s="115">
        <f>M69-'Order(Exhibit B)'!M69</f>
        <v>0</v>
      </c>
    </row>
    <row r="70" spans="1:20">
      <c r="A70" s="136" t="s">
        <v>98</v>
      </c>
      <c r="C70" s="135">
        <v>8205.6679999999997</v>
      </c>
      <c r="D70" s="135">
        <f>ROUND($C70/$C$69*D$69,0)</f>
        <v>7249</v>
      </c>
      <c r="E70" s="135"/>
      <c r="F70" s="183">
        <v>10</v>
      </c>
      <c r="G70" s="183"/>
      <c r="H70" s="139">
        <f t="shared" ref="H70:I76" si="17">ROUND($F70*C70,0)</f>
        <v>82057</v>
      </c>
      <c r="I70" s="139">
        <f t="shared" si="17"/>
        <v>72490</v>
      </c>
      <c r="J70" s="135"/>
      <c r="K70" s="183">
        <f t="shared" ref="K70:K76" si="18">K11</f>
        <v>12</v>
      </c>
      <c r="L70" s="183"/>
      <c r="M70" s="139">
        <f t="shared" ref="M70:M76" si="19">ROUND($K70*D70,0)</f>
        <v>86988</v>
      </c>
      <c r="S70" s="145">
        <f>K70-'Order(Exhibit B)'!K70</f>
        <v>0</v>
      </c>
      <c r="T70" s="115">
        <f>M70-'Order(Exhibit B)'!M70</f>
        <v>0</v>
      </c>
    </row>
    <row r="71" spans="1:20">
      <c r="A71" s="136" t="s">
        <v>100</v>
      </c>
      <c r="C71" s="135">
        <v>543.83333333333303</v>
      </c>
      <c r="D71" s="135">
        <f t="shared" ref="D71:D75" si="20">ROUND($C71/$C$69*D$69,0)</f>
        <v>480</v>
      </c>
      <c r="E71" s="135"/>
      <c r="F71" s="183">
        <v>6</v>
      </c>
      <c r="G71" s="183"/>
      <c r="H71" s="139">
        <f t="shared" si="17"/>
        <v>3263</v>
      </c>
      <c r="I71" s="139">
        <f t="shared" si="17"/>
        <v>2880</v>
      </c>
      <c r="J71" s="135"/>
      <c r="K71" s="183">
        <f t="shared" si="18"/>
        <v>7</v>
      </c>
      <c r="L71" s="183"/>
      <c r="M71" s="139">
        <f t="shared" si="19"/>
        <v>3360</v>
      </c>
      <c r="P71" s="139"/>
      <c r="Q71" s="139"/>
      <c r="S71" s="145">
        <f>K71-'Order(Exhibit B)'!K71</f>
        <v>0</v>
      </c>
      <c r="T71" s="115">
        <f>M71-'Order(Exhibit B)'!M71</f>
        <v>0</v>
      </c>
    </row>
    <row r="72" spans="1:20">
      <c r="A72" s="136" t="s">
        <v>102</v>
      </c>
      <c r="C72" s="135">
        <v>0</v>
      </c>
      <c r="D72" s="135">
        <f t="shared" si="20"/>
        <v>0</v>
      </c>
      <c r="E72" s="135"/>
      <c r="F72" s="183">
        <v>20</v>
      </c>
      <c r="G72" s="183"/>
      <c r="H72" s="139">
        <f t="shared" si="17"/>
        <v>0</v>
      </c>
      <c r="I72" s="139">
        <f t="shared" si="17"/>
        <v>0</v>
      </c>
      <c r="J72" s="135"/>
      <c r="K72" s="183">
        <f t="shared" si="18"/>
        <v>19.5</v>
      </c>
      <c r="L72" s="183"/>
      <c r="M72" s="139">
        <f t="shared" si="19"/>
        <v>0</v>
      </c>
      <c r="P72" s="139"/>
      <c r="Q72" s="139"/>
      <c r="S72" s="145">
        <f>K72-'Order(Exhibit B)'!K72</f>
        <v>0</v>
      </c>
      <c r="T72" s="115">
        <f>M72-'Order(Exhibit B)'!M72</f>
        <v>0</v>
      </c>
    </row>
    <row r="73" spans="1:20">
      <c r="A73" s="136" t="s">
        <v>104</v>
      </c>
      <c r="C73" s="135">
        <v>0</v>
      </c>
      <c r="D73" s="135">
        <f t="shared" si="20"/>
        <v>0</v>
      </c>
      <c r="E73" s="135"/>
      <c r="F73" s="183">
        <v>12</v>
      </c>
      <c r="G73" s="183"/>
      <c r="H73" s="139">
        <f t="shared" si="17"/>
        <v>0</v>
      </c>
      <c r="I73" s="139">
        <f t="shared" si="17"/>
        <v>0</v>
      </c>
      <c r="J73" s="135"/>
      <c r="K73" s="183">
        <f t="shared" si="18"/>
        <v>14.5</v>
      </c>
      <c r="L73" s="183"/>
      <c r="M73" s="139">
        <f t="shared" si="19"/>
        <v>0</v>
      </c>
      <c r="S73" s="145">
        <f>K73-'Order(Exhibit B)'!K73</f>
        <v>0</v>
      </c>
      <c r="T73" s="115">
        <f>M73-'Order(Exhibit B)'!M73</f>
        <v>0</v>
      </c>
    </row>
    <row r="74" spans="1:20">
      <c r="A74" s="136" t="s">
        <v>106</v>
      </c>
      <c r="C74" s="135">
        <v>0</v>
      </c>
      <c r="D74" s="135">
        <f t="shared" si="20"/>
        <v>0</v>
      </c>
      <c r="E74" s="135"/>
      <c r="F74" s="138">
        <v>2</v>
      </c>
      <c r="G74" s="138"/>
      <c r="H74" s="139">
        <f t="shared" si="17"/>
        <v>0</v>
      </c>
      <c r="I74" s="139">
        <f t="shared" si="17"/>
        <v>0</v>
      </c>
      <c r="J74" s="135"/>
      <c r="K74" s="183">
        <f t="shared" si="18"/>
        <v>2</v>
      </c>
      <c r="L74" s="138"/>
      <c r="M74" s="139">
        <f t="shared" si="19"/>
        <v>0</v>
      </c>
      <c r="N74" s="148"/>
      <c r="Q74" s="148"/>
      <c r="R74" s="148"/>
      <c r="S74" s="145">
        <f>K74-'Order(Exhibit B)'!K74</f>
        <v>0</v>
      </c>
      <c r="T74" s="115">
        <f>M74-'Order(Exhibit B)'!M74</f>
        <v>0</v>
      </c>
    </row>
    <row r="75" spans="1:20">
      <c r="A75" s="136" t="s">
        <v>107</v>
      </c>
      <c r="C75" s="135">
        <v>0</v>
      </c>
      <c r="D75" s="135">
        <f t="shared" si="20"/>
        <v>0</v>
      </c>
      <c r="E75" s="135"/>
      <c r="F75" s="138">
        <v>22</v>
      </c>
      <c r="G75" s="138"/>
      <c r="H75" s="139">
        <f t="shared" si="17"/>
        <v>0</v>
      </c>
      <c r="I75" s="139">
        <f t="shared" si="17"/>
        <v>0</v>
      </c>
      <c r="J75" s="135"/>
      <c r="K75" s="183">
        <f t="shared" si="18"/>
        <v>22</v>
      </c>
      <c r="L75" s="138"/>
      <c r="M75" s="139">
        <f t="shared" si="19"/>
        <v>0</v>
      </c>
      <c r="N75" s="148"/>
      <c r="Q75" s="148"/>
      <c r="R75" s="148"/>
      <c r="S75" s="145">
        <f>K75-'Order(Exhibit B)'!K75</f>
        <v>0</v>
      </c>
      <c r="T75" s="115">
        <f>M75-'Order(Exhibit B)'!M75</f>
        <v>0</v>
      </c>
    </row>
    <row r="76" spans="1:20">
      <c r="A76" s="136" t="s">
        <v>109</v>
      </c>
      <c r="C76" s="135">
        <v>7279</v>
      </c>
      <c r="D76" s="135">
        <v>5372.7596435511878</v>
      </c>
      <c r="E76" s="135"/>
      <c r="F76" s="138">
        <v>-0.5</v>
      </c>
      <c r="G76" s="138"/>
      <c r="H76" s="139">
        <f t="shared" si="17"/>
        <v>-3640</v>
      </c>
      <c r="I76" s="139">
        <f t="shared" si="17"/>
        <v>-2686</v>
      </c>
      <c r="J76" s="135"/>
      <c r="K76" s="183">
        <f t="shared" si="18"/>
        <v>-0.5</v>
      </c>
      <c r="L76" s="138"/>
      <c r="M76" s="139">
        <f t="shared" si="19"/>
        <v>-2686</v>
      </c>
      <c r="N76" s="148"/>
      <c r="Q76" s="148"/>
      <c r="R76" s="148"/>
      <c r="S76" s="145">
        <f>K76-'Order(Exhibit B)'!K76</f>
        <v>0</v>
      </c>
      <c r="T76" s="115">
        <f>M76-'Order(Exhibit B)'!M76</f>
        <v>0</v>
      </c>
    </row>
    <row r="77" spans="1:20">
      <c r="A77" s="172" t="s">
        <v>131</v>
      </c>
      <c r="B77" s="132"/>
      <c r="C77" s="135">
        <v>1855246</v>
      </c>
      <c r="D77" s="135">
        <f>$C77/($C$81-$C$79-$C$80)*D$81</f>
        <v>1583597.937681712</v>
      </c>
      <c r="E77" s="135"/>
      <c r="F77" s="184">
        <v>25.353200000000001</v>
      </c>
      <c r="G77" s="13" t="s">
        <v>112</v>
      </c>
      <c r="H77" s="139">
        <f t="shared" ref="H77:I79" si="21">ROUND($F77*C77/100,0)</f>
        <v>470364</v>
      </c>
      <c r="I77" s="139">
        <f t="shared" si="21"/>
        <v>401493</v>
      </c>
      <c r="J77" s="135"/>
      <c r="K77" s="184">
        <f>F77*(1+$P$18)</f>
        <v>26.060991816365853</v>
      </c>
      <c r="L77" s="13" t="s">
        <v>112</v>
      </c>
      <c r="M77" s="139">
        <f>ROUND($K77*D77/100,0)</f>
        <v>412701</v>
      </c>
      <c r="N77" s="158"/>
      <c r="Q77" s="158"/>
      <c r="R77" s="158"/>
      <c r="S77" s="145">
        <f>K77-'Order(Exhibit B)'!K77</f>
        <v>9.324935234607068E-2</v>
      </c>
      <c r="T77" s="115">
        <f>M77-'Order(Exhibit B)'!M77</f>
        <v>1476</v>
      </c>
    </row>
    <row r="78" spans="1:20">
      <c r="A78" s="172" t="s">
        <v>132</v>
      </c>
      <c r="B78" s="132"/>
      <c r="C78" s="135">
        <v>9727968</v>
      </c>
      <c r="D78" s="135">
        <f>$C78/($C$81-$C$79-$C$80)*D$81</f>
        <v>8303583.4938513217</v>
      </c>
      <c r="E78" s="135"/>
      <c r="F78" s="184">
        <v>5.2004000000000001</v>
      </c>
      <c r="G78" s="13" t="s">
        <v>112</v>
      </c>
      <c r="H78" s="139">
        <f t="shared" si="21"/>
        <v>505893</v>
      </c>
      <c r="I78" s="139">
        <f t="shared" si="21"/>
        <v>431820</v>
      </c>
      <c r="J78" s="135"/>
      <c r="K78" s="184">
        <f>F78*(1+$P$18)</f>
        <v>5.3455809066243702</v>
      </c>
      <c r="L78" s="13" t="s">
        <v>112</v>
      </c>
      <c r="M78" s="139">
        <f>ROUND($K78*D78/100,0)</f>
        <v>443875</v>
      </c>
      <c r="N78" s="164"/>
      <c r="O78" s="132" t="s">
        <v>122</v>
      </c>
      <c r="P78" s="171">
        <f>ROUND(D81/D69,0)</f>
        <v>1279</v>
      </c>
      <c r="Q78" s="164"/>
      <c r="R78" s="164"/>
      <c r="S78" s="145">
        <f>K78-'Order(Exhibit B)'!K78</f>
        <v>1.9127129196334636E-2</v>
      </c>
      <c r="T78" s="115">
        <f>M78-'Order(Exhibit B)'!M78</f>
        <v>1588</v>
      </c>
    </row>
    <row r="79" spans="1:20">
      <c r="A79" s="172" t="s">
        <v>123</v>
      </c>
      <c r="B79" s="173"/>
      <c r="C79" s="135">
        <v>0</v>
      </c>
      <c r="D79" s="137"/>
      <c r="E79" s="137"/>
      <c r="F79" s="174">
        <v>11.912599999999999</v>
      </c>
      <c r="G79" s="13" t="s">
        <v>112</v>
      </c>
      <c r="H79" s="139">
        <f t="shared" si="21"/>
        <v>0</v>
      </c>
      <c r="I79" s="139">
        <f t="shared" si="21"/>
        <v>0</v>
      </c>
      <c r="J79" s="137"/>
      <c r="K79" s="174">
        <f>K24</f>
        <v>12.0525</v>
      </c>
      <c r="L79" s="13" t="s">
        <v>112</v>
      </c>
      <c r="M79" s="139">
        <f>ROUND($K79*D79/100,0)</f>
        <v>0</v>
      </c>
      <c r="N79" s="164"/>
      <c r="O79" s="132" t="s">
        <v>124</v>
      </c>
      <c r="P79" s="171">
        <f>P78</f>
        <v>1279</v>
      </c>
      <c r="Q79" s="164"/>
      <c r="R79" s="139"/>
      <c r="S79" s="145">
        <f>K79-'Order(Exhibit B)'!K79</f>
        <v>0</v>
      </c>
      <c r="T79" s="115">
        <f>M79-'Order(Exhibit B)'!M79</f>
        <v>0</v>
      </c>
    </row>
    <row r="80" spans="1:20">
      <c r="A80" s="172" t="s">
        <v>125</v>
      </c>
      <c r="B80" s="173"/>
      <c r="C80" s="135">
        <v>32580</v>
      </c>
      <c r="D80" s="135"/>
      <c r="E80" s="135"/>
      <c r="F80" s="174"/>
      <c r="G80" s="13"/>
      <c r="H80" s="139">
        <v>3541</v>
      </c>
      <c r="I80" s="139"/>
      <c r="J80" s="135"/>
      <c r="K80" s="174"/>
      <c r="L80" s="13"/>
      <c r="M80" s="139"/>
      <c r="N80" s="164"/>
      <c r="O80" s="132" t="s">
        <v>126</v>
      </c>
      <c r="P80" s="171">
        <f>P78</f>
        <v>1279</v>
      </c>
      <c r="Q80" s="164"/>
      <c r="R80" s="164"/>
      <c r="S80" s="145">
        <f>K80-'Order(Exhibit B)'!K80</f>
        <v>0</v>
      </c>
      <c r="T80" s="115">
        <f>M80-'Order(Exhibit B)'!M80</f>
        <v>0</v>
      </c>
    </row>
    <row r="81" spans="1:20" ht="16.5" thickBot="1">
      <c r="A81" s="176" t="s">
        <v>127</v>
      </c>
      <c r="B81" s="177"/>
      <c r="C81" s="178">
        <f>SUM(C77:C80)</f>
        <v>11615794</v>
      </c>
      <c r="D81" s="178">
        <v>9887181.431533033</v>
      </c>
      <c r="E81" s="178"/>
      <c r="F81" s="177"/>
      <c r="G81" s="177"/>
      <c r="H81" s="179">
        <f>SUM(H70:H80)</f>
        <v>1061478</v>
      </c>
      <c r="I81" s="179">
        <f>SUM(I70:I80)</f>
        <v>905997</v>
      </c>
      <c r="J81" s="178"/>
      <c r="K81" s="177"/>
      <c r="L81" s="177"/>
      <c r="M81" s="179">
        <f>SUM(M70:M80)</f>
        <v>944238</v>
      </c>
      <c r="O81" s="132" t="s">
        <v>108</v>
      </c>
      <c r="P81" s="131">
        <f>M81/I81-1</f>
        <v>4.2208749035592907E-2</v>
      </c>
      <c r="S81" s="145">
        <f>K81-'Order(Exhibit B)'!K81</f>
        <v>0</v>
      </c>
      <c r="T81" s="115">
        <f>M81-'Order(Exhibit B)'!M81</f>
        <v>3064</v>
      </c>
    </row>
    <row r="82" spans="1:20" ht="16.5" thickTop="1">
      <c r="C82" s="135"/>
      <c r="D82" s="135"/>
      <c r="E82" s="135"/>
      <c r="J82" s="135"/>
      <c r="S82" s="145">
        <f>K82-'Order(Exhibit B)'!K82</f>
        <v>0</v>
      </c>
      <c r="T82" s="115">
        <f>M82-'Order(Exhibit B)'!M82</f>
        <v>0</v>
      </c>
    </row>
    <row r="83" spans="1:20">
      <c r="A83" s="133" t="s">
        <v>453</v>
      </c>
      <c r="C83" s="135"/>
      <c r="D83" s="135"/>
      <c r="E83" s="135"/>
      <c r="J83" s="135"/>
      <c r="S83" s="145">
        <f>K83-'Order(Exhibit B)'!K83</f>
        <v>0</v>
      </c>
      <c r="T83" s="115">
        <f>M83-'Order(Exhibit B)'!M83</f>
        <v>0</v>
      </c>
    </row>
    <row r="84" spans="1:20">
      <c r="A84" s="136" t="s">
        <v>97</v>
      </c>
      <c r="C84" s="135">
        <f>SUM(C85:C88)</f>
        <v>224747.49983333354</v>
      </c>
      <c r="D84" s="137">
        <v>212808.6544343835</v>
      </c>
      <c r="E84" s="137"/>
      <c r="F84" s="138"/>
      <c r="G84" s="138"/>
      <c r="H84" s="139"/>
      <c r="I84" s="139"/>
      <c r="J84" s="137"/>
      <c r="K84" s="138"/>
      <c r="L84" s="138"/>
      <c r="M84" s="139"/>
      <c r="S84" s="145">
        <f>K84-'Order(Exhibit B)'!K84</f>
        <v>0</v>
      </c>
      <c r="T84" s="115">
        <f>M84-'Order(Exhibit B)'!M84</f>
        <v>0</v>
      </c>
    </row>
    <row r="85" spans="1:20">
      <c r="A85" s="136" t="s">
        <v>98</v>
      </c>
      <c r="C85" s="135">
        <v>112730.23299999999</v>
      </c>
      <c r="D85" s="135">
        <f>ROUND($C85/$C$84*D$84,0)</f>
        <v>106742</v>
      </c>
      <c r="E85" s="135"/>
      <c r="F85" s="138">
        <v>10</v>
      </c>
      <c r="G85" s="138"/>
      <c r="H85" s="139">
        <f t="shared" ref="H85:I91" si="22">ROUND($F85*C85,0)</f>
        <v>1127302</v>
      </c>
      <c r="I85" s="139">
        <f t="shared" si="22"/>
        <v>1067420</v>
      </c>
      <c r="J85" s="135"/>
      <c r="K85" s="138">
        <f t="shared" ref="K85:K98" si="23">K11</f>
        <v>12</v>
      </c>
      <c r="L85" s="138"/>
      <c r="M85" s="139">
        <f t="shared" ref="M85:M91" si="24">ROUND($K85*D85,0)</f>
        <v>1280904</v>
      </c>
      <c r="O85" s="132"/>
      <c r="P85" s="132"/>
      <c r="S85" s="145">
        <f>K85-'Order(Exhibit B)'!K85</f>
        <v>0</v>
      </c>
      <c r="T85" s="115">
        <f>M85-'Order(Exhibit B)'!M85</f>
        <v>0</v>
      </c>
    </row>
    <row r="86" spans="1:20">
      <c r="A86" s="136" t="s">
        <v>100</v>
      </c>
      <c r="C86" s="135">
        <v>111832.70000000019</v>
      </c>
      <c r="D86" s="135">
        <f t="shared" ref="D86:D90" si="25">ROUND($C86/$C$84*D$84,0)</f>
        <v>105892</v>
      </c>
      <c r="E86" s="135"/>
      <c r="F86" s="138">
        <v>6</v>
      </c>
      <c r="G86" s="138"/>
      <c r="H86" s="139">
        <f t="shared" si="22"/>
        <v>670996</v>
      </c>
      <c r="I86" s="139">
        <f t="shared" si="22"/>
        <v>635352</v>
      </c>
      <c r="J86" s="135"/>
      <c r="K86" s="138">
        <f t="shared" si="23"/>
        <v>7</v>
      </c>
      <c r="L86" s="138"/>
      <c r="M86" s="139">
        <f t="shared" si="24"/>
        <v>741244</v>
      </c>
      <c r="O86" s="132"/>
      <c r="P86" s="132"/>
      <c r="S86" s="145">
        <f>K86-'Order(Exhibit B)'!K86</f>
        <v>0</v>
      </c>
      <c r="T86" s="115">
        <f>M86-'Order(Exhibit B)'!M86</f>
        <v>0</v>
      </c>
    </row>
    <row r="87" spans="1:20">
      <c r="A87" s="136" t="s">
        <v>102</v>
      </c>
      <c r="C87" s="135">
        <v>6.9335000000000004</v>
      </c>
      <c r="D87" s="135">
        <f t="shared" si="25"/>
        <v>7</v>
      </c>
      <c r="E87" s="135"/>
      <c r="F87" s="138">
        <v>20</v>
      </c>
      <c r="G87" s="138"/>
      <c r="H87" s="139">
        <f t="shared" si="22"/>
        <v>139</v>
      </c>
      <c r="I87" s="139">
        <f t="shared" si="22"/>
        <v>140</v>
      </c>
      <c r="J87" s="135"/>
      <c r="K87" s="138">
        <f t="shared" si="23"/>
        <v>19.5</v>
      </c>
      <c r="L87" s="138"/>
      <c r="M87" s="139">
        <f t="shared" si="24"/>
        <v>137</v>
      </c>
      <c r="O87" s="132"/>
      <c r="P87" s="132"/>
      <c r="S87" s="145">
        <f>K87-'Order(Exhibit B)'!K87</f>
        <v>0</v>
      </c>
      <c r="T87" s="115">
        <f>M87-'Order(Exhibit B)'!M87</f>
        <v>0</v>
      </c>
    </row>
    <row r="88" spans="1:20">
      <c r="A88" s="136" t="s">
        <v>104</v>
      </c>
      <c r="C88" s="135">
        <v>177.63333333333341</v>
      </c>
      <c r="D88" s="135">
        <f t="shared" si="25"/>
        <v>168</v>
      </c>
      <c r="E88" s="135"/>
      <c r="F88" s="138">
        <v>12</v>
      </c>
      <c r="G88" s="138"/>
      <c r="H88" s="139">
        <f t="shared" si="22"/>
        <v>2132</v>
      </c>
      <c r="I88" s="139">
        <f t="shared" si="22"/>
        <v>2016</v>
      </c>
      <c r="J88" s="135"/>
      <c r="K88" s="138">
        <f t="shared" si="23"/>
        <v>14.5</v>
      </c>
      <c r="L88" s="138"/>
      <c r="M88" s="139">
        <f t="shared" si="24"/>
        <v>2436</v>
      </c>
      <c r="S88" s="145">
        <f>K88-'Order(Exhibit B)'!K88</f>
        <v>0</v>
      </c>
      <c r="T88" s="115">
        <f>M88-'Order(Exhibit B)'!M88</f>
        <v>0</v>
      </c>
    </row>
    <row r="89" spans="1:20">
      <c r="A89" s="136" t="s">
        <v>106</v>
      </c>
      <c r="C89" s="135">
        <v>0</v>
      </c>
      <c r="D89" s="135">
        <f t="shared" si="25"/>
        <v>0</v>
      </c>
      <c r="E89" s="135"/>
      <c r="F89" s="138">
        <v>2</v>
      </c>
      <c r="G89" s="138"/>
      <c r="H89" s="139">
        <f t="shared" si="22"/>
        <v>0</v>
      </c>
      <c r="I89" s="139">
        <f t="shared" si="22"/>
        <v>0</v>
      </c>
      <c r="J89" s="135"/>
      <c r="K89" s="138">
        <f t="shared" si="23"/>
        <v>2</v>
      </c>
      <c r="L89" s="138"/>
      <c r="M89" s="139">
        <f t="shared" si="24"/>
        <v>0</v>
      </c>
      <c r="N89" s="148"/>
      <c r="Q89" s="148"/>
      <c r="R89" s="148"/>
      <c r="S89" s="145">
        <f>K89-'Order(Exhibit B)'!K89</f>
        <v>0</v>
      </c>
      <c r="T89" s="115">
        <f>M89-'Order(Exhibit B)'!M89</f>
        <v>0</v>
      </c>
    </row>
    <row r="90" spans="1:20">
      <c r="A90" s="136" t="s">
        <v>107</v>
      </c>
      <c r="C90" s="135">
        <v>0</v>
      </c>
      <c r="D90" s="135">
        <f t="shared" si="25"/>
        <v>0</v>
      </c>
      <c r="E90" s="135"/>
      <c r="F90" s="138">
        <v>22</v>
      </c>
      <c r="G90" s="138"/>
      <c r="H90" s="139">
        <f t="shared" si="22"/>
        <v>0</v>
      </c>
      <c r="I90" s="139">
        <f t="shared" si="22"/>
        <v>0</v>
      </c>
      <c r="J90" s="135"/>
      <c r="K90" s="138">
        <f t="shared" si="23"/>
        <v>22</v>
      </c>
      <c r="L90" s="138"/>
      <c r="M90" s="139">
        <f t="shared" si="24"/>
        <v>0</v>
      </c>
      <c r="N90" s="148"/>
      <c r="O90" s="132"/>
      <c r="P90" s="132"/>
      <c r="Q90" s="148"/>
      <c r="R90" s="148"/>
      <c r="S90" s="145">
        <f>K90-'Order(Exhibit B)'!K90</f>
        <v>0</v>
      </c>
      <c r="T90" s="115">
        <f>M90-'Order(Exhibit B)'!M90</f>
        <v>0</v>
      </c>
    </row>
    <row r="91" spans="1:20">
      <c r="A91" s="136" t="s">
        <v>109</v>
      </c>
      <c r="C91" s="135">
        <v>84261</v>
      </c>
      <c r="D91" s="135">
        <v>147921.85202608586</v>
      </c>
      <c r="E91" s="135"/>
      <c r="F91" s="138">
        <v>-0.5</v>
      </c>
      <c r="G91" s="138"/>
      <c r="H91" s="139">
        <f t="shared" si="22"/>
        <v>-42131</v>
      </c>
      <c r="I91" s="139">
        <f t="shared" si="22"/>
        <v>-73961</v>
      </c>
      <c r="J91" s="135"/>
      <c r="K91" s="138">
        <f t="shared" si="23"/>
        <v>-0.5</v>
      </c>
      <c r="L91" s="138"/>
      <c r="M91" s="139">
        <f t="shared" si="24"/>
        <v>-73961</v>
      </c>
      <c r="N91" s="148"/>
      <c r="Q91" s="148"/>
      <c r="R91" s="148"/>
      <c r="S91" s="145">
        <f>K91-'Order(Exhibit B)'!K91</f>
        <v>0</v>
      </c>
      <c r="T91" s="115">
        <f>M91-'Order(Exhibit B)'!M91</f>
        <v>0</v>
      </c>
    </row>
    <row r="92" spans="1:20">
      <c r="A92" s="136" t="s">
        <v>111</v>
      </c>
      <c r="C92" s="135">
        <v>12022</v>
      </c>
      <c r="D92" s="135">
        <f>ROUND($C92/SUM($C94:$C95)*SUM(D94:D95),0)</f>
        <v>12271</v>
      </c>
      <c r="E92" s="135"/>
      <c r="F92" s="157">
        <v>4.3559999999999999</v>
      </c>
      <c r="G92" s="138" t="s">
        <v>112</v>
      </c>
      <c r="H92" s="139">
        <f t="shared" ref="H92:I98" si="26">ROUND($F92*C92/100,0)</f>
        <v>524</v>
      </c>
      <c r="I92" s="139">
        <f t="shared" si="26"/>
        <v>535</v>
      </c>
      <c r="J92" s="135"/>
      <c r="K92" s="157">
        <f t="shared" si="23"/>
        <v>4.3559999999999999</v>
      </c>
      <c r="L92" s="138" t="s">
        <v>112</v>
      </c>
      <c r="M92" s="139">
        <f t="shared" ref="M92:M98" si="27">ROUND($K92*D92/100,0)</f>
        <v>535</v>
      </c>
      <c r="N92" s="148"/>
      <c r="Q92" s="148"/>
      <c r="R92" s="148"/>
      <c r="S92" s="145">
        <f>K92-'Order(Exhibit B)'!K92</f>
        <v>0</v>
      </c>
      <c r="T92" s="115">
        <f>M92-'Order(Exhibit B)'!M92</f>
        <v>0</v>
      </c>
    </row>
    <row r="93" spans="1:20">
      <c r="A93" s="136" t="s">
        <v>114</v>
      </c>
      <c r="C93" s="135">
        <v>35541</v>
      </c>
      <c r="D93" s="135">
        <f>ROUND($C93/SUM($C94:$C95)*SUM(D94:D95),0)</f>
        <v>36276</v>
      </c>
      <c r="E93" s="135"/>
      <c r="F93" s="157">
        <v>-1.6334</v>
      </c>
      <c r="G93" s="138" t="s">
        <v>112</v>
      </c>
      <c r="H93" s="139">
        <f t="shared" si="26"/>
        <v>-581</v>
      </c>
      <c r="I93" s="139">
        <f t="shared" si="26"/>
        <v>-593</v>
      </c>
      <c r="J93" s="135"/>
      <c r="K93" s="157">
        <f t="shared" si="23"/>
        <v>-1.6334</v>
      </c>
      <c r="L93" s="138" t="s">
        <v>112</v>
      </c>
      <c r="M93" s="139">
        <f t="shared" si="27"/>
        <v>-593</v>
      </c>
      <c r="N93" s="158"/>
      <c r="Q93" s="158"/>
      <c r="R93" s="158"/>
      <c r="S93" s="145">
        <f>K93-'Order(Exhibit B)'!K93</f>
        <v>0</v>
      </c>
      <c r="T93" s="115">
        <f>M93-'Order(Exhibit B)'!M93</f>
        <v>0</v>
      </c>
    </row>
    <row r="94" spans="1:20">
      <c r="A94" s="136" t="s">
        <v>116</v>
      </c>
      <c r="C94" s="135">
        <v>27123042</v>
      </c>
      <c r="D94" s="135">
        <v>27684287</v>
      </c>
      <c r="E94" s="135"/>
      <c r="F94" s="157">
        <v>9.0279000000000007</v>
      </c>
      <c r="G94" s="163" t="s">
        <v>112</v>
      </c>
      <c r="H94" s="139">
        <f t="shared" si="26"/>
        <v>2448641</v>
      </c>
      <c r="I94" s="139">
        <f t="shared" si="26"/>
        <v>2499310</v>
      </c>
      <c r="J94" s="135"/>
      <c r="K94" s="157">
        <f t="shared" si="23"/>
        <v>9.3199000000000005</v>
      </c>
      <c r="L94" s="163" t="s">
        <v>112</v>
      </c>
      <c r="M94" s="139">
        <f t="shared" si="27"/>
        <v>2580148</v>
      </c>
      <c r="N94" s="164"/>
      <c r="Q94" s="164"/>
      <c r="R94" s="164"/>
      <c r="S94" s="145">
        <f>K94-'Order(Exhibit B)'!K94</f>
        <v>3.8500000000000867E-2</v>
      </c>
      <c r="T94" s="115">
        <f>M94-'Order(Exhibit B)'!M94</f>
        <v>10659</v>
      </c>
    </row>
    <row r="95" spans="1:20">
      <c r="A95" s="136" t="s">
        <v>118</v>
      </c>
      <c r="C95" s="135">
        <v>27168886.880101375</v>
      </c>
      <c r="D95" s="135">
        <v>27731081</v>
      </c>
      <c r="E95" s="135"/>
      <c r="F95" s="157">
        <v>11.721</v>
      </c>
      <c r="G95" s="163" t="s">
        <v>112</v>
      </c>
      <c r="H95" s="139">
        <f t="shared" si="26"/>
        <v>3184465</v>
      </c>
      <c r="I95" s="139">
        <f t="shared" si="26"/>
        <v>3250360</v>
      </c>
      <c r="J95" s="135"/>
      <c r="K95" s="157">
        <f t="shared" si="23"/>
        <v>12.013</v>
      </c>
      <c r="L95" s="163" t="s">
        <v>112</v>
      </c>
      <c r="M95" s="139">
        <f t="shared" si="27"/>
        <v>3331335</v>
      </c>
      <c r="N95" s="164"/>
      <c r="O95" s="132"/>
      <c r="P95" s="132"/>
      <c r="Q95" s="164"/>
      <c r="R95" s="164"/>
      <c r="S95" s="145">
        <f>K95-'Order(Exhibit B)'!K95</f>
        <v>3.8499999999999091E-2</v>
      </c>
      <c r="T95" s="115">
        <f>M95-'Order(Exhibit B)'!M95</f>
        <v>10677</v>
      </c>
    </row>
    <row r="96" spans="1:20">
      <c r="A96" s="136" t="s">
        <v>120</v>
      </c>
      <c r="B96" s="169"/>
      <c r="C96" s="135">
        <v>50990994</v>
      </c>
      <c r="D96" s="135">
        <v>48398461</v>
      </c>
      <c r="E96" s="135"/>
      <c r="F96" s="170">
        <v>7.9893000000000001</v>
      </c>
      <c r="G96" s="163" t="s">
        <v>112</v>
      </c>
      <c r="H96" s="139">
        <f t="shared" si="26"/>
        <v>4073823</v>
      </c>
      <c r="I96" s="139">
        <f t="shared" si="26"/>
        <v>3866698</v>
      </c>
      <c r="J96" s="135"/>
      <c r="K96" s="170">
        <f t="shared" si="23"/>
        <v>8.2477</v>
      </c>
      <c r="L96" s="163" t="s">
        <v>112</v>
      </c>
      <c r="M96" s="139">
        <f t="shared" si="27"/>
        <v>3991760</v>
      </c>
      <c r="N96" s="164"/>
      <c r="Q96" s="164"/>
      <c r="R96" s="164"/>
      <c r="S96" s="145">
        <f>K96-'Order(Exhibit B)'!K96</f>
        <v>3.4100000000000463E-2</v>
      </c>
      <c r="T96" s="115">
        <f>M96-'Order(Exhibit B)'!M96</f>
        <v>16504</v>
      </c>
    </row>
    <row r="97" spans="1:20">
      <c r="A97" s="136" t="s">
        <v>121</v>
      </c>
      <c r="B97" s="169"/>
      <c r="C97" s="135">
        <v>37836365.287790798</v>
      </c>
      <c r="D97" s="135">
        <v>35912652</v>
      </c>
      <c r="E97" s="135"/>
      <c r="F97" s="170">
        <v>10.3725</v>
      </c>
      <c r="G97" s="163" t="s">
        <v>112</v>
      </c>
      <c r="H97" s="139">
        <f t="shared" si="26"/>
        <v>3924577</v>
      </c>
      <c r="I97" s="139">
        <f t="shared" si="26"/>
        <v>3725040</v>
      </c>
      <c r="J97" s="135"/>
      <c r="K97" s="170">
        <f t="shared" si="23"/>
        <v>10.6309</v>
      </c>
      <c r="L97" s="163" t="s">
        <v>112</v>
      </c>
      <c r="M97" s="139">
        <f t="shared" si="27"/>
        <v>3817838</v>
      </c>
      <c r="N97" s="164"/>
      <c r="O97" s="132" t="s">
        <v>122</v>
      </c>
      <c r="P97" s="171">
        <f>ROUND(D101/D84,0)</f>
        <v>657</v>
      </c>
      <c r="Q97" s="164"/>
      <c r="R97" s="164"/>
      <c r="S97" s="145">
        <f>K97-'Order(Exhibit B)'!K97</f>
        <v>3.4100000000000463E-2</v>
      </c>
      <c r="T97" s="115">
        <f>M97-'Order(Exhibit B)'!M97</f>
        <v>12246</v>
      </c>
    </row>
    <row r="98" spans="1:20">
      <c r="A98" s="172" t="s">
        <v>123</v>
      </c>
      <c r="B98" s="173"/>
      <c r="C98" s="135">
        <v>172690</v>
      </c>
      <c r="D98" s="135">
        <f>ROUND($C98/$C$101*D$101,0)</f>
        <v>168118</v>
      </c>
      <c r="E98" s="135"/>
      <c r="F98" s="174">
        <v>11.912599999999999</v>
      </c>
      <c r="G98" s="13" t="s">
        <v>112</v>
      </c>
      <c r="H98" s="139">
        <f t="shared" si="26"/>
        <v>20572</v>
      </c>
      <c r="I98" s="139">
        <f t="shared" si="26"/>
        <v>20027</v>
      </c>
      <c r="J98" s="135"/>
      <c r="K98" s="174">
        <f t="shared" si="23"/>
        <v>12.0525</v>
      </c>
      <c r="L98" s="13" t="s">
        <v>112</v>
      </c>
      <c r="M98" s="139">
        <f t="shared" si="27"/>
        <v>20262</v>
      </c>
      <c r="N98" s="164"/>
      <c r="O98" s="132" t="s">
        <v>124</v>
      </c>
      <c r="P98" s="171">
        <f>ROUND(SUM(D94:D95,D98*4/12)/(D84*4/12),0)</f>
        <v>782</v>
      </c>
      <c r="Q98" s="164"/>
      <c r="R98" s="164"/>
      <c r="S98" s="145">
        <f>K98-'Order(Exhibit B)'!K98</f>
        <v>0</v>
      </c>
      <c r="T98" s="115">
        <f>M98-'Order(Exhibit B)'!M98</f>
        <v>0</v>
      </c>
    </row>
    <row r="99" spans="1:20">
      <c r="A99" s="172" t="s">
        <v>125</v>
      </c>
      <c r="B99" s="173"/>
      <c r="C99" s="135">
        <v>407166</v>
      </c>
      <c r="D99" s="135"/>
      <c r="E99" s="135"/>
      <c r="F99" s="174"/>
      <c r="G99" s="13"/>
      <c r="H99" s="139">
        <v>51999</v>
      </c>
      <c r="I99" s="139"/>
      <c r="J99" s="135"/>
      <c r="K99" s="174"/>
      <c r="L99" s="13"/>
      <c r="M99" s="139"/>
      <c r="N99" s="164"/>
      <c r="O99" s="132" t="s">
        <v>126</v>
      </c>
      <c r="P99" s="171">
        <f>ROUND(SUM(D96:D97,D98*8/12)/(D84*8/12),0)</f>
        <v>595</v>
      </c>
      <c r="Q99" s="164"/>
      <c r="R99" s="164"/>
      <c r="S99" s="145">
        <f>K99-'Order(Exhibit B)'!K99</f>
        <v>0</v>
      </c>
      <c r="T99" s="115">
        <f>M99-'Order(Exhibit B)'!M99</f>
        <v>0</v>
      </c>
    </row>
    <row r="100" spans="1:20">
      <c r="A100" s="172" t="s">
        <v>133</v>
      </c>
      <c r="B100" s="173"/>
      <c r="C100" s="135"/>
      <c r="D100" s="135"/>
      <c r="E100" s="135"/>
      <c r="F100" s="138">
        <v>13.95</v>
      </c>
      <c r="G100" s="13"/>
      <c r="H100" s="139"/>
      <c r="I100" s="139"/>
      <c r="J100" s="135"/>
      <c r="K100" s="185">
        <v>18</v>
      </c>
      <c r="L100" s="13"/>
      <c r="M100" s="139"/>
      <c r="N100" s="164"/>
      <c r="O100" s="131">
        <f>K100/F100-1</f>
        <v>0.29032258064516125</v>
      </c>
      <c r="P100" s="171"/>
      <c r="Q100" s="164"/>
      <c r="R100" s="164"/>
      <c r="S100" s="145">
        <f>K100-'Order(Exhibit B)'!K100</f>
        <v>0</v>
      </c>
      <c r="T100" s="115">
        <f>M100-'Order(Exhibit B)'!M100</f>
        <v>0</v>
      </c>
    </row>
    <row r="101" spans="1:20" ht="16.5" thickBot="1">
      <c r="A101" s="176" t="s">
        <v>127</v>
      </c>
      <c r="B101" s="177"/>
      <c r="C101" s="178">
        <f>SUM(C94:C99)</f>
        <v>143699144.16789219</v>
      </c>
      <c r="D101" s="178">
        <v>139894598.76989457</v>
      </c>
      <c r="E101" s="178"/>
      <c r="F101" s="177"/>
      <c r="G101" s="177"/>
      <c r="H101" s="179">
        <f>SUM(H85:H99)</f>
        <v>15462458</v>
      </c>
      <c r="I101" s="179">
        <f>SUM(I85:I99)</f>
        <v>14992344</v>
      </c>
      <c r="J101" s="178"/>
      <c r="K101" s="177"/>
      <c r="L101" s="177"/>
      <c r="M101" s="179">
        <f>SUM(M85:M99)</f>
        <v>15692045</v>
      </c>
      <c r="O101" s="132" t="s">
        <v>108</v>
      </c>
      <c r="P101" s="131">
        <f>M101/I101-1</f>
        <v>4.6670553984086816E-2</v>
      </c>
      <c r="S101" s="145">
        <f>K101-'Order(Exhibit B)'!K101</f>
        <v>0</v>
      </c>
      <c r="T101" s="115">
        <f>M101-'Order(Exhibit B)'!M101</f>
        <v>50086</v>
      </c>
    </row>
    <row r="102" spans="1:20" ht="16.5" thickTop="1">
      <c r="A102" s="136"/>
      <c r="C102" s="135"/>
      <c r="D102" s="135"/>
      <c r="E102" s="135"/>
      <c r="H102" s="139"/>
      <c r="I102" s="139"/>
      <c r="J102" s="135"/>
      <c r="M102" s="139"/>
      <c r="O102" s="132"/>
      <c r="P102" s="131"/>
      <c r="S102" s="145">
        <f>K102-'Order(Exhibit B)'!K102</f>
        <v>0</v>
      </c>
      <c r="T102" s="115">
        <f>M102-'Order(Exhibit B)'!M102</f>
        <v>0</v>
      </c>
    </row>
    <row r="103" spans="1:20">
      <c r="A103" s="133" t="s">
        <v>134</v>
      </c>
      <c r="C103" s="135"/>
      <c r="D103" s="135"/>
      <c r="E103" s="135"/>
      <c r="H103" s="139"/>
      <c r="I103" s="139"/>
      <c r="J103" s="135"/>
      <c r="M103" s="139"/>
      <c r="O103" s="132" t="s">
        <v>115</v>
      </c>
      <c r="P103" s="186">
        <v>1.1299999999999999</v>
      </c>
      <c r="S103" s="145">
        <f>K103-'Order(Exhibit B)'!K103</f>
        <v>0</v>
      </c>
      <c r="T103" s="115">
        <f>M103-'Order(Exhibit B)'!M103</f>
        <v>0</v>
      </c>
    </row>
    <row r="104" spans="1:20">
      <c r="A104" s="172" t="s">
        <v>135</v>
      </c>
      <c r="B104" s="132"/>
      <c r="C104" s="135"/>
      <c r="D104" s="135">
        <v>502493096.37410456</v>
      </c>
      <c r="E104" s="135"/>
      <c r="F104" s="184"/>
      <c r="G104" s="13"/>
      <c r="H104" s="139"/>
      <c r="I104" s="139"/>
      <c r="J104" s="135"/>
      <c r="K104" s="184">
        <f>ROUND(P106/SUM(D104,D105/P104,D106/P103,D107/(P103*P104))*100,P8)</f>
        <v>32.083399999999997</v>
      </c>
      <c r="L104" s="13" t="s">
        <v>112</v>
      </c>
      <c r="M104" s="139">
        <f>ROUND($K104*D104/100,0)</f>
        <v>161216870</v>
      </c>
      <c r="O104" s="132" t="s">
        <v>136</v>
      </c>
      <c r="P104" s="186">
        <v>4.5</v>
      </c>
      <c r="S104" s="145">
        <f>K104-'Order(Exhibit B)'!K104</f>
        <v>0.1150999999999982</v>
      </c>
      <c r="T104" s="115">
        <f>M104-'Order(Exhibit B)'!M104</f>
        <v>578369</v>
      </c>
    </row>
    <row r="105" spans="1:20">
      <c r="A105" s="172" t="s">
        <v>137</v>
      </c>
      <c r="B105" s="132"/>
      <c r="C105" s="135"/>
      <c r="D105" s="135">
        <v>2886234053.5050712</v>
      </c>
      <c r="E105" s="135"/>
      <c r="F105" s="184"/>
      <c r="G105" s="13"/>
      <c r="H105" s="139"/>
      <c r="I105" s="139"/>
      <c r="J105" s="135"/>
      <c r="K105" s="184">
        <f>ROUND(K104/P104,P8)</f>
        <v>7.1295999999999999</v>
      </c>
      <c r="L105" s="13" t="s">
        <v>112</v>
      </c>
      <c r="M105" s="139">
        <f>ROUND($K105*D105/100,0)</f>
        <v>205776943</v>
      </c>
      <c r="O105" s="132"/>
      <c r="P105" s="187"/>
      <c r="R105" s="188"/>
      <c r="S105" s="145">
        <f>K105-'Order(Exhibit B)'!K105</f>
        <v>2.5500000000000078E-2</v>
      </c>
      <c r="T105" s="115">
        <f>M105-'Order(Exhibit B)'!M105</f>
        <v>735990</v>
      </c>
    </row>
    <row r="106" spans="1:20">
      <c r="A106" s="172" t="s">
        <v>138</v>
      </c>
      <c r="B106" s="132"/>
      <c r="C106" s="135"/>
      <c r="D106" s="135">
        <v>686608692.0564878</v>
      </c>
      <c r="E106" s="135"/>
      <c r="F106" s="184"/>
      <c r="G106" s="13"/>
      <c r="H106" s="139"/>
      <c r="I106" s="139"/>
      <c r="J106" s="135"/>
      <c r="K106" s="184">
        <f>ROUND(K104/P103,P8)</f>
        <v>28.392399999999999</v>
      </c>
      <c r="L106" s="13" t="s">
        <v>112</v>
      </c>
      <c r="M106" s="139">
        <f>ROUND($K106*D106/100,0)</f>
        <v>194944686</v>
      </c>
      <c r="O106" s="132" t="s">
        <v>139</v>
      </c>
      <c r="P106" s="189">
        <f>SUM(M18:M23,M37:M44,M58:M63,M77:M78,M92:M97)</f>
        <v>824863439</v>
      </c>
      <c r="S106" s="145">
        <f>K106-'Order(Exhibit B)'!K106</f>
        <v>0.10189999999999699</v>
      </c>
      <c r="T106" s="115">
        <f>M106-'Order(Exhibit B)'!M106</f>
        <v>699654</v>
      </c>
    </row>
    <row r="107" spans="1:20">
      <c r="A107" s="172" t="s">
        <v>140</v>
      </c>
      <c r="B107" s="132"/>
      <c r="C107" s="135"/>
      <c r="D107" s="135">
        <v>4167161808.5704403</v>
      </c>
      <c r="E107" s="135"/>
      <c r="F107" s="184"/>
      <c r="G107" s="13"/>
      <c r="H107" s="139"/>
      <c r="I107" s="139"/>
      <c r="J107" s="135"/>
      <c r="K107" s="184">
        <f>ROUND(K105/P103,P8)</f>
        <v>6.3094000000000001</v>
      </c>
      <c r="L107" s="13" t="s">
        <v>112</v>
      </c>
      <c r="M107" s="139">
        <f>ROUND($K107*D107/100,0)</f>
        <v>262922907</v>
      </c>
      <c r="O107" s="132" t="s">
        <v>141</v>
      </c>
      <c r="P107" s="189">
        <f>M108</f>
        <v>824861406</v>
      </c>
      <c r="R107" s="188"/>
      <c r="S107" s="145">
        <f>K107-'Order(Exhibit B)'!K107</f>
        <v>2.2599999999999731E-2</v>
      </c>
      <c r="T107" s="115">
        <f>M107-'Order(Exhibit B)'!M107</f>
        <v>941778</v>
      </c>
    </row>
    <row r="108" spans="1:20" ht="16.5" thickBot="1">
      <c r="A108" s="176" t="s">
        <v>127</v>
      </c>
      <c r="B108" s="177"/>
      <c r="C108" s="178"/>
      <c r="D108" s="178">
        <f>SUM(D104:D107)</f>
        <v>8242497650.5061035</v>
      </c>
      <c r="E108" s="178"/>
      <c r="F108" s="177"/>
      <c r="G108" s="177"/>
      <c r="H108" s="179"/>
      <c r="I108" s="179"/>
      <c r="J108" s="178"/>
      <c r="K108" s="177"/>
      <c r="L108" s="177"/>
      <c r="M108" s="179">
        <f>SUM(M104:M107)</f>
        <v>824861406</v>
      </c>
      <c r="O108" s="132"/>
      <c r="P108" s="131"/>
      <c r="S108" s="145">
        <f>K108-'Order(Exhibit B)'!K108</f>
        <v>0</v>
      </c>
      <c r="T108" s="115">
        <f>M108-'Order(Exhibit B)'!M108</f>
        <v>2955791</v>
      </c>
    </row>
    <row r="109" spans="1:20" ht="16.5" thickTop="1">
      <c r="A109" s="136"/>
      <c r="C109" s="135"/>
      <c r="D109" s="135"/>
      <c r="E109" s="135"/>
      <c r="H109" s="139"/>
      <c r="I109" s="139"/>
      <c r="J109" s="135"/>
      <c r="M109" s="139"/>
      <c r="O109" s="132"/>
      <c r="P109" s="131"/>
      <c r="S109" s="145">
        <f>K109-'Order(Exhibit B)'!K109</f>
        <v>0</v>
      </c>
      <c r="T109" s="115">
        <f>M109-'Order(Exhibit B)'!M109</f>
        <v>0</v>
      </c>
    </row>
    <row r="110" spans="1:20">
      <c r="A110" s="133" t="s">
        <v>142</v>
      </c>
      <c r="C110" s="135"/>
      <c r="D110" s="135"/>
      <c r="E110" s="135"/>
      <c r="J110" s="135"/>
      <c r="O110" s="132"/>
      <c r="P110" s="132"/>
      <c r="S110" s="145">
        <f>K110-'Order(Exhibit B)'!K110</f>
        <v>0</v>
      </c>
      <c r="T110" s="115">
        <f>M110-'Order(Exhibit B)'!M110</f>
        <v>0</v>
      </c>
    </row>
    <row r="111" spans="1:20">
      <c r="A111" s="136" t="s">
        <v>143</v>
      </c>
      <c r="C111" s="135">
        <f t="shared" ref="C111:D120" si="28">C125+C139+C153</f>
        <v>163031.45547169866</v>
      </c>
      <c r="D111" s="135">
        <f t="shared" si="28"/>
        <v>164413.4043845573</v>
      </c>
      <c r="E111" s="135"/>
      <c r="F111" s="190">
        <v>53</v>
      </c>
      <c r="G111" s="138"/>
      <c r="H111" s="139">
        <f t="shared" ref="H111:I116" si="29">ROUND($F111*C111,0)</f>
        <v>8640667</v>
      </c>
      <c r="I111" s="139">
        <f t="shared" si="29"/>
        <v>8713910</v>
      </c>
      <c r="J111" s="135"/>
      <c r="K111" s="190">
        <f>ROUND(F111*(1+$P$116),0)</f>
        <v>55</v>
      </c>
      <c r="L111" s="138"/>
      <c r="M111" s="139">
        <f t="shared" ref="M111:M116" si="30">ROUND($K111*D111,0)</f>
        <v>9042737</v>
      </c>
      <c r="O111" s="146" t="s">
        <v>101</v>
      </c>
      <c r="P111" s="147">
        <f>M122+M178</f>
        <v>549379310</v>
      </c>
      <c r="Q111" s="164">
        <f>K111/F111</f>
        <v>1.0377358490566038</v>
      </c>
      <c r="R111" s="164">
        <f>M111/I111</f>
        <v>1.037735872874519</v>
      </c>
      <c r="S111" s="145">
        <f>K111-'Order(Exhibit B)'!K111</f>
        <v>0</v>
      </c>
      <c r="T111" s="115">
        <f>M111-'Order(Exhibit B)'!M111</f>
        <v>0</v>
      </c>
    </row>
    <row r="112" spans="1:20">
      <c r="A112" s="136" t="s">
        <v>106</v>
      </c>
      <c r="C112" s="135">
        <f t="shared" si="28"/>
        <v>0</v>
      </c>
      <c r="D112" s="135">
        <f t="shared" si="28"/>
        <v>0</v>
      </c>
      <c r="E112" s="135"/>
      <c r="F112" s="190">
        <v>2</v>
      </c>
      <c r="G112" s="138"/>
      <c r="H112" s="139">
        <f t="shared" si="29"/>
        <v>0</v>
      </c>
      <c r="I112" s="139">
        <f t="shared" si="29"/>
        <v>0</v>
      </c>
      <c r="J112" s="135"/>
      <c r="K112" s="190">
        <f>F112</f>
        <v>2</v>
      </c>
      <c r="L112" s="138"/>
      <c r="M112" s="139">
        <f t="shared" si="30"/>
        <v>0</v>
      </c>
      <c r="O112" s="149" t="s">
        <v>103</v>
      </c>
      <c r="P112" s="150">
        <f>'Exhibit B(Rate Spread)'!M19*1000</f>
        <v>549380030.0869143</v>
      </c>
      <c r="Q112" s="164">
        <f t="shared" ref="Q112:Q120" si="31">K112/F112</f>
        <v>1</v>
      </c>
      <c r="R112" s="164" t="e">
        <f t="shared" ref="R112:R122" si="32">M112/I112</f>
        <v>#DIV/0!</v>
      </c>
      <c r="S112" s="145">
        <f>K112-'Order(Exhibit B)'!K112</f>
        <v>0</v>
      </c>
      <c r="T112" s="115">
        <f>M112-'Order(Exhibit B)'!M112</f>
        <v>0</v>
      </c>
    </row>
    <row r="113" spans="1:20">
      <c r="A113" s="136" t="s">
        <v>109</v>
      </c>
      <c r="C113" s="135">
        <f t="shared" si="28"/>
        <v>87125</v>
      </c>
      <c r="D113" s="135">
        <f t="shared" si="28"/>
        <v>114282.64202467541</v>
      </c>
      <c r="E113" s="135"/>
      <c r="F113" s="138">
        <v>-0.5</v>
      </c>
      <c r="G113" s="138"/>
      <c r="H113" s="139">
        <f t="shared" si="29"/>
        <v>-43563</v>
      </c>
      <c r="I113" s="139">
        <f t="shared" si="29"/>
        <v>-57141</v>
      </c>
      <c r="J113" s="135"/>
      <c r="K113" s="138">
        <f>F113</f>
        <v>-0.5</v>
      </c>
      <c r="L113" s="138"/>
      <c r="M113" s="139">
        <f t="shared" si="30"/>
        <v>-57141</v>
      </c>
      <c r="O113" s="152" t="s">
        <v>105</v>
      </c>
      <c r="P113" s="153">
        <f>P112-P111</f>
        <v>720.08691430091858</v>
      </c>
      <c r="Q113" s="164">
        <f t="shared" si="31"/>
        <v>1</v>
      </c>
      <c r="R113" s="164">
        <f t="shared" si="32"/>
        <v>1</v>
      </c>
      <c r="S113" s="145">
        <f>K113-'Order(Exhibit B)'!K113</f>
        <v>0</v>
      </c>
      <c r="T113" s="115">
        <f>M113-'Order(Exhibit B)'!M113</f>
        <v>0</v>
      </c>
    </row>
    <row r="114" spans="1:20">
      <c r="A114" s="136" t="s">
        <v>144</v>
      </c>
      <c r="C114" s="135">
        <f t="shared" si="28"/>
        <v>16390657.887218049</v>
      </c>
      <c r="D114" s="135">
        <f t="shared" si="28"/>
        <v>17344210</v>
      </c>
      <c r="E114" s="135"/>
      <c r="F114" s="190">
        <v>3.99</v>
      </c>
      <c r="G114" s="138"/>
      <c r="H114" s="139">
        <f t="shared" si="29"/>
        <v>65398725</v>
      </c>
      <c r="I114" s="139">
        <f t="shared" si="29"/>
        <v>69203398</v>
      </c>
      <c r="J114" s="135"/>
      <c r="K114" s="190">
        <f>ROUND(F114*(1+$P$116),2)</f>
        <v>4.1399999999999997</v>
      </c>
      <c r="L114" s="138"/>
      <c r="M114" s="139">
        <f t="shared" si="30"/>
        <v>71805029</v>
      </c>
      <c r="O114" s="146" t="s">
        <v>108</v>
      </c>
      <c r="P114" s="191">
        <f>P111/(I122+I178)-1</f>
        <v>2.727730201959E-2</v>
      </c>
      <c r="Q114" s="164">
        <f t="shared" si="31"/>
        <v>1.0375939849624058</v>
      </c>
      <c r="R114" s="164">
        <f t="shared" si="32"/>
        <v>1.0375939776830034</v>
      </c>
      <c r="S114" s="145">
        <f>K114-'Order(Exhibit B)'!K114</f>
        <v>1.9999999999999574E-2</v>
      </c>
      <c r="T114" s="115">
        <f>M114-'Order(Exhibit B)'!M114</f>
        <v>346884</v>
      </c>
    </row>
    <row r="115" spans="1:20">
      <c r="A115" s="136" t="s">
        <v>145</v>
      </c>
      <c r="C115" s="135">
        <f t="shared" si="28"/>
        <v>6036337.5094197905</v>
      </c>
      <c r="D115" s="135">
        <f t="shared" si="28"/>
        <v>6387053</v>
      </c>
      <c r="E115" s="135"/>
      <c r="F115" s="190">
        <v>13.27</v>
      </c>
      <c r="G115" s="138"/>
      <c r="H115" s="139">
        <f t="shared" si="29"/>
        <v>80102199</v>
      </c>
      <c r="I115" s="139">
        <f t="shared" si="29"/>
        <v>84756193</v>
      </c>
      <c r="J115" s="135"/>
      <c r="K115" s="190">
        <f t="shared" ref="K115:K116" si="33">ROUND(F115*(1+$P$116),2)</f>
        <v>13.77</v>
      </c>
      <c r="L115" s="138"/>
      <c r="M115" s="139">
        <f t="shared" si="30"/>
        <v>87949720</v>
      </c>
      <c r="O115" s="149" t="s">
        <v>110</v>
      </c>
      <c r="P115" s="191">
        <f>P112/(I122+I178)-1</f>
        <v>2.7278648500844715E-2</v>
      </c>
      <c r="Q115" s="164">
        <f t="shared" si="31"/>
        <v>1.0376789751318765</v>
      </c>
      <c r="R115" s="164">
        <f t="shared" si="32"/>
        <v>1.0376789811689631</v>
      </c>
      <c r="S115" s="145">
        <f>K115-'Order(Exhibit B)'!K115</f>
        <v>5.9999999999998721E-2</v>
      </c>
      <c r="T115" s="115">
        <f>M115-'Order(Exhibit B)'!M115</f>
        <v>383223</v>
      </c>
    </row>
    <row r="116" spans="1:20">
      <c r="A116" s="136" t="s">
        <v>146</v>
      </c>
      <c r="C116" s="135">
        <f t="shared" si="28"/>
        <v>10354320.573253868</v>
      </c>
      <c r="D116" s="135">
        <f t="shared" si="28"/>
        <v>10957157</v>
      </c>
      <c r="E116" s="135"/>
      <c r="F116" s="190">
        <v>11.74</v>
      </c>
      <c r="G116" s="138"/>
      <c r="H116" s="139">
        <f t="shared" si="29"/>
        <v>121559724</v>
      </c>
      <c r="I116" s="139">
        <f t="shared" si="29"/>
        <v>128637023</v>
      </c>
      <c r="J116" s="135"/>
      <c r="K116" s="190">
        <f t="shared" si="33"/>
        <v>12.18</v>
      </c>
      <c r="L116" s="138"/>
      <c r="M116" s="139">
        <f t="shared" si="30"/>
        <v>133458172</v>
      </c>
      <c r="O116" s="146" t="s">
        <v>147</v>
      </c>
      <c r="P116" s="192">
        <f>(P112-SUM(M112:M113,M119:M120,M168:M169,M175:M176)-SUM(I117:I118,I173:I174)*(1+P115/2))/SUM(I111,I114:I116,I167,I170:I172)-1</f>
        <v>3.7555399654738642E-2</v>
      </c>
      <c r="Q116" s="164">
        <f t="shared" si="31"/>
        <v>1.0374787052810903</v>
      </c>
      <c r="R116" s="164">
        <f t="shared" si="32"/>
        <v>1.0374787047116287</v>
      </c>
      <c r="S116" s="145">
        <f>K116-'Order(Exhibit B)'!K116</f>
        <v>4.9999999999998934E-2</v>
      </c>
      <c r="T116" s="115">
        <f>M116-'Order(Exhibit B)'!M116</f>
        <v>547858</v>
      </c>
    </row>
    <row r="117" spans="1:20">
      <c r="A117" s="136" t="s">
        <v>148</v>
      </c>
      <c r="C117" s="135">
        <f t="shared" si="28"/>
        <v>2112413469.5102398</v>
      </c>
      <c r="D117" s="135">
        <f t="shared" si="28"/>
        <v>2270068657.2900715</v>
      </c>
      <c r="E117" s="135"/>
      <c r="F117" s="193">
        <v>3.8877999999999999</v>
      </c>
      <c r="G117" s="163" t="s">
        <v>112</v>
      </c>
      <c r="H117" s="139">
        <f>ROUND($F117*C117/100,0)</f>
        <v>82126411</v>
      </c>
      <c r="I117" s="139">
        <f>ROUND($F117*D117/100,0)</f>
        <v>88255729</v>
      </c>
      <c r="J117" s="135"/>
      <c r="K117" s="193">
        <f>ROUND(F117*(1+$P$115/2),$P$8)</f>
        <v>3.9407999999999999</v>
      </c>
      <c r="L117" s="163" t="s">
        <v>112</v>
      </c>
      <c r="M117" s="139">
        <f>ROUND($K117*D117/100,0)</f>
        <v>89458866</v>
      </c>
      <c r="O117" s="167"/>
      <c r="P117" s="194"/>
      <c r="Q117" s="164">
        <f t="shared" si="31"/>
        <v>1.0136323884973506</v>
      </c>
      <c r="R117" s="164">
        <f t="shared" si="32"/>
        <v>1.0136323954674942</v>
      </c>
      <c r="S117" s="145">
        <f>K117-'Order(Exhibit B)'!K117</f>
        <v>5.7000000000000384E-3</v>
      </c>
      <c r="T117" s="115">
        <f>M117-'Order(Exhibit B)'!M117</f>
        <v>129394</v>
      </c>
    </row>
    <row r="118" spans="1:20">
      <c r="A118" s="136" t="s">
        <v>149</v>
      </c>
      <c r="C118" s="135">
        <f t="shared" si="28"/>
        <v>3654374191.6813564</v>
      </c>
      <c r="D118" s="135">
        <f t="shared" si="28"/>
        <v>3873587247.3468466</v>
      </c>
      <c r="E118" s="135"/>
      <c r="F118" s="193">
        <v>3.4405000000000001</v>
      </c>
      <c r="G118" s="163" t="s">
        <v>112</v>
      </c>
      <c r="H118" s="139">
        <f>ROUND($F118*C118/100,0)</f>
        <v>125728744</v>
      </c>
      <c r="I118" s="139">
        <f>ROUND($F118*D118/100,0)</f>
        <v>133270769</v>
      </c>
      <c r="J118" s="135"/>
      <c r="K118" s="193">
        <f>ROUND((P112-SUM(M111:M117,M119:M120,M167:M173,M175:M176))/SUM(D118,D174)*100,$P$8)</f>
        <v>3.4872999999999998</v>
      </c>
      <c r="L118" s="163" t="s">
        <v>112</v>
      </c>
      <c r="M118" s="139">
        <f>ROUND($K118*D118/100,0)</f>
        <v>135083608</v>
      </c>
      <c r="O118" s="142"/>
      <c r="P118" s="195"/>
      <c r="Q118" s="164">
        <f t="shared" si="31"/>
        <v>1.0136026740299375</v>
      </c>
      <c r="R118" s="164">
        <f t="shared" si="32"/>
        <v>1.0136026753173459</v>
      </c>
      <c r="S118" s="145">
        <f>K118-'Order(Exhibit B)'!K118</f>
        <v>4.9999999999998934E-3</v>
      </c>
      <c r="T118" s="115">
        <f>M118-'Order(Exhibit B)'!M118</f>
        <v>193679</v>
      </c>
    </row>
    <row r="119" spans="1:20">
      <c r="A119" s="136" t="s">
        <v>150</v>
      </c>
      <c r="C119" s="135">
        <f t="shared" si="28"/>
        <v>630615.8125</v>
      </c>
      <c r="D119" s="135">
        <f t="shared" si="28"/>
        <v>669858</v>
      </c>
      <c r="E119" s="135"/>
      <c r="F119" s="138">
        <v>-0.96</v>
      </c>
      <c r="G119" s="138"/>
      <c r="H119" s="139">
        <f>ROUND($F119*C119,0)</f>
        <v>-605391</v>
      </c>
      <c r="I119" s="139">
        <f>ROUND($F119*D119,0)</f>
        <v>-643064</v>
      </c>
      <c r="J119" s="135"/>
      <c r="K119" s="138">
        <f>F119</f>
        <v>-0.96</v>
      </c>
      <c r="L119" s="138"/>
      <c r="M119" s="139">
        <f>ROUND($K119*D119,0)</f>
        <v>-643064</v>
      </c>
      <c r="O119" s="132"/>
      <c r="P119" s="196"/>
      <c r="Q119" s="164">
        <f t="shared" si="31"/>
        <v>1</v>
      </c>
      <c r="R119" s="164">
        <f t="shared" si="32"/>
        <v>1</v>
      </c>
      <c r="S119" s="145">
        <f>K119-'Order(Exhibit B)'!K119</f>
        <v>0</v>
      </c>
      <c r="T119" s="115">
        <f>M119-'Order(Exhibit B)'!M119</f>
        <v>0</v>
      </c>
    </row>
    <row r="120" spans="1:20">
      <c r="A120" s="172" t="s">
        <v>123</v>
      </c>
      <c r="C120" s="135">
        <f t="shared" si="28"/>
        <v>2368200</v>
      </c>
      <c r="D120" s="135">
        <f t="shared" si="28"/>
        <v>2500892</v>
      </c>
      <c r="E120" s="135"/>
      <c r="F120" s="193">
        <v>7.125</v>
      </c>
      <c r="G120" s="163" t="s">
        <v>112</v>
      </c>
      <c r="H120" s="139">
        <f>ROUND($F120*C120/100,0)</f>
        <v>168734</v>
      </c>
      <c r="I120" s="139">
        <f>ROUND($F120*D120/100,0)</f>
        <v>178189</v>
      </c>
      <c r="J120" s="135"/>
      <c r="K120" s="174">
        <f>F120</f>
        <v>7.125</v>
      </c>
      <c r="L120" s="163" t="s">
        <v>112</v>
      </c>
      <c r="M120" s="139">
        <f>ROUND($K120*D120/100,0)</f>
        <v>178189</v>
      </c>
      <c r="O120" s="114">
        <f>F120</f>
        <v>7.125</v>
      </c>
      <c r="P120" s="164">
        <f>SUM(M117:M118,M173:M174)/SUM(I117:I118,I173:I174)</f>
        <v>1.0136143615889379</v>
      </c>
      <c r="Q120" s="164">
        <f t="shared" si="31"/>
        <v>1</v>
      </c>
      <c r="R120" s="164">
        <f t="shared" si="32"/>
        <v>1</v>
      </c>
      <c r="S120" s="145">
        <f>K120-'Order(Exhibit B)'!K120</f>
        <v>0</v>
      </c>
      <c r="T120" s="115">
        <f>M120-'Order(Exhibit B)'!M120</f>
        <v>0</v>
      </c>
    </row>
    <row r="121" spans="1:20">
      <c r="A121" s="172" t="s">
        <v>125</v>
      </c>
      <c r="B121" s="173"/>
      <c r="C121" s="135">
        <f>C135+C149+C163</f>
        <v>39569225</v>
      </c>
      <c r="D121" s="135"/>
      <c r="E121" s="135"/>
      <c r="F121" s="174"/>
      <c r="G121" s="13"/>
      <c r="H121" s="139">
        <f>H135+H149+H163</f>
        <v>3377461.7838672101</v>
      </c>
      <c r="I121" s="139"/>
      <c r="J121" s="135"/>
      <c r="K121" s="174"/>
      <c r="L121" s="13"/>
      <c r="M121" s="139"/>
      <c r="N121" s="164"/>
      <c r="P121" s="164"/>
      <c r="Q121" s="145"/>
      <c r="R121" s="164" t="e">
        <f t="shared" si="32"/>
        <v>#DIV/0!</v>
      </c>
      <c r="S121" s="145">
        <f>K121-'Order(Exhibit B)'!K121</f>
        <v>0</v>
      </c>
      <c r="T121" s="115">
        <f>M121-'Order(Exhibit B)'!M121</f>
        <v>0</v>
      </c>
    </row>
    <row r="122" spans="1:20" ht="16.5" thickBot="1">
      <c r="A122" s="176" t="s">
        <v>127</v>
      </c>
      <c r="B122" s="177"/>
      <c r="C122" s="178">
        <f t="shared" ref="C122" si="34">C136+C150+C164</f>
        <v>5808725086.191597</v>
      </c>
      <c r="D122" s="178">
        <f>D136+D150+D164</f>
        <v>6146156796.6369171</v>
      </c>
      <c r="E122" s="178"/>
      <c r="F122" s="177"/>
      <c r="G122" s="177"/>
      <c r="H122" s="179">
        <f>SUM(H111:H121)</f>
        <v>486453711.78386724</v>
      </c>
      <c r="I122" s="179">
        <f>SUM(I111:I121)</f>
        <v>512315006</v>
      </c>
      <c r="J122" s="178"/>
      <c r="K122" s="177"/>
      <c r="L122" s="177"/>
      <c r="M122" s="179">
        <f>SUM(M111:M121)</f>
        <v>526276116</v>
      </c>
      <c r="O122" s="136" t="s">
        <v>108</v>
      </c>
      <c r="P122" s="197">
        <f>M122/I122-1</f>
        <v>2.7251026880910745E-2</v>
      </c>
      <c r="R122" s="164">
        <f t="shared" si="32"/>
        <v>1.0272510268809107</v>
      </c>
      <c r="S122" s="145">
        <f>K122-'Order(Exhibit B)'!K122</f>
        <v>0</v>
      </c>
      <c r="T122" s="115">
        <f>M122-'Order(Exhibit B)'!M122</f>
        <v>1601038</v>
      </c>
    </row>
    <row r="123" spans="1:20" ht="16.5" thickTop="1">
      <c r="C123" s="135"/>
      <c r="D123" s="135"/>
      <c r="E123" s="135"/>
      <c r="J123" s="135"/>
      <c r="R123" s="164" t="e">
        <f t="shared" ref="R123:R164" si="35">M123/H123</f>
        <v>#DIV/0!</v>
      </c>
      <c r="S123" s="145">
        <f>K123-'Order(Exhibit B)'!K123</f>
        <v>0</v>
      </c>
      <c r="T123" s="115">
        <f>M123-'Order(Exhibit B)'!M123</f>
        <v>0</v>
      </c>
    </row>
    <row r="124" spans="1:20">
      <c r="A124" s="133" t="s">
        <v>454</v>
      </c>
      <c r="C124" s="135"/>
      <c r="D124" s="135"/>
      <c r="E124" s="135"/>
      <c r="J124" s="135"/>
      <c r="R124" s="164" t="e">
        <f t="shared" si="35"/>
        <v>#DIV/0!</v>
      </c>
      <c r="S124" s="145">
        <f>K124-'Order(Exhibit B)'!K124</f>
        <v>0</v>
      </c>
      <c r="T124" s="115">
        <f>M124-'Order(Exhibit B)'!M124</f>
        <v>0</v>
      </c>
    </row>
    <row r="125" spans="1:20">
      <c r="A125" s="136" t="s">
        <v>143</v>
      </c>
      <c r="C125" s="135">
        <v>148474.691132076</v>
      </c>
      <c r="D125" s="135">
        <v>149633.66703845051</v>
      </c>
      <c r="E125" s="135"/>
      <c r="F125" s="190">
        <v>53</v>
      </c>
      <c r="G125" s="138"/>
      <c r="H125" s="139">
        <f t="shared" ref="H125:I130" si="36">ROUND($F125*C125,0)</f>
        <v>7869159</v>
      </c>
      <c r="I125" s="139">
        <f t="shared" si="36"/>
        <v>7930584</v>
      </c>
      <c r="J125" s="135"/>
      <c r="K125" s="190">
        <f>K$111</f>
        <v>55</v>
      </c>
      <c r="L125" s="138"/>
      <c r="M125" s="139">
        <f t="shared" ref="M125:M130" si="37">ROUND($K125*D125,0)</f>
        <v>8229852</v>
      </c>
      <c r="R125" s="164">
        <f t="shared" si="35"/>
        <v>1.045836283140295</v>
      </c>
      <c r="S125" s="145">
        <f>K125-'Order(Exhibit B)'!K125</f>
        <v>0</v>
      </c>
      <c r="T125" s="115">
        <f>M125-'Order(Exhibit B)'!M125</f>
        <v>0</v>
      </c>
    </row>
    <row r="126" spans="1:20">
      <c r="A126" s="136" t="s">
        <v>106</v>
      </c>
      <c r="C126" s="135">
        <v>0</v>
      </c>
      <c r="D126" s="135">
        <f>ROUND($C126/$C125*D125,0)</f>
        <v>0</v>
      </c>
      <c r="E126" s="135"/>
      <c r="F126" s="190">
        <v>2</v>
      </c>
      <c r="G126" s="138"/>
      <c r="H126" s="139">
        <f t="shared" si="36"/>
        <v>0</v>
      </c>
      <c r="I126" s="139">
        <f t="shared" si="36"/>
        <v>0</v>
      </c>
      <c r="J126" s="135"/>
      <c r="K126" s="190">
        <f>K$112</f>
        <v>2</v>
      </c>
      <c r="L126" s="138"/>
      <c r="M126" s="139">
        <f t="shared" si="37"/>
        <v>0</v>
      </c>
      <c r="R126" s="164" t="e">
        <f t="shared" si="35"/>
        <v>#DIV/0!</v>
      </c>
      <c r="S126" s="145">
        <f>K126-'Order(Exhibit B)'!K126</f>
        <v>0</v>
      </c>
      <c r="T126" s="115">
        <f>M126-'Order(Exhibit B)'!M126</f>
        <v>0</v>
      </c>
    </row>
    <row r="127" spans="1:20">
      <c r="A127" s="136" t="s">
        <v>109</v>
      </c>
      <c r="C127" s="135">
        <v>80292</v>
      </c>
      <c r="D127" s="135">
        <v>104009.34685956115</v>
      </c>
      <c r="E127" s="135"/>
      <c r="F127" s="138">
        <v>-0.5</v>
      </c>
      <c r="G127" s="138"/>
      <c r="H127" s="139">
        <f t="shared" si="36"/>
        <v>-40146</v>
      </c>
      <c r="I127" s="139">
        <f t="shared" si="36"/>
        <v>-52005</v>
      </c>
      <c r="J127" s="135"/>
      <c r="K127" s="138">
        <f>K$113</f>
        <v>-0.5</v>
      </c>
      <c r="L127" s="138"/>
      <c r="M127" s="139">
        <f t="shared" si="37"/>
        <v>-52005</v>
      </c>
      <c r="R127" s="164">
        <f t="shared" si="35"/>
        <v>1.2953968016738904</v>
      </c>
      <c r="S127" s="145">
        <f>K127-'Order(Exhibit B)'!K127</f>
        <v>0</v>
      </c>
      <c r="T127" s="115">
        <f>M127-'Order(Exhibit B)'!M127</f>
        <v>0</v>
      </c>
    </row>
    <row r="128" spans="1:20">
      <c r="A128" s="136" t="s">
        <v>144</v>
      </c>
      <c r="C128" s="135">
        <v>14408669</v>
      </c>
      <c r="D128" s="135">
        <f>ROUND(D$136*$C128/$C$136,0)</f>
        <v>15215177</v>
      </c>
      <c r="E128" s="135"/>
      <c r="F128" s="190">
        <v>3.99</v>
      </c>
      <c r="G128" s="138"/>
      <c r="H128" s="139">
        <f t="shared" si="36"/>
        <v>57490589</v>
      </c>
      <c r="I128" s="139">
        <f t="shared" si="36"/>
        <v>60708556</v>
      </c>
      <c r="J128" s="135"/>
      <c r="K128" s="190">
        <f>K$114</f>
        <v>4.1399999999999997</v>
      </c>
      <c r="L128" s="138"/>
      <c r="M128" s="139">
        <f t="shared" si="37"/>
        <v>62990833</v>
      </c>
      <c r="R128" s="164">
        <f t="shared" si="35"/>
        <v>1.0956720759983865</v>
      </c>
      <c r="S128" s="145">
        <f>K128-'Order(Exhibit B)'!K128</f>
        <v>1.9999999999999574E-2</v>
      </c>
      <c r="T128" s="115">
        <f>M128-'Order(Exhibit B)'!M128</f>
        <v>304304</v>
      </c>
    </row>
    <row r="129" spans="1:20">
      <c r="A129" s="136" t="s">
        <v>145</v>
      </c>
      <c r="C129" s="135">
        <v>5332215.1755840704</v>
      </c>
      <c r="D129" s="135">
        <f>ROUND(D$136*$C129/$C$136,0)</f>
        <v>5630680</v>
      </c>
      <c r="E129" s="135"/>
      <c r="F129" s="190">
        <v>13.27</v>
      </c>
      <c r="G129" s="138"/>
      <c r="H129" s="139">
        <f t="shared" si="36"/>
        <v>70758495</v>
      </c>
      <c r="I129" s="139">
        <f t="shared" si="36"/>
        <v>74719124</v>
      </c>
      <c r="J129" s="135"/>
      <c r="K129" s="190">
        <f>K$115</f>
        <v>13.77</v>
      </c>
      <c r="L129" s="138"/>
      <c r="M129" s="139">
        <f t="shared" si="37"/>
        <v>77534464</v>
      </c>
      <c r="R129" s="164">
        <f t="shared" si="35"/>
        <v>1.0957619152301077</v>
      </c>
      <c r="S129" s="145">
        <f>K129-'Order(Exhibit B)'!K129</f>
        <v>5.9999999999998721E-2</v>
      </c>
      <c r="T129" s="115">
        <f>M129-'Order(Exhibit B)'!M129</f>
        <v>337841</v>
      </c>
    </row>
    <row r="130" spans="1:20">
      <c r="A130" s="136" t="s">
        <v>146</v>
      </c>
      <c r="C130" s="135">
        <v>9076454.0076661296</v>
      </c>
      <c r="D130" s="135">
        <f t="shared" ref="D130" si="38">ROUND(D$136*$C130/$C$136,0)</f>
        <v>9584498</v>
      </c>
      <c r="E130" s="135"/>
      <c r="F130" s="190">
        <v>11.74</v>
      </c>
      <c r="G130" s="138"/>
      <c r="H130" s="139">
        <f t="shared" si="36"/>
        <v>106557570</v>
      </c>
      <c r="I130" s="139">
        <f t="shared" si="36"/>
        <v>112522007</v>
      </c>
      <c r="J130" s="135"/>
      <c r="K130" s="190">
        <f>K$116</f>
        <v>12.18</v>
      </c>
      <c r="L130" s="138"/>
      <c r="M130" s="139">
        <f t="shared" si="37"/>
        <v>116739186</v>
      </c>
      <c r="R130" s="164">
        <f t="shared" si="35"/>
        <v>1.0955503771341633</v>
      </c>
      <c r="S130" s="145">
        <f>K130-'Order(Exhibit B)'!K130</f>
        <v>4.9999999999998934E-2</v>
      </c>
      <c r="T130" s="115">
        <f>M130-'Order(Exhibit B)'!M130</f>
        <v>479225</v>
      </c>
    </row>
    <row r="131" spans="1:20">
      <c r="A131" s="136" t="s">
        <v>148</v>
      </c>
      <c r="C131" s="135">
        <v>1869391155.1384337</v>
      </c>
      <c r="D131" s="135">
        <v>2004812210.2148268</v>
      </c>
      <c r="E131" s="135"/>
      <c r="F131" s="193">
        <v>3.8877999999999999</v>
      </c>
      <c r="G131" s="163" t="s">
        <v>112</v>
      </c>
      <c r="H131" s="139">
        <f>ROUND($F131*C131/100,0)</f>
        <v>72678189</v>
      </c>
      <c r="I131" s="139">
        <f>ROUND($F131*D131/100,0)</f>
        <v>77943089</v>
      </c>
      <c r="J131" s="135"/>
      <c r="K131" s="193">
        <f>K$117</f>
        <v>3.9407999999999999</v>
      </c>
      <c r="L131" s="163" t="s">
        <v>112</v>
      </c>
      <c r="M131" s="139">
        <f>ROUND($K131*D131/100,0)</f>
        <v>79005640</v>
      </c>
      <c r="R131" s="164">
        <f t="shared" si="35"/>
        <v>1.0870612089687595</v>
      </c>
      <c r="S131" s="145">
        <f>K131-'Order(Exhibit B)'!K131</f>
        <v>5.7000000000000384E-3</v>
      </c>
      <c r="T131" s="115">
        <f>M131-'Order(Exhibit B)'!M131</f>
        <v>114275</v>
      </c>
    </row>
    <row r="132" spans="1:20">
      <c r="A132" s="136" t="s">
        <v>149</v>
      </c>
      <c r="C132" s="135">
        <v>3218287891.1010556</v>
      </c>
      <c r="D132" s="135">
        <f>D136-D131-D134</f>
        <v>3408878524.8526363</v>
      </c>
      <c r="E132" s="135"/>
      <c r="F132" s="193">
        <v>3.4405000000000001</v>
      </c>
      <c r="G132" s="163" t="s">
        <v>112</v>
      </c>
      <c r="H132" s="139">
        <f>ROUND($F132*C132/100,0)</f>
        <v>110725195</v>
      </c>
      <c r="I132" s="139">
        <f>ROUND($F132*D132/100,0)</f>
        <v>117282466</v>
      </c>
      <c r="J132" s="135"/>
      <c r="K132" s="193">
        <f>K$118</f>
        <v>3.4872999999999998</v>
      </c>
      <c r="L132" s="163" t="s">
        <v>112</v>
      </c>
      <c r="M132" s="139">
        <f>ROUND($K132*D132/100,0)</f>
        <v>118877821</v>
      </c>
      <c r="R132" s="164">
        <f t="shared" si="35"/>
        <v>1.0736293668301962</v>
      </c>
      <c r="S132" s="145">
        <f>K132-'Order(Exhibit B)'!K132</f>
        <v>4.9999999999998934E-3</v>
      </c>
      <c r="T132" s="115">
        <f>M132-'Order(Exhibit B)'!M132</f>
        <v>170444</v>
      </c>
    </row>
    <row r="133" spans="1:20">
      <c r="A133" s="136" t="s">
        <v>150</v>
      </c>
      <c r="C133" s="135">
        <v>415658.41666666698</v>
      </c>
      <c r="D133" s="135">
        <f>ROUND(D$136*$C133/$C$136,0)</f>
        <v>438924</v>
      </c>
      <c r="E133" s="135"/>
      <c r="F133" s="138">
        <v>-0.96</v>
      </c>
      <c r="G133" s="138"/>
      <c r="H133" s="139">
        <f>ROUND($F133*C133,0)</f>
        <v>-399032</v>
      </c>
      <c r="I133" s="139">
        <f>ROUND($F133*D133,0)</f>
        <v>-421367</v>
      </c>
      <c r="J133" s="135"/>
      <c r="K133" s="138">
        <f>K$119</f>
        <v>-0.96</v>
      </c>
      <c r="L133" s="138"/>
      <c r="M133" s="139">
        <f>ROUND($K133*D133,0)</f>
        <v>-421367</v>
      </c>
      <c r="R133" s="164">
        <f t="shared" si="35"/>
        <v>1.0559729545500109</v>
      </c>
      <c r="S133" s="145">
        <f>K133-'Order(Exhibit B)'!K133</f>
        <v>0</v>
      </c>
      <c r="T133" s="115">
        <f>M133-'Order(Exhibit B)'!M133</f>
        <v>0</v>
      </c>
    </row>
    <row r="134" spans="1:20">
      <c r="A134" s="172" t="s">
        <v>123</v>
      </c>
      <c r="C134" s="135">
        <v>2361000</v>
      </c>
      <c r="D134" s="135">
        <f>ROUND(D$136*$C134/$C$136,0)</f>
        <v>2493154</v>
      </c>
      <c r="E134" s="135"/>
      <c r="F134" s="193">
        <v>7.125</v>
      </c>
      <c r="G134" s="163" t="s">
        <v>112</v>
      </c>
      <c r="H134" s="139">
        <f>ROUND($F134*C134/100,0)</f>
        <v>168221</v>
      </c>
      <c r="I134" s="139">
        <f>ROUND($F134*D134/100,0)</f>
        <v>177637</v>
      </c>
      <c r="J134" s="135"/>
      <c r="K134" s="193">
        <f>K$120</f>
        <v>7.125</v>
      </c>
      <c r="L134" s="163" t="s">
        <v>112</v>
      </c>
      <c r="M134" s="139">
        <f>ROUND($K134*D134/100,0)</f>
        <v>177637</v>
      </c>
      <c r="R134" s="164">
        <f t="shared" si="35"/>
        <v>1.0559739866009594</v>
      </c>
      <c r="S134" s="145">
        <f>K134-'Order(Exhibit B)'!K134</f>
        <v>0</v>
      </c>
      <c r="T134" s="115">
        <f>M134-'Order(Exhibit B)'!M134</f>
        <v>0</v>
      </c>
    </row>
    <row r="135" spans="1:20">
      <c r="A135" s="172" t="s">
        <v>125</v>
      </c>
      <c r="B135" s="173"/>
      <c r="C135" s="135">
        <v>39049043</v>
      </c>
      <c r="D135" s="135"/>
      <c r="E135" s="135"/>
      <c r="F135" s="174"/>
      <c r="G135" s="13"/>
      <c r="H135" s="139">
        <v>3236482</v>
      </c>
      <c r="I135" s="139"/>
      <c r="J135" s="135"/>
      <c r="K135" s="174"/>
      <c r="L135" s="13"/>
      <c r="M135" s="139"/>
      <c r="N135" s="164"/>
      <c r="O135" s="164"/>
      <c r="P135" s="164"/>
      <c r="R135" s="164">
        <f t="shared" si="35"/>
        <v>0</v>
      </c>
      <c r="S135" s="145">
        <f>K135-'Order(Exhibit B)'!K135</f>
        <v>0</v>
      </c>
      <c r="T135" s="115">
        <f>M135-'Order(Exhibit B)'!M135</f>
        <v>0</v>
      </c>
    </row>
    <row r="136" spans="1:20" ht="16.5" thickBot="1">
      <c r="A136" s="176" t="s">
        <v>127</v>
      </c>
      <c r="B136" s="177"/>
      <c r="C136" s="178">
        <f>SUM(C131:C132,C134:C135)</f>
        <v>5129089089.2394896</v>
      </c>
      <c r="D136" s="178">
        <v>5416183889.0674629</v>
      </c>
      <c r="E136" s="178"/>
      <c r="F136" s="177"/>
      <c r="G136" s="177"/>
      <c r="H136" s="179">
        <f>SUM(H125:H135)</f>
        <v>429044722</v>
      </c>
      <c r="I136" s="179">
        <f>SUM(I125:I135)</f>
        <v>450810091</v>
      </c>
      <c r="J136" s="178"/>
      <c r="K136" s="177"/>
      <c r="L136" s="177"/>
      <c r="M136" s="179">
        <f>SUM(M125:M135)</f>
        <v>463082061</v>
      </c>
      <c r="O136" s="136" t="s">
        <v>108</v>
      </c>
      <c r="P136" s="197">
        <f>M136/I136-1</f>
        <v>2.7222039268859133E-2</v>
      </c>
      <c r="R136" s="164">
        <f t="shared" si="35"/>
        <v>1.0793328463320429</v>
      </c>
      <c r="S136" s="145">
        <f>K136-'Order(Exhibit B)'!K136</f>
        <v>0</v>
      </c>
      <c r="T136" s="115">
        <f>M136-'Order(Exhibit B)'!M136</f>
        <v>1406089</v>
      </c>
    </row>
    <row r="137" spans="1:20" ht="16.5" thickTop="1">
      <c r="R137" s="164" t="e">
        <f t="shared" si="35"/>
        <v>#DIV/0!</v>
      </c>
      <c r="S137" s="145">
        <f>K137-'Order(Exhibit B)'!K137</f>
        <v>0</v>
      </c>
      <c r="T137" s="115">
        <f>M137-'Order(Exhibit B)'!M137</f>
        <v>0</v>
      </c>
    </row>
    <row r="138" spans="1:20">
      <c r="A138" s="133" t="s">
        <v>455</v>
      </c>
      <c r="C138" s="135"/>
      <c r="D138" s="135"/>
      <c r="E138" s="135"/>
      <c r="J138" s="135"/>
      <c r="R138" s="164" t="e">
        <f t="shared" si="35"/>
        <v>#DIV/0!</v>
      </c>
      <c r="S138" s="145">
        <f>K138-'Order(Exhibit B)'!K138</f>
        <v>0</v>
      </c>
      <c r="T138" s="115">
        <f>M138-'Order(Exhibit B)'!M138</f>
        <v>0</v>
      </c>
    </row>
    <row r="139" spans="1:20">
      <c r="A139" s="136" t="s">
        <v>143</v>
      </c>
      <c r="C139" s="135">
        <v>10684.8986792453</v>
      </c>
      <c r="D139" s="135">
        <v>10824</v>
      </c>
      <c r="E139" s="135"/>
      <c r="F139" s="190">
        <v>53</v>
      </c>
      <c r="G139" s="138"/>
      <c r="H139" s="139">
        <f t="shared" ref="H139:I144" si="39">ROUND($F139*C139,0)</f>
        <v>566300</v>
      </c>
      <c r="I139" s="139">
        <f t="shared" si="39"/>
        <v>573672</v>
      </c>
      <c r="J139" s="135"/>
      <c r="K139" s="190">
        <f>K$111</f>
        <v>55</v>
      </c>
      <c r="L139" s="138"/>
      <c r="M139" s="139">
        <f t="shared" ref="M139:M144" si="40">ROUND($K139*D139,0)</f>
        <v>595320</v>
      </c>
      <c r="R139" s="164">
        <f t="shared" si="35"/>
        <v>1.0512449231855907</v>
      </c>
      <c r="S139" s="145">
        <f>K139-'Order(Exhibit B)'!K139</f>
        <v>0</v>
      </c>
      <c r="T139" s="115">
        <f>M139-'Order(Exhibit B)'!M139</f>
        <v>0</v>
      </c>
    </row>
    <row r="140" spans="1:20">
      <c r="A140" s="136" t="s">
        <v>106</v>
      </c>
      <c r="C140" s="135">
        <v>0</v>
      </c>
      <c r="D140" s="135">
        <f>ROUND($C140/$C139*D139,0)</f>
        <v>0</v>
      </c>
      <c r="E140" s="135"/>
      <c r="F140" s="190">
        <v>2</v>
      </c>
      <c r="G140" s="138"/>
      <c r="H140" s="139">
        <f t="shared" si="39"/>
        <v>0</v>
      </c>
      <c r="I140" s="139">
        <f t="shared" si="39"/>
        <v>0</v>
      </c>
      <c r="J140" s="135"/>
      <c r="K140" s="190">
        <f>K$112</f>
        <v>2</v>
      </c>
      <c r="L140" s="138"/>
      <c r="M140" s="139">
        <f t="shared" si="40"/>
        <v>0</v>
      </c>
      <c r="R140" s="164" t="e">
        <f t="shared" si="35"/>
        <v>#DIV/0!</v>
      </c>
      <c r="S140" s="145">
        <f>K140-'Order(Exhibit B)'!K140</f>
        <v>0</v>
      </c>
      <c r="T140" s="115">
        <f>M140-'Order(Exhibit B)'!M140</f>
        <v>0</v>
      </c>
    </row>
    <row r="141" spans="1:20">
      <c r="A141" s="136" t="s">
        <v>109</v>
      </c>
      <c r="C141" s="135">
        <v>5151</v>
      </c>
      <c r="D141" s="135">
        <v>7523.6889711364229</v>
      </c>
      <c r="E141" s="135"/>
      <c r="F141" s="138">
        <v>-0.5</v>
      </c>
      <c r="G141" s="138"/>
      <c r="H141" s="139">
        <f t="shared" si="39"/>
        <v>-2576</v>
      </c>
      <c r="I141" s="139">
        <f t="shared" si="39"/>
        <v>-3762</v>
      </c>
      <c r="J141" s="135"/>
      <c r="K141" s="138">
        <f>K$113</f>
        <v>-0.5</v>
      </c>
      <c r="L141" s="138"/>
      <c r="M141" s="139">
        <f t="shared" si="40"/>
        <v>-3762</v>
      </c>
      <c r="R141" s="164">
        <f t="shared" si="35"/>
        <v>1.4604037267080745</v>
      </c>
      <c r="S141" s="145">
        <f>K141-'Order(Exhibit B)'!K141</f>
        <v>0</v>
      </c>
      <c r="T141" s="115">
        <f>M141-'Order(Exhibit B)'!M141</f>
        <v>0</v>
      </c>
    </row>
    <row r="142" spans="1:20">
      <c r="A142" s="136" t="s">
        <v>144</v>
      </c>
      <c r="C142" s="135">
        <v>1658466.4761904799</v>
      </c>
      <c r="D142" s="135">
        <f>ROUND($C142/$C$150*D$150,0)</f>
        <v>1782379</v>
      </c>
      <c r="E142" s="135"/>
      <c r="F142" s="190">
        <v>3.99</v>
      </c>
      <c r="G142" s="138"/>
      <c r="H142" s="139">
        <f t="shared" si="39"/>
        <v>6617281</v>
      </c>
      <c r="I142" s="139">
        <f t="shared" si="39"/>
        <v>7111692</v>
      </c>
      <c r="J142" s="135"/>
      <c r="K142" s="190">
        <f>K$114</f>
        <v>4.1399999999999997</v>
      </c>
      <c r="L142" s="138"/>
      <c r="M142" s="139">
        <f t="shared" si="40"/>
        <v>7379049</v>
      </c>
      <c r="R142" s="164">
        <f t="shared" si="35"/>
        <v>1.1151179767037247</v>
      </c>
      <c r="S142" s="145">
        <f>K142-'Order(Exhibit B)'!K142</f>
        <v>1.9999999999999574E-2</v>
      </c>
      <c r="T142" s="115">
        <f>M142-'Order(Exhibit B)'!M142</f>
        <v>35648</v>
      </c>
    </row>
    <row r="143" spans="1:20">
      <c r="A143" s="136" t="s">
        <v>145</v>
      </c>
      <c r="C143" s="135">
        <v>593044.04144687299</v>
      </c>
      <c r="D143" s="135">
        <f>ROUND($C143/$C$150*D$150,0)</f>
        <v>637353</v>
      </c>
      <c r="E143" s="135"/>
      <c r="F143" s="190">
        <v>13.27</v>
      </c>
      <c r="G143" s="138"/>
      <c r="H143" s="139">
        <f t="shared" si="39"/>
        <v>7869694</v>
      </c>
      <c r="I143" s="139">
        <f t="shared" si="39"/>
        <v>8457674</v>
      </c>
      <c r="J143" s="135"/>
      <c r="K143" s="190">
        <f>K$115</f>
        <v>13.77</v>
      </c>
      <c r="L143" s="138"/>
      <c r="M143" s="139">
        <f t="shared" si="40"/>
        <v>8776351</v>
      </c>
      <c r="R143" s="164">
        <f t="shared" si="35"/>
        <v>1.1152086726624948</v>
      </c>
      <c r="S143" s="145">
        <f>K143-'Order(Exhibit B)'!K143</f>
        <v>5.9999999999998721E-2</v>
      </c>
      <c r="T143" s="115">
        <f>M143-'Order(Exhibit B)'!M143</f>
        <v>38241</v>
      </c>
    </row>
    <row r="144" spans="1:20">
      <c r="A144" s="136" t="s">
        <v>146</v>
      </c>
      <c r="C144" s="135">
        <v>1065422.4548551999</v>
      </c>
      <c r="D144" s="135">
        <f>ROUND($C144/$C$150*D$150,0)</f>
        <v>1145026</v>
      </c>
      <c r="E144" s="135"/>
      <c r="F144" s="190">
        <v>11.74</v>
      </c>
      <c r="G144" s="138"/>
      <c r="H144" s="139">
        <f t="shared" si="39"/>
        <v>12508060</v>
      </c>
      <c r="I144" s="139">
        <f t="shared" si="39"/>
        <v>13442605</v>
      </c>
      <c r="J144" s="135"/>
      <c r="K144" s="190">
        <f>K$116</f>
        <v>12.18</v>
      </c>
      <c r="L144" s="138"/>
      <c r="M144" s="139">
        <f t="shared" si="40"/>
        <v>13946417</v>
      </c>
      <c r="R144" s="164">
        <f t="shared" si="35"/>
        <v>1.1149944116033981</v>
      </c>
      <c r="S144" s="145">
        <f>K144-'Order(Exhibit B)'!K144</f>
        <v>4.9999999999998934E-2</v>
      </c>
      <c r="T144" s="115">
        <f>M144-'Order(Exhibit B)'!M144</f>
        <v>57252</v>
      </c>
    </row>
    <row r="145" spans="1:20">
      <c r="A145" s="136" t="s">
        <v>148</v>
      </c>
      <c r="C145" s="135">
        <v>197433451</v>
      </c>
      <c r="D145" s="135">
        <v>214486627.07722425</v>
      </c>
      <c r="E145" s="135"/>
      <c r="F145" s="193">
        <v>3.8877999999999999</v>
      </c>
      <c r="G145" s="163" t="s">
        <v>112</v>
      </c>
      <c r="H145" s="139">
        <f>ROUND($F145*C145/100,0)</f>
        <v>7675818</v>
      </c>
      <c r="I145" s="139">
        <f>ROUND($F145*D145/100,0)</f>
        <v>8338811</v>
      </c>
      <c r="J145" s="135"/>
      <c r="K145" s="193">
        <f>K$117</f>
        <v>3.9407999999999999</v>
      </c>
      <c r="L145" s="163" t="s">
        <v>112</v>
      </c>
      <c r="M145" s="139">
        <f>ROUND($K145*D145/100,0)</f>
        <v>8452489</v>
      </c>
      <c r="R145" s="164">
        <f t="shared" si="35"/>
        <v>1.1011841343815083</v>
      </c>
      <c r="S145" s="145">
        <f>K145-'Order(Exhibit B)'!K145</f>
        <v>5.7000000000000384E-3</v>
      </c>
      <c r="T145" s="115">
        <f>M145-'Order(Exhibit B)'!M145</f>
        <v>12226</v>
      </c>
    </row>
    <row r="146" spans="1:20">
      <c r="A146" s="136" t="s">
        <v>149</v>
      </c>
      <c r="C146" s="135">
        <v>344642303</v>
      </c>
      <c r="D146" s="135">
        <f>D150-D145-D148</f>
        <v>368230985.76502693</v>
      </c>
      <c r="E146" s="135"/>
      <c r="F146" s="193">
        <v>3.4405000000000001</v>
      </c>
      <c r="G146" s="163" t="s">
        <v>112</v>
      </c>
      <c r="H146" s="139">
        <f>ROUND($F146*C146/100,0)</f>
        <v>11857418</v>
      </c>
      <c r="I146" s="139">
        <f>ROUND($F146*D146/100,0)</f>
        <v>12668987</v>
      </c>
      <c r="J146" s="135"/>
      <c r="K146" s="193">
        <f>K$118</f>
        <v>3.4872999999999998</v>
      </c>
      <c r="L146" s="163" t="s">
        <v>112</v>
      </c>
      <c r="M146" s="139">
        <f>ROUND($K146*D146/100,0)</f>
        <v>12841319</v>
      </c>
      <c r="R146" s="164">
        <f t="shared" si="35"/>
        <v>1.0829776769276414</v>
      </c>
      <c r="S146" s="145">
        <f>K146-'Order(Exhibit B)'!K146</f>
        <v>4.9999999999998934E-3</v>
      </c>
      <c r="T146" s="115">
        <f>M146-'Order(Exhibit B)'!M146</f>
        <v>18411</v>
      </c>
    </row>
    <row r="147" spans="1:20">
      <c r="A147" s="136" t="s">
        <v>150</v>
      </c>
      <c r="C147" s="135">
        <v>188733.39583333299</v>
      </c>
      <c r="D147" s="135">
        <f>ROUND($C147/$C$150*D$150,0)</f>
        <v>202835</v>
      </c>
      <c r="E147" s="135"/>
      <c r="F147" s="138">
        <v>-0.96</v>
      </c>
      <c r="G147" s="138"/>
      <c r="H147" s="139">
        <f>ROUND($F147*C147,0)</f>
        <v>-181184</v>
      </c>
      <c r="I147" s="139">
        <f>ROUND($F147*D147,0)</f>
        <v>-194722</v>
      </c>
      <c r="J147" s="135"/>
      <c r="K147" s="138">
        <f>K$119</f>
        <v>-0.96</v>
      </c>
      <c r="L147" s="138"/>
      <c r="M147" s="139">
        <f>ROUND($K147*D147,0)</f>
        <v>-194722</v>
      </c>
      <c r="R147" s="164">
        <f t="shared" si="35"/>
        <v>1.0747196220416815</v>
      </c>
      <c r="S147" s="145">
        <f>K147-'Order(Exhibit B)'!K147</f>
        <v>0</v>
      </c>
      <c r="T147" s="115">
        <f>M147-'Order(Exhibit B)'!M147</f>
        <v>0</v>
      </c>
    </row>
    <row r="148" spans="1:20">
      <c r="A148" s="172" t="s">
        <v>123</v>
      </c>
      <c r="C148" s="135">
        <v>7200</v>
      </c>
      <c r="D148" s="135">
        <f>ROUND($C148/$C$150*D$150,0)</f>
        <v>7738</v>
      </c>
      <c r="E148" s="135"/>
      <c r="F148" s="193">
        <v>7.125</v>
      </c>
      <c r="G148" s="163" t="s">
        <v>112</v>
      </c>
      <c r="H148" s="139">
        <f>ROUND($F148*C148/100,0)</f>
        <v>513</v>
      </c>
      <c r="I148" s="139">
        <f>ROUND($F148*D148/100,0)</f>
        <v>551</v>
      </c>
      <c r="J148" s="135"/>
      <c r="K148" s="193">
        <f>K$120</f>
        <v>7.125</v>
      </c>
      <c r="L148" s="163" t="s">
        <v>112</v>
      </c>
      <c r="M148" s="139">
        <f>ROUND($K148*D148/100,0)</f>
        <v>551</v>
      </c>
      <c r="R148" s="164">
        <f t="shared" si="35"/>
        <v>1.0740740740740742</v>
      </c>
      <c r="S148" s="145">
        <f>K148-'Order(Exhibit B)'!K148</f>
        <v>0</v>
      </c>
      <c r="T148" s="115">
        <f>M148-'Order(Exhibit B)'!M148</f>
        <v>0</v>
      </c>
    </row>
    <row r="149" spans="1:20">
      <c r="A149" s="172" t="s">
        <v>125</v>
      </c>
      <c r="B149" s="173"/>
      <c r="C149" s="135">
        <v>130879</v>
      </c>
      <c r="D149" s="135"/>
      <c r="E149" s="135"/>
      <c r="F149" s="174"/>
      <c r="G149" s="13"/>
      <c r="H149" s="139">
        <v>106169.78386721015</v>
      </c>
      <c r="I149" s="139"/>
      <c r="J149" s="135"/>
      <c r="K149" s="174"/>
      <c r="L149" s="13"/>
      <c r="M149" s="139"/>
      <c r="N149" s="164"/>
      <c r="O149" s="164"/>
      <c r="P149" s="164"/>
      <c r="R149" s="164">
        <f t="shared" si="35"/>
        <v>0</v>
      </c>
      <c r="S149" s="145">
        <f>K149-'Order(Exhibit B)'!K149</f>
        <v>0</v>
      </c>
      <c r="T149" s="115">
        <f>M149-'Order(Exhibit B)'!M149</f>
        <v>0</v>
      </c>
    </row>
    <row r="150" spans="1:20" ht="16.5" thickBot="1">
      <c r="A150" s="176" t="s">
        <v>127</v>
      </c>
      <c r="B150" s="177"/>
      <c r="C150" s="178">
        <f>SUM(C145:C146,C148:C149)</f>
        <v>542213833</v>
      </c>
      <c r="D150" s="178">
        <v>582725350.84225118</v>
      </c>
      <c r="E150" s="178"/>
      <c r="F150" s="177"/>
      <c r="G150" s="177"/>
      <c r="H150" s="179">
        <f>SUM(H139:H149)</f>
        <v>47017493.78386721</v>
      </c>
      <c r="I150" s="179">
        <f>SUM(I139:I149)</f>
        <v>50395508</v>
      </c>
      <c r="J150" s="178"/>
      <c r="K150" s="177"/>
      <c r="L150" s="177"/>
      <c r="M150" s="179">
        <f>SUM(M139:M149)</f>
        <v>51793012</v>
      </c>
      <c r="O150" s="136" t="s">
        <v>108</v>
      </c>
      <c r="P150" s="197">
        <f>M150/I150-1</f>
        <v>2.7730725524187649E-2</v>
      </c>
      <c r="R150" s="164">
        <f t="shared" si="35"/>
        <v>1.1015689657574088</v>
      </c>
      <c r="S150" s="145">
        <f>K150-'Order(Exhibit B)'!K150</f>
        <v>0</v>
      </c>
      <c r="T150" s="115">
        <f>M150-'Order(Exhibit B)'!M150</f>
        <v>161778</v>
      </c>
    </row>
    <row r="151" spans="1:20" ht="16.5" thickTop="1">
      <c r="C151" s="135"/>
      <c r="D151" s="135"/>
      <c r="E151" s="135"/>
      <c r="J151" s="135"/>
      <c r="R151" s="164" t="e">
        <f t="shared" si="35"/>
        <v>#DIV/0!</v>
      </c>
      <c r="S151" s="145">
        <f>K151-'Order(Exhibit B)'!K151</f>
        <v>0</v>
      </c>
      <c r="T151" s="115">
        <f>M151-'Order(Exhibit B)'!M151</f>
        <v>0</v>
      </c>
    </row>
    <row r="152" spans="1:20">
      <c r="A152" s="133" t="s">
        <v>456</v>
      </c>
      <c r="C152" s="135"/>
      <c r="D152" s="135"/>
      <c r="E152" s="135"/>
      <c r="J152" s="135"/>
      <c r="R152" s="164" t="e">
        <f t="shared" si="35"/>
        <v>#DIV/0!</v>
      </c>
      <c r="S152" s="145">
        <f>K152-'Order(Exhibit B)'!K152</f>
        <v>0</v>
      </c>
      <c r="T152" s="115">
        <f>M152-'Order(Exhibit B)'!M152</f>
        <v>0</v>
      </c>
    </row>
    <row r="153" spans="1:20">
      <c r="A153" s="136" t="s">
        <v>143</v>
      </c>
      <c r="C153" s="135">
        <v>3871.8656603773602</v>
      </c>
      <c r="D153" s="135">
        <v>3955.7373461067955</v>
      </c>
      <c r="E153" s="135"/>
      <c r="F153" s="190">
        <v>53</v>
      </c>
      <c r="G153" s="138"/>
      <c r="H153" s="139">
        <f t="shared" ref="H153:I158" si="41">ROUND($F153*C153,0)</f>
        <v>205209</v>
      </c>
      <c r="I153" s="139">
        <f t="shared" si="41"/>
        <v>209654</v>
      </c>
      <c r="J153" s="135"/>
      <c r="K153" s="190">
        <f>K$111</f>
        <v>55</v>
      </c>
      <c r="L153" s="138"/>
      <c r="M153" s="139">
        <f t="shared" ref="M153:M158" si="42">ROUND($K153*D153,0)</f>
        <v>217566</v>
      </c>
      <c r="R153" s="164">
        <f t="shared" si="35"/>
        <v>1.0602166571641594</v>
      </c>
      <c r="S153" s="145">
        <f>K153-'Order(Exhibit B)'!K153</f>
        <v>0</v>
      </c>
      <c r="T153" s="115">
        <f>M153-'Order(Exhibit B)'!M153</f>
        <v>0</v>
      </c>
    </row>
    <row r="154" spans="1:20">
      <c r="A154" s="136" t="s">
        <v>106</v>
      </c>
      <c r="C154" s="135">
        <v>0</v>
      </c>
      <c r="D154" s="135">
        <f>ROUND($C154/$C153*D153,0)</f>
        <v>0</v>
      </c>
      <c r="E154" s="135"/>
      <c r="F154" s="190">
        <v>2</v>
      </c>
      <c r="G154" s="138"/>
      <c r="H154" s="139">
        <f t="shared" si="41"/>
        <v>0</v>
      </c>
      <c r="I154" s="139">
        <f t="shared" si="41"/>
        <v>0</v>
      </c>
      <c r="J154" s="135"/>
      <c r="K154" s="190">
        <f>K$112</f>
        <v>2</v>
      </c>
      <c r="L154" s="138"/>
      <c r="M154" s="139">
        <f t="shared" si="42"/>
        <v>0</v>
      </c>
      <c r="R154" s="164" t="e">
        <f t="shared" si="35"/>
        <v>#DIV/0!</v>
      </c>
      <c r="S154" s="145">
        <f>K154-'Order(Exhibit B)'!K154</f>
        <v>0</v>
      </c>
      <c r="T154" s="115">
        <f>M154-'Order(Exhibit B)'!M154</f>
        <v>0</v>
      </c>
    </row>
    <row r="155" spans="1:20">
      <c r="A155" s="136" t="s">
        <v>109</v>
      </c>
      <c r="C155" s="135">
        <v>1682</v>
      </c>
      <c r="D155" s="135">
        <v>2749.6061939778419</v>
      </c>
      <c r="E155" s="135"/>
      <c r="F155" s="138">
        <v>-0.5</v>
      </c>
      <c r="G155" s="138"/>
      <c r="H155" s="139">
        <f t="shared" si="41"/>
        <v>-841</v>
      </c>
      <c r="I155" s="139">
        <f t="shared" si="41"/>
        <v>-1375</v>
      </c>
      <c r="J155" s="135"/>
      <c r="K155" s="138">
        <f>K$113</f>
        <v>-0.5</v>
      </c>
      <c r="L155" s="138"/>
      <c r="M155" s="139">
        <f t="shared" si="42"/>
        <v>-1375</v>
      </c>
      <c r="R155" s="164">
        <f t="shared" si="35"/>
        <v>1.6349583828775267</v>
      </c>
      <c r="S155" s="145">
        <f>K155-'Order(Exhibit B)'!K155</f>
        <v>0</v>
      </c>
      <c r="T155" s="115">
        <f>M155-'Order(Exhibit B)'!M155</f>
        <v>0</v>
      </c>
    </row>
    <row r="156" spans="1:20">
      <c r="A156" s="136" t="s">
        <v>144</v>
      </c>
      <c r="C156" s="135">
        <v>323522.41102756897</v>
      </c>
      <c r="D156" s="135">
        <f>ROUND($C156/$C$164*D$164,0)</f>
        <v>346654</v>
      </c>
      <c r="E156" s="135"/>
      <c r="F156" s="190">
        <v>3.99</v>
      </c>
      <c r="G156" s="138"/>
      <c r="H156" s="139">
        <f t="shared" si="41"/>
        <v>1290854</v>
      </c>
      <c r="I156" s="139">
        <f t="shared" si="41"/>
        <v>1383149</v>
      </c>
      <c r="J156" s="135"/>
      <c r="K156" s="190">
        <f>K$114</f>
        <v>4.1399999999999997</v>
      </c>
      <c r="L156" s="138"/>
      <c r="M156" s="139">
        <f t="shared" si="42"/>
        <v>1435148</v>
      </c>
      <c r="R156" s="164">
        <f t="shared" si="35"/>
        <v>1.1117818126604557</v>
      </c>
      <c r="S156" s="145">
        <f>K156-'Order(Exhibit B)'!K156</f>
        <v>1.9999999999999574E-2</v>
      </c>
      <c r="T156" s="115">
        <f>M156-'Order(Exhibit B)'!M156</f>
        <v>6934</v>
      </c>
    </row>
    <row r="157" spans="1:20">
      <c r="A157" s="136" t="s">
        <v>145</v>
      </c>
      <c r="C157" s="135">
        <v>111078.292388847</v>
      </c>
      <c r="D157" s="135">
        <f>ROUND($C157/$C$164*D$164,0)</f>
        <v>119020</v>
      </c>
      <c r="E157" s="135"/>
      <c r="F157" s="190">
        <v>13.27</v>
      </c>
      <c r="G157" s="138"/>
      <c r="H157" s="139">
        <f t="shared" si="41"/>
        <v>1474009</v>
      </c>
      <c r="I157" s="139">
        <f t="shared" si="41"/>
        <v>1579395</v>
      </c>
      <c r="J157" s="135"/>
      <c r="K157" s="190">
        <f>K$115</f>
        <v>13.77</v>
      </c>
      <c r="L157" s="138"/>
      <c r="M157" s="139">
        <f t="shared" si="42"/>
        <v>1638905</v>
      </c>
      <c r="R157" s="164">
        <f t="shared" si="35"/>
        <v>1.1118690591441436</v>
      </c>
      <c r="S157" s="145">
        <f>K157-'Order(Exhibit B)'!K157</f>
        <v>5.9999999999998721E-2</v>
      </c>
      <c r="T157" s="115">
        <f>M157-'Order(Exhibit B)'!M157</f>
        <v>7141</v>
      </c>
    </row>
    <row r="158" spans="1:20">
      <c r="A158" s="136" t="s">
        <v>146</v>
      </c>
      <c r="C158" s="135">
        <v>212444.11073253801</v>
      </c>
      <c r="D158" s="135">
        <f>ROUND($C158/$C$164*D$164,0)</f>
        <v>227633</v>
      </c>
      <c r="E158" s="135"/>
      <c r="F158" s="190">
        <v>11.74</v>
      </c>
      <c r="G158" s="138"/>
      <c r="H158" s="139">
        <f t="shared" si="41"/>
        <v>2494094</v>
      </c>
      <c r="I158" s="139">
        <f t="shared" si="41"/>
        <v>2672411</v>
      </c>
      <c r="J158" s="135"/>
      <c r="K158" s="190">
        <f>K$116</f>
        <v>12.18</v>
      </c>
      <c r="L158" s="138"/>
      <c r="M158" s="139">
        <f t="shared" si="42"/>
        <v>2772570</v>
      </c>
      <c r="R158" s="164">
        <f t="shared" si="35"/>
        <v>1.1116541718154969</v>
      </c>
      <c r="S158" s="145">
        <f>K158-'Order(Exhibit B)'!K158</f>
        <v>4.9999999999998934E-2</v>
      </c>
      <c r="T158" s="115">
        <f>M158-'Order(Exhibit B)'!M158</f>
        <v>11382</v>
      </c>
    </row>
    <row r="159" spans="1:20">
      <c r="A159" s="136" t="s">
        <v>148</v>
      </c>
      <c r="C159" s="135">
        <v>45588863.37180607</v>
      </c>
      <c r="D159" s="135">
        <v>50769819.998020269</v>
      </c>
      <c r="E159" s="135"/>
      <c r="F159" s="193">
        <v>3.8877999999999999</v>
      </c>
      <c r="G159" s="163" t="s">
        <v>112</v>
      </c>
      <c r="H159" s="139">
        <f>ROUND($F159*C159/100,0)</f>
        <v>1772404</v>
      </c>
      <c r="I159" s="139">
        <f>ROUND($F159*D159/100,0)</f>
        <v>1973829</v>
      </c>
      <c r="J159" s="135"/>
      <c r="K159" s="193">
        <f>K$117</f>
        <v>3.9407999999999999</v>
      </c>
      <c r="L159" s="163" t="s">
        <v>112</v>
      </c>
      <c r="M159" s="139">
        <f>ROUND($K159*D159/100,0)</f>
        <v>2000737</v>
      </c>
      <c r="R159" s="164">
        <f t="shared" si="35"/>
        <v>1.1288267234783944</v>
      </c>
      <c r="S159" s="145">
        <f>K159-'Order(Exhibit B)'!K159</f>
        <v>5.7000000000000384E-3</v>
      </c>
      <c r="T159" s="115">
        <f>M159-'Order(Exhibit B)'!M159</f>
        <v>2894</v>
      </c>
    </row>
    <row r="160" spans="1:20">
      <c r="A160" s="136" t="s">
        <v>149</v>
      </c>
      <c r="C160" s="135">
        <v>91443997.580300882</v>
      </c>
      <c r="D160" s="135">
        <f>D164-D159-D162</f>
        <v>96477736.729182988</v>
      </c>
      <c r="E160" s="135"/>
      <c r="F160" s="193">
        <v>3.4405000000000001</v>
      </c>
      <c r="G160" s="163" t="s">
        <v>112</v>
      </c>
      <c r="H160" s="139">
        <f>ROUND($F160*C160/100,0)</f>
        <v>3146131</v>
      </c>
      <c r="I160" s="139">
        <f>ROUND($F160*D160/100,0)</f>
        <v>3319317</v>
      </c>
      <c r="J160" s="135"/>
      <c r="K160" s="193">
        <f>K$118</f>
        <v>3.4872999999999998</v>
      </c>
      <c r="L160" s="163" t="s">
        <v>112</v>
      </c>
      <c r="M160" s="139">
        <f>ROUND($K160*D160/100,0)</f>
        <v>3364468</v>
      </c>
      <c r="R160" s="164">
        <f t="shared" si="35"/>
        <v>1.0693985724052812</v>
      </c>
      <c r="S160" s="145">
        <f>K160-'Order(Exhibit B)'!K160</f>
        <v>4.9999999999998934E-3</v>
      </c>
      <c r="T160" s="115">
        <f>M160-'Order(Exhibit B)'!M160</f>
        <v>4824</v>
      </c>
    </row>
    <row r="161" spans="1:20">
      <c r="A161" s="136" t="s">
        <v>150</v>
      </c>
      <c r="C161" s="135">
        <v>26224</v>
      </c>
      <c r="D161" s="135">
        <f>ROUND($C161/$C$164*D$164,0)</f>
        <v>28099</v>
      </c>
      <c r="E161" s="135"/>
      <c r="F161" s="138">
        <v>-0.96</v>
      </c>
      <c r="G161" s="138"/>
      <c r="H161" s="139">
        <f>ROUND($F161*C161,0)</f>
        <v>-25175</v>
      </c>
      <c r="I161" s="139">
        <f>ROUND($F161*D161,0)</f>
        <v>-26975</v>
      </c>
      <c r="J161" s="135"/>
      <c r="K161" s="138">
        <f>K$119</f>
        <v>-0.96</v>
      </c>
      <c r="L161" s="138"/>
      <c r="M161" s="139">
        <f>ROUND($K161*D161,0)</f>
        <v>-26975</v>
      </c>
      <c r="R161" s="164">
        <f t="shared" si="35"/>
        <v>1.0714995034756702</v>
      </c>
      <c r="S161" s="145">
        <f>K161-'Order(Exhibit B)'!K161</f>
        <v>0</v>
      </c>
      <c r="T161" s="115">
        <f>M161-'Order(Exhibit B)'!M161</f>
        <v>0</v>
      </c>
    </row>
    <row r="162" spans="1:20">
      <c r="A162" s="172" t="s">
        <v>123</v>
      </c>
      <c r="C162" s="135">
        <v>0</v>
      </c>
      <c r="D162" s="135">
        <f>ROUND($C162/$C$164*D$164,0)</f>
        <v>0</v>
      </c>
      <c r="E162" s="135"/>
      <c r="F162" s="193">
        <v>7.125</v>
      </c>
      <c r="G162" s="163" t="s">
        <v>112</v>
      </c>
      <c r="H162" s="139">
        <f>ROUND($F162*C162/100,0)</f>
        <v>0</v>
      </c>
      <c r="I162" s="139">
        <f>ROUND($F162*D162/100,0)</f>
        <v>0</v>
      </c>
      <c r="J162" s="135"/>
      <c r="K162" s="193">
        <f>K$120</f>
        <v>7.125</v>
      </c>
      <c r="L162" s="163" t="s">
        <v>112</v>
      </c>
      <c r="M162" s="139">
        <f>ROUND($K162*D162/100,0)</f>
        <v>0</v>
      </c>
      <c r="R162" s="164" t="e">
        <f t="shared" si="35"/>
        <v>#DIV/0!</v>
      </c>
      <c r="S162" s="145">
        <f>K162-'Order(Exhibit B)'!K162</f>
        <v>0</v>
      </c>
      <c r="T162" s="115">
        <f>M162-'Order(Exhibit B)'!M162</f>
        <v>0</v>
      </c>
    </row>
    <row r="163" spans="1:20">
      <c r="A163" s="172" t="s">
        <v>125</v>
      </c>
      <c r="B163" s="173"/>
      <c r="C163" s="135">
        <v>389303</v>
      </c>
      <c r="D163" s="135"/>
      <c r="E163" s="135"/>
      <c r="F163" s="174"/>
      <c r="G163" s="13"/>
      <c r="H163" s="139">
        <v>34810</v>
      </c>
      <c r="I163" s="139"/>
      <c r="J163" s="135"/>
      <c r="K163" s="174"/>
      <c r="L163" s="13"/>
      <c r="M163" s="139"/>
      <c r="N163" s="164"/>
      <c r="O163" s="164"/>
      <c r="P163" s="164"/>
      <c r="R163" s="164">
        <f t="shared" si="35"/>
        <v>0</v>
      </c>
      <c r="S163" s="145">
        <f>K163-'Order(Exhibit B)'!K163</f>
        <v>0</v>
      </c>
      <c r="T163" s="115">
        <f>M163-'Order(Exhibit B)'!M163</f>
        <v>0</v>
      </c>
    </row>
    <row r="164" spans="1:20" ht="16.5" thickBot="1">
      <c r="A164" s="176" t="s">
        <v>127</v>
      </c>
      <c r="B164" s="177"/>
      <c r="C164" s="178">
        <f>SUM(C159:C160,C162:C163)</f>
        <v>137422163.95210695</v>
      </c>
      <c r="D164" s="178">
        <v>147247556.72720325</v>
      </c>
      <c r="E164" s="178"/>
      <c r="F164" s="177"/>
      <c r="G164" s="177"/>
      <c r="H164" s="179">
        <f>SUM(H153:H163)</f>
        <v>10391495</v>
      </c>
      <c r="I164" s="179">
        <f>SUM(I153:I163)</f>
        <v>11109405</v>
      </c>
      <c r="J164" s="178"/>
      <c r="K164" s="177"/>
      <c r="L164" s="177"/>
      <c r="M164" s="179">
        <f>SUM(M153:M163)</f>
        <v>11401044</v>
      </c>
      <c r="O164" s="136" t="s">
        <v>108</v>
      </c>
      <c r="P164" s="197">
        <f>M164/I164-1</f>
        <v>2.6251540924108863E-2</v>
      </c>
      <c r="R164" s="164">
        <f t="shared" si="35"/>
        <v>1.0971514685807962</v>
      </c>
      <c r="S164" s="145">
        <f>K164-'Order(Exhibit B)'!K164</f>
        <v>0</v>
      </c>
      <c r="T164" s="115">
        <f>M164-'Order(Exhibit B)'!M164</f>
        <v>33175</v>
      </c>
    </row>
    <row r="165" spans="1:20" ht="16.5" thickTop="1">
      <c r="C165" s="135"/>
      <c r="D165" s="135"/>
      <c r="E165" s="135"/>
      <c r="J165" s="135"/>
      <c r="S165" s="145">
        <f>K165-'Order(Exhibit B)'!K165</f>
        <v>0</v>
      </c>
      <c r="T165" s="115">
        <f>M165-'Order(Exhibit B)'!M165</f>
        <v>0</v>
      </c>
    </row>
    <row r="166" spans="1:20">
      <c r="A166" s="133" t="s">
        <v>151</v>
      </c>
      <c r="C166" s="135"/>
      <c r="D166" s="135"/>
      <c r="E166" s="135"/>
      <c r="J166" s="135"/>
      <c r="S166" s="145">
        <f>K166-'Order(Exhibit B)'!K166</f>
        <v>0</v>
      </c>
      <c r="T166" s="115">
        <f>M166-'Order(Exhibit B)'!M166</f>
        <v>0</v>
      </c>
    </row>
    <row r="167" spans="1:20">
      <c r="A167" s="136" t="s">
        <v>143</v>
      </c>
      <c r="C167" s="135">
        <f t="shared" ref="C167:D176" si="43">C181+C195+C209</f>
        <v>5145.3337735849054</v>
      </c>
      <c r="D167" s="135">
        <f t="shared" si="43"/>
        <v>6952.9999999999991</v>
      </c>
      <c r="E167" s="135"/>
      <c r="F167" s="190">
        <v>53</v>
      </c>
      <c r="G167" s="138"/>
      <c r="H167" s="139">
        <f t="shared" ref="H167:I172" si="44">ROUND($F167*C167,0)</f>
        <v>272703</v>
      </c>
      <c r="I167" s="139">
        <f t="shared" si="44"/>
        <v>368509</v>
      </c>
      <c r="J167" s="135"/>
      <c r="K167" s="190">
        <f>K$111</f>
        <v>55</v>
      </c>
      <c r="L167" s="138"/>
      <c r="M167" s="139">
        <f t="shared" ref="M167:M172" si="45">ROUND($K167*D167,0)</f>
        <v>382415</v>
      </c>
      <c r="S167" s="145">
        <f>K167-'Order(Exhibit B)'!K167</f>
        <v>0</v>
      </c>
      <c r="T167" s="115">
        <f>M167-'Order(Exhibit B)'!M167</f>
        <v>0</v>
      </c>
    </row>
    <row r="168" spans="1:20">
      <c r="A168" s="136" t="s">
        <v>106</v>
      </c>
      <c r="C168" s="135">
        <f t="shared" si="43"/>
        <v>168</v>
      </c>
      <c r="D168" s="135">
        <f t="shared" si="43"/>
        <v>219</v>
      </c>
      <c r="E168" s="135"/>
      <c r="F168" s="190">
        <v>2</v>
      </c>
      <c r="G168" s="138"/>
      <c r="H168" s="139">
        <f t="shared" si="44"/>
        <v>336</v>
      </c>
      <c r="I168" s="139">
        <f t="shared" si="44"/>
        <v>438</v>
      </c>
      <c r="J168" s="135"/>
      <c r="K168" s="190">
        <f>K$112</f>
        <v>2</v>
      </c>
      <c r="L168" s="138"/>
      <c r="M168" s="139">
        <f t="shared" si="45"/>
        <v>438</v>
      </c>
      <c r="S168" s="145">
        <f>K168-'Order(Exhibit B)'!K168</f>
        <v>0</v>
      </c>
      <c r="T168" s="115">
        <f>M168-'Order(Exhibit B)'!M168</f>
        <v>0</v>
      </c>
    </row>
    <row r="169" spans="1:20">
      <c r="A169" s="136" t="s">
        <v>109</v>
      </c>
      <c r="C169" s="135">
        <f t="shared" si="43"/>
        <v>2378</v>
      </c>
      <c r="D169" s="135">
        <f t="shared" si="43"/>
        <v>4832.9831315882802</v>
      </c>
      <c r="E169" s="135"/>
      <c r="F169" s="138">
        <v>-0.5</v>
      </c>
      <c r="G169" s="138"/>
      <c r="H169" s="139">
        <f t="shared" si="44"/>
        <v>-1189</v>
      </c>
      <c r="I169" s="139">
        <f t="shared" si="44"/>
        <v>-2416</v>
      </c>
      <c r="J169" s="135"/>
      <c r="K169" s="138">
        <f>K$113</f>
        <v>-0.5</v>
      </c>
      <c r="L169" s="138"/>
      <c r="M169" s="139">
        <f t="shared" si="45"/>
        <v>-2416</v>
      </c>
      <c r="S169" s="145">
        <f>K169-'Order(Exhibit B)'!K169</f>
        <v>0</v>
      </c>
      <c r="T169" s="115">
        <f>M169-'Order(Exhibit B)'!M169</f>
        <v>0</v>
      </c>
    </row>
    <row r="170" spans="1:20">
      <c r="A170" s="136" t="s">
        <v>144</v>
      </c>
      <c r="C170" s="135">
        <f t="shared" si="43"/>
        <v>601418.20050125348</v>
      </c>
      <c r="D170" s="135">
        <f t="shared" si="43"/>
        <v>798891</v>
      </c>
      <c r="E170" s="135"/>
      <c r="F170" s="190">
        <v>3.99</v>
      </c>
      <c r="G170" s="138"/>
      <c r="H170" s="139">
        <f t="shared" si="44"/>
        <v>2399659</v>
      </c>
      <c r="I170" s="139">
        <f t="shared" si="44"/>
        <v>3187575</v>
      </c>
      <c r="J170" s="135"/>
      <c r="K170" s="190">
        <f>K$114</f>
        <v>4.1399999999999997</v>
      </c>
      <c r="L170" s="138"/>
      <c r="M170" s="139">
        <f t="shared" si="45"/>
        <v>3307409</v>
      </c>
      <c r="S170" s="145">
        <f>K170-'Order(Exhibit B)'!K170</f>
        <v>1.9999999999999574E-2</v>
      </c>
      <c r="T170" s="115">
        <f>M170-'Order(Exhibit B)'!M170</f>
        <v>15978</v>
      </c>
    </row>
    <row r="171" spans="1:20">
      <c r="A171" s="136" t="s">
        <v>145</v>
      </c>
      <c r="C171" s="135">
        <f t="shared" si="43"/>
        <v>212182.15674453683</v>
      </c>
      <c r="D171" s="135">
        <f t="shared" si="43"/>
        <v>281864</v>
      </c>
      <c r="E171" s="135"/>
      <c r="F171" s="190">
        <v>13.27</v>
      </c>
      <c r="G171" s="138"/>
      <c r="H171" s="139">
        <f t="shared" si="44"/>
        <v>2815657</v>
      </c>
      <c r="I171" s="139">
        <f t="shared" si="44"/>
        <v>3740335</v>
      </c>
      <c r="J171" s="135"/>
      <c r="K171" s="190">
        <f>K$115</f>
        <v>13.77</v>
      </c>
      <c r="L171" s="138"/>
      <c r="M171" s="139">
        <f t="shared" si="45"/>
        <v>3881267</v>
      </c>
      <c r="S171" s="145">
        <f>K171-'Order(Exhibit B)'!K171</f>
        <v>5.9999999999998721E-2</v>
      </c>
      <c r="T171" s="115">
        <f>M171-'Order(Exhibit B)'!M171</f>
        <v>16912</v>
      </c>
    </row>
    <row r="172" spans="1:20">
      <c r="A172" s="136" t="s">
        <v>146</v>
      </c>
      <c r="C172" s="135">
        <f t="shared" si="43"/>
        <v>389236.05962521303</v>
      </c>
      <c r="D172" s="135">
        <f t="shared" si="43"/>
        <v>517026</v>
      </c>
      <c r="E172" s="135"/>
      <c r="F172" s="190">
        <v>11.74</v>
      </c>
      <c r="G172" s="138"/>
      <c r="H172" s="139">
        <f t="shared" si="44"/>
        <v>4569631</v>
      </c>
      <c r="I172" s="139">
        <f t="shared" si="44"/>
        <v>6069885</v>
      </c>
      <c r="J172" s="135"/>
      <c r="K172" s="190">
        <f>K$116</f>
        <v>12.18</v>
      </c>
      <c r="L172" s="138"/>
      <c r="M172" s="139">
        <f t="shared" si="45"/>
        <v>6297377</v>
      </c>
      <c r="S172" s="145">
        <f>K172-'Order(Exhibit B)'!K172</f>
        <v>4.9999999999998934E-2</v>
      </c>
      <c r="T172" s="115">
        <f>M172-'Order(Exhibit B)'!M172</f>
        <v>25852</v>
      </c>
    </row>
    <row r="173" spans="1:20">
      <c r="A173" s="136" t="s">
        <v>148</v>
      </c>
      <c r="C173" s="135">
        <f t="shared" si="43"/>
        <v>65719826</v>
      </c>
      <c r="D173" s="135">
        <f t="shared" si="43"/>
        <v>63730125.602599882</v>
      </c>
      <c r="E173" s="135"/>
      <c r="F173" s="193">
        <v>3.8877999999999999</v>
      </c>
      <c r="G173" s="163" t="s">
        <v>112</v>
      </c>
      <c r="H173" s="139">
        <f>ROUND($F173*C173/100,0)</f>
        <v>2555055</v>
      </c>
      <c r="I173" s="139">
        <f>ROUND($F173*D173/100,0)</f>
        <v>2477700</v>
      </c>
      <c r="J173" s="135"/>
      <c r="K173" s="193">
        <f>K$117</f>
        <v>3.9407999999999999</v>
      </c>
      <c r="L173" s="163" t="s">
        <v>112</v>
      </c>
      <c r="M173" s="139">
        <f>ROUND($K173*D173/100,0)</f>
        <v>2511477</v>
      </c>
      <c r="S173" s="145">
        <f>K173-'Order(Exhibit B)'!K173</f>
        <v>5.7000000000000384E-3</v>
      </c>
      <c r="T173" s="115">
        <f>M173-'Order(Exhibit B)'!M173</f>
        <v>3633</v>
      </c>
    </row>
    <row r="174" spans="1:20">
      <c r="A174" s="136" t="s">
        <v>149</v>
      </c>
      <c r="C174" s="135">
        <f t="shared" si="43"/>
        <v>126708251</v>
      </c>
      <c r="D174" s="135">
        <f t="shared" si="43"/>
        <v>193638846.41453266</v>
      </c>
      <c r="E174" s="135"/>
      <c r="F174" s="193">
        <v>3.4405000000000001</v>
      </c>
      <c r="G174" s="163" t="s">
        <v>112</v>
      </c>
      <c r="H174" s="139">
        <f>ROUND($F174*C174/100,0)</f>
        <v>4359397</v>
      </c>
      <c r="I174" s="139">
        <f>ROUND($F174*D174/100,0)</f>
        <v>6662145</v>
      </c>
      <c r="J174" s="135"/>
      <c r="K174" s="193">
        <f>K$118</f>
        <v>3.4872999999999998</v>
      </c>
      <c r="L174" s="163" t="s">
        <v>112</v>
      </c>
      <c r="M174" s="139">
        <f>ROUND($K174*D174/100,0)</f>
        <v>6752767</v>
      </c>
      <c r="S174" s="145">
        <f>K174-'Order(Exhibit B)'!K174</f>
        <v>4.9999999999998934E-3</v>
      </c>
      <c r="T174" s="115">
        <f>M174-'Order(Exhibit B)'!M174</f>
        <v>9681</v>
      </c>
    </row>
    <row r="175" spans="1:20">
      <c r="A175" s="136" t="s">
        <v>150</v>
      </c>
      <c r="C175" s="135">
        <f t="shared" si="43"/>
        <v>23511</v>
      </c>
      <c r="D175" s="135">
        <f t="shared" si="43"/>
        <v>28688</v>
      </c>
      <c r="E175" s="135"/>
      <c r="F175" s="138">
        <v>-0.96</v>
      </c>
      <c r="G175" s="138"/>
      <c r="H175" s="139">
        <f>ROUND($F175*C175,0)</f>
        <v>-22571</v>
      </c>
      <c r="I175" s="139">
        <f>ROUND($F175*D175,0)</f>
        <v>-27540</v>
      </c>
      <c r="J175" s="135"/>
      <c r="K175" s="138">
        <f>K$119</f>
        <v>-0.96</v>
      </c>
      <c r="L175" s="138"/>
      <c r="M175" s="139">
        <f>ROUND($K175*D175,0)</f>
        <v>-27540</v>
      </c>
      <c r="S175" s="145">
        <f>K175-'Order(Exhibit B)'!K175</f>
        <v>0</v>
      </c>
      <c r="T175" s="115">
        <f>M175-'Order(Exhibit B)'!M175</f>
        <v>0</v>
      </c>
    </row>
    <row r="176" spans="1:20">
      <c r="A176" s="172" t="s">
        <v>123</v>
      </c>
      <c r="C176" s="135">
        <f t="shared" si="43"/>
        <v>0</v>
      </c>
      <c r="D176" s="135">
        <f t="shared" si="43"/>
        <v>0</v>
      </c>
      <c r="E176" s="135"/>
      <c r="F176" s="193">
        <v>7.125</v>
      </c>
      <c r="G176" s="163" t="s">
        <v>112</v>
      </c>
      <c r="H176" s="139">
        <f>ROUND($F176*C176/100,0)</f>
        <v>0</v>
      </c>
      <c r="I176" s="139">
        <f>ROUND($F176*D176/100,0)</f>
        <v>0</v>
      </c>
      <c r="J176" s="135"/>
      <c r="K176" s="193">
        <f>K$120</f>
        <v>7.125</v>
      </c>
      <c r="L176" s="163" t="s">
        <v>112</v>
      </c>
      <c r="M176" s="139">
        <f>ROUND($K176*D176/100,0)</f>
        <v>0</v>
      </c>
      <c r="S176" s="145">
        <f>K176-'Order(Exhibit B)'!K176</f>
        <v>0</v>
      </c>
      <c r="T176" s="115">
        <f>M176-'Order(Exhibit B)'!M176</f>
        <v>0</v>
      </c>
    </row>
    <row r="177" spans="1:20">
      <c r="A177" s="172" t="s">
        <v>125</v>
      </c>
      <c r="B177" s="173"/>
      <c r="C177" s="135">
        <f>C191+C205+C219</f>
        <v>1420383</v>
      </c>
      <c r="D177" s="135"/>
      <c r="E177" s="135"/>
      <c r="F177" s="174"/>
      <c r="G177" s="13"/>
      <c r="H177" s="139">
        <f>H191+H205+H219</f>
        <v>125338</v>
      </c>
      <c r="I177" s="139"/>
      <c r="J177" s="135"/>
      <c r="K177" s="174"/>
      <c r="L177" s="13"/>
      <c r="M177" s="139"/>
      <c r="N177" s="164"/>
      <c r="O177" s="164"/>
      <c r="P177" s="164"/>
      <c r="S177" s="145">
        <f>K177-'Order(Exhibit B)'!K177</f>
        <v>0</v>
      </c>
      <c r="T177" s="115">
        <f>M177-'Order(Exhibit B)'!M177</f>
        <v>0</v>
      </c>
    </row>
    <row r="178" spans="1:20" ht="16.5" thickBot="1">
      <c r="A178" s="176" t="s">
        <v>127</v>
      </c>
      <c r="B178" s="177"/>
      <c r="C178" s="178">
        <f t="shared" ref="C178:D178" si="46">C192+C206+C220</f>
        <v>193848460</v>
      </c>
      <c r="D178" s="178">
        <f t="shared" si="46"/>
        <v>257368972.01713255</v>
      </c>
      <c r="E178" s="178"/>
      <c r="F178" s="177"/>
      <c r="G178" s="177"/>
      <c r="H178" s="179">
        <f>SUM(H167:H177)</f>
        <v>17074016</v>
      </c>
      <c r="I178" s="179">
        <f>SUM(I167:I177)</f>
        <v>22476631</v>
      </c>
      <c r="J178" s="178"/>
      <c r="K178" s="177"/>
      <c r="L178" s="177"/>
      <c r="M178" s="179">
        <f>SUM(M167:M177)</f>
        <v>23103194</v>
      </c>
      <c r="O178" s="136" t="s">
        <v>108</v>
      </c>
      <c r="P178" s="197">
        <f>M178/I178-1</f>
        <v>2.7876197282413084E-2</v>
      </c>
      <c r="S178" s="145">
        <f>K178-'Order(Exhibit B)'!K178</f>
        <v>0</v>
      </c>
      <c r="T178" s="115">
        <f>M178-'Order(Exhibit B)'!M178</f>
        <v>72056</v>
      </c>
    </row>
    <row r="179" spans="1:20" ht="16.5" thickTop="1">
      <c r="C179" s="135"/>
      <c r="D179" s="135"/>
      <c r="E179" s="135"/>
      <c r="J179" s="135"/>
      <c r="S179" s="145">
        <f>K179-'Order(Exhibit B)'!K179</f>
        <v>0</v>
      </c>
      <c r="T179" s="115">
        <f>M179-'Order(Exhibit B)'!M179</f>
        <v>0</v>
      </c>
    </row>
    <row r="180" spans="1:20">
      <c r="A180" s="133" t="s">
        <v>457</v>
      </c>
      <c r="C180" s="135"/>
      <c r="D180" s="135"/>
      <c r="E180" s="135"/>
      <c r="J180" s="135"/>
      <c r="S180" s="145">
        <f>K180-'Order(Exhibit B)'!K180</f>
        <v>0</v>
      </c>
      <c r="T180" s="115">
        <f>M180-'Order(Exhibit B)'!M180</f>
        <v>0</v>
      </c>
    </row>
    <row r="181" spans="1:20">
      <c r="A181" s="136" t="s">
        <v>143</v>
      </c>
      <c r="C181" s="135">
        <v>4889.90037735849</v>
      </c>
      <c r="D181" s="135">
        <v>6747.9999999999991</v>
      </c>
      <c r="E181" s="135"/>
      <c r="F181" s="190">
        <v>53</v>
      </c>
      <c r="G181" s="138"/>
      <c r="H181" s="139">
        <f t="shared" ref="H181:I186" si="47">ROUND($F181*C181,0)</f>
        <v>259165</v>
      </c>
      <c r="I181" s="139">
        <f t="shared" si="47"/>
        <v>357644</v>
      </c>
      <c r="J181" s="135"/>
      <c r="K181" s="190">
        <f>K$111</f>
        <v>55</v>
      </c>
      <c r="L181" s="138"/>
      <c r="M181" s="139">
        <f t="shared" ref="M181:M186" si="48">ROUND($K181*D181,0)</f>
        <v>371140</v>
      </c>
      <c r="S181" s="145">
        <f>K181-'Order(Exhibit B)'!K181</f>
        <v>0</v>
      </c>
      <c r="T181" s="115">
        <f>M181-'Order(Exhibit B)'!M181</f>
        <v>0</v>
      </c>
    </row>
    <row r="182" spans="1:20">
      <c r="A182" s="136" t="s">
        <v>106</v>
      </c>
      <c r="C182" s="135">
        <v>144</v>
      </c>
      <c r="D182" s="135">
        <f t="shared" ref="D182" si="49">ROUND($C182*D$181/$C$181,0)</f>
        <v>199</v>
      </c>
      <c r="E182" s="135"/>
      <c r="F182" s="190">
        <v>2</v>
      </c>
      <c r="G182" s="138"/>
      <c r="H182" s="139">
        <f t="shared" si="47"/>
        <v>288</v>
      </c>
      <c r="I182" s="139">
        <f t="shared" si="47"/>
        <v>398</v>
      </c>
      <c r="J182" s="135"/>
      <c r="K182" s="190">
        <f>K$112</f>
        <v>2</v>
      </c>
      <c r="L182" s="138"/>
      <c r="M182" s="139">
        <f t="shared" si="48"/>
        <v>398</v>
      </c>
      <c r="S182" s="145">
        <f>K182-'Order(Exhibit B)'!K182</f>
        <v>0</v>
      </c>
      <c r="T182" s="115">
        <f>M182-'Order(Exhibit B)'!M182</f>
        <v>0</v>
      </c>
    </row>
    <row r="183" spans="1:20">
      <c r="A183" s="136" t="s">
        <v>109</v>
      </c>
      <c r="C183" s="135">
        <v>2307</v>
      </c>
      <c r="D183" s="135">
        <v>4690.4890222864542</v>
      </c>
      <c r="E183" s="135"/>
      <c r="F183" s="138">
        <v>-0.5</v>
      </c>
      <c r="G183" s="138"/>
      <c r="H183" s="139">
        <f t="shared" si="47"/>
        <v>-1154</v>
      </c>
      <c r="I183" s="139">
        <f t="shared" si="47"/>
        <v>-2345</v>
      </c>
      <c r="J183" s="135"/>
      <c r="K183" s="138">
        <f>K$113</f>
        <v>-0.5</v>
      </c>
      <c r="L183" s="138"/>
      <c r="M183" s="139">
        <f t="shared" si="48"/>
        <v>-2345</v>
      </c>
      <c r="S183" s="145">
        <f>K183-'Order(Exhibit B)'!K183</f>
        <v>0</v>
      </c>
      <c r="T183" s="115">
        <f>M183-'Order(Exhibit B)'!M183</f>
        <v>0</v>
      </c>
    </row>
    <row r="184" spans="1:20">
      <c r="A184" s="136" t="s">
        <v>144</v>
      </c>
      <c r="C184" s="135">
        <v>578729.73433583998</v>
      </c>
      <c r="D184" s="135">
        <f>ROUND(D$192*$C184/$C$192,0)</f>
        <v>781163</v>
      </c>
      <c r="E184" s="135"/>
      <c r="F184" s="190">
        <v>3.99</v>
      </c>
      <c r="G184" s="138"/>
      <c r="H184" s="139">
        <f t="shared" si="47"/>
        <v>2309132</v>
      </c>
      <c r="I184" s="139">
        <f t="shared" si="47"/>
        <v>3116840</v>
      </c>
      <c r="J184" s="135"/>
      <c r="K184" s="190">
        <f>K$114</f>
        <v>4.1399999999999997</v>
      </c>
      <c r="L184" s="138"/>
      <c r="M184" s="139">
        <f t="shared" si="48"/>
        <v>3234015</v>
      </c>
      <c r="S184" s="145">
        <f>K184-'Order(Exhibit B)'!K184</f>
        <v>1.9999999999999574E-2</v>
      </c>
      <c r="T184" s="115">
        <f>M184-'Order(Exhibit B)'!M184</f>
        <v>15623</v>
      </c>
    </row>
    <row r="185" spans="1:20">
      <c r="A185" s="136" t="s">
        <v>145</v>
      </c>
      <c r="C185" s="135">
        <v>204455.49133383599</v>
      </c>
      <c r="D185" s="135">
        <f>ROUND(D$192*$C185/$C$192,0)</f>
        <v>275972</v>
      </c>
      <c r="E185" s="135"/>
      <c r="F185" s="190">
        <v>13.27</v>
      </c>
      <c r="G185" s="138"/>
      <c r="H185" s="139">
        <f t="shared" si="47"/>
        <v>2713124</v>
      </c>
      <c r="I185" s="139">
        <f t="shared" si="47"/>
        <v>3662148</v>
      </c>
      <c r="J185" s="135"/>
      <c r="K185" s="190">
        <f>K$115</f>
        <v>13.77</v>
      </c>
      <c r="L185" s="138"/>
      <c r="M185" s="139">
        <f t="shared" si="48"/>
        <v>3800134</v>
      </c>
      <c r="S185" s="145">
        <f>K185-'Order(Exhibit B)'!K185</f>
        <v>5.9999999999998721E-2</v>
      </c>
      <c r="T185" s="115">
        <f>M185-'Order(Exhibit B)'!M185</f>
        <v>16558</v>
      </c>
    </row>
    <row r="186" spans="1:20">
      <c r="A186" s="136" t="s">
        <v>146</v>
      </c>
      <c r="C186" s="135">
        <v>374274.25894378201</v>
      </c>
      <c r="D186" s="135">
        <f>ROUND(D$192*$C186/$C$192,0)</f>
        <v>505191</v>
      </c>
      <c r="E186" s="135"/>
      <c r="F186" s="190">
        <v>11.74</v>
      </c>
      <c r="G186" s="138"/>
      <c r="H186" s="139">
        <f t="shared" si="47"/>
        <v>4393980</v>
      </c>
      <c r="I186" s="139">
        <f t="shared" si="47"/>
        <v>5930942</v>
      </c>
      <c r="J186" s="135"/>
      <c r="K186" s="190">
        <f>K$116</f>
        <v>12.18</v>
      </c>
      <c r="L186" s="138"/>
      <c r="M186" s="139">
        <f t="shared" si="48"/>
        <v>6153226</v>
      </c>
      <c r="S186" s="145">
        <f>K186-'Order(Exhibit B)'!K186</f>
        <v>4.9999999999998934E-2</v>
      </c>
      <c r="T186" s="115">
        <f>M186-'Order(Exhibit B)'!M186</f>
        <v>25259</v>
      </c>
    </row>
    <row r="187" spans="1:20">
      <c r="A187" s="136" t="s">
        <v>148</v>
      </c>
      <c r="C187" s="135">
        <v>63086983</v>
      </c>
      <c r="D187" s="135">
        <v>61691904.602599882</v>
      </c>
      <c r="E187" s="135"/>
      <c r="F187" s="193">
        <v>3.8877999999999999</v>
      </c>
      <c r="G187" s="163" t="s">
        <v>112</v>
      </c>
      <c r="H187" s="139">
        <f>ROUND($F187*C187/100,0)</f>
        <v>2452696</v>
      </c>
      <c r="I187" s="139">
        <f>ROUND($F187*D187/100,0)</f>
        <v>2398458</v>
      </c>
      <c r="J187" s="135"/>
      <c r="K187" s="193">
        <f>K$117</f>
        <v>3.9407999999999999</v>
      </c>
      <c r="L187" s="163" t="s">
        <v>112</v>
      </c>
      <c r="M187" s="139">
        <f>ROUND($K187*D187/100,0)</f>
        <v>2431155</v>
      </c>
      <c r="S187" s="145">
        <f>K187-'Order(Exhibit B)'!K187</f>
        <v>5.7000000000000384E-3</v>
      </c>
      <c r="T187" s="115">
        <f>M187-'Order(Exhibit B)'!M187</f>
        <v>3517</v>
      </c>
    </row>
    <row r="188" spans="1:20">
      <c r="A188" s="136" t="s">
        <v>149</v>
      </c>
      <c r="C188" s="135">
        <v>121670823</v>
      </c>
      <c r="D188" s="135">
        <f>D192-D187</f>
        <v>189593723.747866</v>
      </c>
      <c r="E188" s="135"/>
      <c r="F188" s="193">
        <v>3.4405000000000001</v>
      </c>
      <c r="G188" s="163" t="s">
        <v>112</v>
      </c>
      <c r="H188" s="139">
        <f>ROUND($F188*C188/100,0)</f>
        <v>4186085</v>
      </c>
      <c r="I188" s="139">
        <f>ROUND($F188*D188/100,0)</f>
        <v>6522972</v>
      </c>
      <c r="J188" s="135"/>
      <c r="K188" s="193">
        <f>K$118</f>
        <v>3.4872999999999998</v>
      </c>
      <c r="L188" s="163" t="s">
        <v>112</v>
      </c>
      <c r="M188" s="139">
        <f>ROUND($K188*D188/100,0)</f>
        <v>6611702</v>
      </c>
      <c r="S188" s="145">
        <f>K188-'Order(Exhibit B)'!K188</f>
        <v>4.9999999999998934E-3</v>
      </c>
      <c r="T188" s="115">
        <f>M188-'Order(Exhibit B)'!M188</f>
        <v>9480</v>
      </c>
    </row>
    <row r="189" spans="1:20">
      <c r="A189" s="136" t="s">
        <v>150</v>
      </c>
      <c r="C189" s="135">
        <v>19291</v>
      </c>
      <c r="D189" s="135">
        <f>ROUND(D$192*$C189/$C$192,0)</f>
        <v>26039</v>
      </c>
      <c r="E189" s="135"/>
      <c r="F189" s="138">
        <v>-0.96</v>
      </c>
      <c r="G189" s="138"/>
      <c r="H189" s="139">
        <f>ROUND($F189*C189,0)</f>
        <v>-18519</v>
      </c>
      <c r="I189" s="139">
        <f>ROUND($F189*D189,0)</f>
        <v>-24997</v>
      </c>
      <c r="J189" s="135"/>
      <c r="K189" s="138">
        <f>K$119</f>
        <v>-0.96</v>
      </c>
      <c r="L189" s="138"/>
      <c r="M189" s="139">
        <f>ROUND($K189*D189,0)</f>
        <v>-24997</v>
      </c>
      <c r="S189" s="145">
        <f>K189-'Order(Exhibit B)'!K189</f>
        <v>0</v>
      </c>
      <c r="T189" s="115">
        <f>M189-'Order(Exhibit B)'!M189</f>
        <v>0</v>
      </c>
    </row>
    <row r="190" spans="1:20">
      <c r="A190" s="172" t="s">
        <v>123</v>
      </c>
      <c r="C190" s="135">
        <v>0</v>
      </c>
      <c r="D190" s="135"/>
      <c r="E190" s="135"/>
      <c r="F190" s="193">
        <v>7.125</v>
      </c>
      <c r="G190" s="163" t="s">
        <v>112</v>
      </c>
      <c r="H190" s="139">
        <f>ROUND($F190*C190/100,0)</f>
        <v>0</v>
      </c>
      <c r="I190" s="139">
        <f>ROUND($F190*D190/100,0)</f>
        <v>0</v>
      </c>
      <c r="J190" s="135"/>
      <c r="K190" s="193">
        <f>K$120</f>
        <v>7.125</v>
      </c>
      <c r="L190" s="163" t="s">
        <v>112</v>
      </c>
      <c r="M190" s="139">
        <f>ROUND($K190*D190/100,0)</f>
        <v>0</v>
      </c>
      <c r="S190" s="145">
        <f>K190-'Order(Exhibit B)'!K190</f>
        <v>0</v>
      </c>
      <c r="T190" s="115">
        <f>M190-'Order(Exhibit B)'!M190</f>
        <v>0</v>
      </c>
    </row>
    <row r="191" spans="1:20">
      <c r="A191" s="172" t="s">
        <v>125</v>
      </c>
      <c r="B191" s="173"/>
      <c r="C191" s="135">
        <v>1408825</v>
      </c>
      <c r="D191" s="135"/>
      <c r="E191" s="135"/>
      <c r="F191" s="174"/>
      <c r="G191" s="13"/>
      <c r="H191" s="139">
        <v>123520</v>
      </c>
      <c r="I191" s="139"/>
      <c r="J191" s="135"/>
      <c r="K191" s="174"/>
      <c r="L191" s="13"/>
      <c r="M191" s="139"/>
      <c r="N191" s="164"/>
      <c r="O191" s="164"/>
      <c r="P191" s="164"/>
      <c r="S191" s="145">
        <f>K191-'Order(Exhibit B)'!K191</f>
        <v>0</v>
      </c>
      <c r="T191" s="115">
        <f>M191-'Order(Exhibit B)'!M191</f>
        <v>0</v>
      </c>
    </row>
    <row r="192" spans="1:20" ht="16.5" thickBot="1">
      <c r="A192" s="176" t="s">
        <v>127</v>
      </c>
      <c r="B192" s="177"/>
      <c r="C192" s="178">
        <f>SUM(C187:C188,C190:C191)</f>
        <v>186166631</v>
      </c>
      <c r="D192" s="178">
        <v>251285628.35046589</v>
      </c>
      <c r="E192" s="178"/>
      <c r="F192" s="177"/>
      <c r="G192" s="177"/>
      <c r="H192" s="179">
        <f>SUM(H181:H191)</f>
        <v>16418317</v>
      </c>
      <c r="I192" s="179">
        <f>SUM(I181:I191)</f>
        <v>21962060</v>
      </c>
      <c r="J192" s="178"/>
      <c r="K192" s="177"/>
      <c r="L192" s="177"/>
      <c r="M192" s="179">
        <f>SUM(M181:M191)</f>
        <v>22574428</v>
      </c>
      <c r="O192" s="136" t="s">
        <v>108</v>
      </c>
      <c r="P192" s="197">
        <f>M192/I192-1</f>
        <v>2.7882994582475451E-2</v>
      </c>
      <c r="S192" s="145">
        <f>K192-'Order(Exhibit B)'!K192</f>
        <v>0</v>
      </c>
      <c r="T192" s="115">
        <f>M192-'Order(Exhibit B)'!M192</f>
        <v>70437</v>
      </c>
    </row>
    <row r="193" spans="1:20" ht="16.5" thickTop="1">
      <c r="S193" s="145">
        <f>K193-'Order(Exhibit B)'!K193</f>
        <v>0</v>
      </c>
      <c r="T193" s="115">
        <f>M193-'Order(Exhibit B)'!M193</f>
        <v>0</v>
      </c>
    </row>
    <row r="194" spans="1:20">
      <c r="A194" s="133" t="s">
        <v>458</v>
      </c>
      <c r="C194" s="135"/>
      <c r="D194" s="135"/>
      <c r="E194" s="135"/>
      <c r="J194" s="135"/>
      <c r="S194" s="145">
        <f>K194-'Order(Exhibit B)'!K194</f>
        <v>0</v>
      </c>
      <c r="T194" s="115">
        <f>M194-'Order(Exhibit B)'!M194</f>
        <v>0</v>
      </c>
    </row>
    <row r="195" spans="1:20">
      <c r="A195" s="136" t="s">
        <v>143</v>
      </c>
      <c r="C195" s="135">
        <v>100.433396226415</v>
      </c>
      <c r="D195" s="135">
        <v>73</v>
      </c>
      <c r="E195" s="135"/>
      <c r="F195" s="190">
        <v>53</v>
      </c>
      <c r="G195" s="138"/>
      <c r="H195" s="139">
        <f t="shared" ref="H195:I200" si="50">ROUND($F195*C195,0)</f>
        <v>5323</v>
      </c>
      <c r="I195" s="139">
        <f t="shared" si="50"/>
        <v>3869</v>
      </c>
      <c r="J195" s="135"/>
      <c r="K195" s="190">
        <f>K$111</f>
        <v>55</v>
      </c>
      <c r="L195" s="138"/>
      <c r="M195" s="139">
        <f t="shared" ref="M195:M200" si="51">ROUND($K195*D195,0)</f>
        <v>4015</v>
      </c>
      <c r="S195" s="145">
        <f>K195-'Order(Exhibit B)'!K195</f>
        <v>0</v>
      </c>
      <c r="T195" s="115">
        <f>M195-'Order(Exhibit B)'!M195</f>
        <v>0</v>
      </c>
    </row>
    <row r="196" spans="1:20">
      <c r="A196" s="136" t="s">
        <v>106</v>
      </c>
      <c r="C196" s="135">
        <v>0</v>
      </c>
      <c r="D196" s="135">
        <f t="shared" ref="D196" si="52">ROUND($C196*D$195/$C$195,0)</f>
        <v>0</v>
      </c>
      <c r="E196" s="135"/>
      <c r="F196" s="190">
        <v>2</v>
      </c>
      <c r="G196" s="138"/>
      <c r="H196" s="139">
        <f t="shared" si="50"/>
        <v>0</v>
      </c>
      <c r="I196" s="139">
        <f t="shared" si="50"/>
        <v>0</v>
      </c>
      <c r="J196" s="135"/>
      <c r="K196" s="190">
        <f>K$112</f>
        <v>2</v>
      </c>
      <c r="L196" s="138"/>
      <c r="M196" s="139">
        <f t="shared" si="51"/>
        <v>0</v>
      </c>
      <c r="S196" s="145">
        <f>K196-'Order(Exhibit B)'!K196</f>
        <v>0</v>
      </c>
      <c r="T196" s="115">
        <f>M196-'Order(Exhibit B)'!M196</f>
        <v>0</v>
      </c>
    </row>
    <row r="197" spans="1:20">
      <c r="A197" s="136" t="s">
        <v>109</v>
      </c>
      <c r="C197" s="135">
        <v>35</v>
      </c>
      <c r="D197" s="135">
        <v>50.741804775772252</v>
      </c>
      <c r="E197" s="135"/>
      <c r="F197" s="138">
        <v>-0.5</v>
      </c>
      <c r="G197" s="138"/>
      <c r="H197" s="139">
        <f t="shared" si="50"/>
        <v>-18</v>
      </c>
      <c r="I197" s="139">
        <f t="shared" si="50"/>
        <v>-25</v>
      </c>
      <c r="J197" s="135"/>
      <c r="K197" s="138">
        <f>K$113</f>
        <v>-0.5</v>
      </c>
      <c r="L197" s="138"/>
      <c r="M197" s="139">
        <f t="shared" si="51"/>
        <v>-25</v>
      </c>
      <c r="S197" s="145">
        <f>K197-'Order(Exhibit B)'!K197</f>
        <v>0</v>
      </c>
      <c r="T197" s="115">
        <f>M197-'Order(Exhibit B)'!M197</f>
        <v>0</v>
      </c>
    </row>
    <row r="198" spans="1:20">
      <c r="A198" s="136" t="s">
        <v>144</v>
      </c>
      <c r="C198" s="135">
        <v>12240.4661654135</v>
      </c>
      <c r="D198" s="135">
        <f>ROUND($C198/$C$206*D$206,0)</f>
        <v>7684</v>
      </c>
      <c r="E198" s="135"/>
      <c r="F198" s="190">
        <v>3.99</v>
      </c>
      <c r="G198" s="138"/>
      <c r="H198" s="139">
        <f t="shared" si="50"/>
        <v>48839</v>
      </c>
      <c r="I198" s="139">
        <f t="shared" si="50"/>
        <v>30659</v>
      </c>
      <c r="J198" s="135"/>
      <c r="K198" s="190">
        <f>K$114</f>
        <v>4.1399999999999997</v>
      </c>
      <c r="L198" s="138"/>
      <c r="M198" s="139">
        <f t="shared" si="51"/>
        <v>31812</v>
      </c>
      <c r="S198" s="145">
        <f>K198-'Order(Exhibit B)'!K198</f>
        <v>1.9999999999999574E-2</v>
      </c>
      <c r="T198" s="115">
        <f>M198-'Order(Exhibit B)'!M198</f>
        <v>154</v>
      </c>
    </row>
    <row r="199" spans="1:20">
      <c r="A199" s="136" t="s">
        <v>145</v>
      </c>
      <c r="C199" s="135">
        <v>4602.9201205727204</v>
      </c>
      <c r="D199" s="135">
        <f>ROUND($C199/$C$206*D$206,0)</f>
        <v>2889</v>
      </c>
      <c r="E199" s="135"/>
      <c r="F199" s="190">
        <v>13.27</v>
      </c>
      <c r="G199" s="138"/>
      <c r="H199" s="139">
        <f t="shared" si="50"/>
        <v>61081</v>
      </c>
      <c r="I199" s="139">
        <f t="shared" si="50"/>
        <v>38337</v>
      </c>
      <c r="J199" s="135"/>
      <c r="K199" s="190">
        <f>K$115</f>
        <v>13.77</v>
      </c>
      <c r="L199" s="138"/>
      <c r="M199" s="139">
        <f t="shared" si="51"/>
        <v>39782</v>
      </c>
      <c r="S199" s="145">
        <f>K199-'Order(Exhibit B)'!K199</f>
        <v>5.9999999999998721E-2</v>
      </c>
      <c r="T199" s="115">
        <f>M199-'Order(Exhibit B)'!M199</f>
        <v>174</v>
      </c>
    </row>
    <row r="200" spans="1:20">
      <c r="A200" s="136" t="s">
        <v>146</v>
      </c>
      <c r="C200" s="135">
        <v>7637.5459965928503</v>
      </c>
      <c r="D200" s="135">
        <f>ROUND($C200/$C$206*D$206,0)</f>
        <v>4794</v>
      </c>
      <c r="E200" s="135"/>
      <c r="F200" s="190">
        <v>11.74</v>
      </c>
      <c r="G200" s="138"/>
      <c r="H200" s="139">
        <f t="shared" si="50"/>
        <v>89665</v>
      </c>
      <c r="I200" s="139">
        <f t="shared" si="50"/>
        <v>56282</v>
      </c>
      <c r="J200" s="135"/>
      <c r="K200" s="190">
        <f>K$116</f>
        <v>12.18</v>
      </c>
      <c r="L200" s="138"/>
      <c r="M200" s="139">
        <f t="shared" si="51"/>
        <v>58391</v>
      </c>
      <c r="S200" s="145">
        <f>K200-'Order(Exhibit B)'!K200</f>
        <v>4.9999999999998934E-2</v>
      </c>
      <c r="T200" s="115">
        <f>M200-'Order(Exhibit B)'!M200</f>
        <v>240</v>
      </c>
    </row>
    <row r="201" spans="1:20">
      <c r="A201" s="136" t="s">
        <v>148</v>
      </c>
      <c r="C201" s="135">
        <v>1534282</v>
      </c>
      <c r="D201" s="135">
        <v>960673.99999999988</v>
      </c>
      <c r="E201" s="135"/>
      <c r="F201" s="193">
        <v>3.8877999999999999</v>
      </c>
      <c r="G201" s="163" t="s">
        <v>112</v>
      </c>
      <c r="H201" s="139">
        <f>ROUND($F201*C201/100,0)</f>
        <v>59650</v>
      </c>
      <c r="I201" s="139">
        <f>ROUND($F201*D201/100,0)</f>
        <v>37349</v>
      </c>
      <c r="J201" s="135"/>
      <c r="K201" s="193">
        <f>K$117</f>
        <v>3.9407999999999999</v>
      </c>
      <c r="L201" s="163" t="s">
        <v>112</v>
      </c>
      <c r="M201" s="139">
        <f>ROUND($K201*D201/100,0)</f>
        <v>37858</v>
      </c>
      <c r="S201" s="145">
        <f>K201-'Order(Exhibit B)'!K201</f>
        <v>5.7000000000000384E-3</v>
      </c>
      <c r="T201" s="115">
        <f>M201-'Order(Exhibit B)'!M201</f>
        <v>55</v>
      </c>
    </row>
    <row r="202" spans="1:20">
      <c r="A202" s="136" t="s">
        <v>149</v>
      </c>
      <c r="C202" s="135">
        <v>2366393</v>
      </c>
      <c r="D202" s="135">
        <f>D206-D201</f>
        <v>1488490.6666666665</v>
      </c>
      <c r="E202" s="135"/>
      <c r="F202" s="193">
        <v>3.4405000000000001</v>
      </c>
      <c r="G202" s="163" t="s">
        <v>112</v>
      </c>
      <c r="H202" s="139">
        <f>ROUND($F202*C202/100,0)</f>
        <v>81416</v>
      </c>
      <c r="I202" s="139">
        <f>ROUND($F202*D202/100,0)</f>
        <v>51212</v>
      </c>
      <c r="J202" s="135"/>
      <c r="K202" s="193">
        <f>K$118</f>
        <v>3.4872999999999998</v>
      </c>
      <c r="L202" s="163" t="s">
        <v>112</v>
      </c>
      <c r="M202" s="139">
        <f>ROUND($K202*D202/100,0)</f>
        <v>51908</v>
      </c>
      <c r="S202" s="145">
        <f>K202-'Order(Exhibit B)'!K202</f>
        <v>4.9999999999998934E-3</v>
      </c>
      <c r="T202" s="115">
        <f>M202-'Order(Exhibit B)'!M202</f>
        <v>74</v>
      </c>
    </row>
    <row r="203" spans="1:20">
      <c r="A203" s="136" t="s">
        <v>150</v>
      </c>
      <c r="C203" s="135">
        <v>4220</v>
      </c>
      <c r="D203" s="135">
        <f>ROUND($C203/$C$206*D$206,0)</f>
        <v>2649</v>
      </c>
      <c r="E203" s="135"/>
      <c r="F203" s="138">
        <v>-0.96</v>
      </c>
      <c r="G203" s="138"/>
      <c r="H203" s="139">
        <f>ROUND($F203*C203,0)</f>
        <v>-4051</v>
      </c>
      <c r="I203" s="139">
        <f>ROUND($F203*D203,0)</f>
        <v>-2543</v>
      </c>
      <c r="J203" s="135"/>
      <c r="K203" s="138">
        <f>K$119</f>
        <v>-0.96</v>
      </c>
      <c r="L203" s="138"/>
      <c r="M203" s="139">
        <f>ROUND($K203*D203,0)</f>
        <v>-2543</v>
      </c>
      <c r="S203" s="145">
        <f>K203-'Order(Exhibit B)'!K203</f>
        <v>0</v>
      </c>
      <c r="T203" s="115">
        <f>M203-'Order(Exhibit B)'!M203</f>
        <v>0</v>
      </c>
    </row>
    <row r="204" spans="1:20">
      <c r="A204" s="172" t="s">
        <v>123</v>
      </c>
      <c r="C204" s="135">
        <v>0</v>
      </c>
      <c r="D204" s="135"/>
      <c r="E204" s="135"/>
      <c r="F204" s="193">
        <v>7.125</v>
      </c>
      <c r="G204" s="163" t="s">
        <v>112</v>
      </c>
      <c r="H204" s="139">
        <f>ROUND($F204*C204/100,0)</f>
        <v>0</v>
      </c>
      <c r="I204" s="139">
        <f>ROUND($F204*D204/100,0)</f>
        <v>0</v>
      </c>
      <c r="J204" s="135"/>
      <c r="K204" s="193">
        <f>K$120</f>
        <v>7.125</v>
      </c>
      <c r="L204" s="163" t="s">
        <v>112</v>
      </c>
      <c r="M204" s="139">
        <f>ROUND($K204*D204/100,0)</f>
        <v>0</v>
      </c>
      <c r="S204" s="145">
        <f>K204-'Order(Exhibit B)'!K204</f>
        <v>0</v>
      </c>
      <c r="T204" s="115">
        <f>M204-'Order(Exhibit B)'!M204</f>
        <v>0</v>
      </c>
    </row>
    <row r="205" spans="1:20">
      <c r="A205" s="172" t="s">
        <v>125</v>
      </c>
      <c r="B205" s="173"/>
      <c r="C205" s="135">
        <v>942</v>
      </c>
      <c r="D205" s="135"/>
      <c r="E205" s="135"/>
      <c r="F205" s="174"/>
      <c r="G205" s="13"/>
      <c r="H205" s="139">
        <v>774</v>
      </c>
      <c r="I205" s="139"/>
      <c r="J205" s="135"/>
      <c r="K205" s="174"/>
      <c r="L205" s="13"/>
      <c r="M205" s="139"/>
      <c r="N205" s="164"/>
      <c r="O205" s="164"/>
      <c r="P205" s="164"/>
      <c r="S205" s="145">
        <f>K205-'Order(Exhibit B)'!K205</f>
        <v>0</v>
      </c>
      <c r="T205" s="115">
        <f>M205-'Order(Exhibit B)'!M205</f>
        <v>0</v>
      </c>
    </row>
    <row r="206" spans="1:20" ht="16.5" thickBot="1">
      <c r="A206" s="176" t="s">
        <v>127</v>
      </c>
      <c r="B206" s="177"/>
      <c r="C206" s="178">
        <f>SUM(C201:C202,C204:C205)</f>
        <v>3901617</v>
      </c>
      <c r="D206" s="178">
        <v>2449164.6666666665</v>
      </c>
      <c r="E206" s="178"/>
      <c r="F206" s="177"/>
      <c r="G206" s="177"/>
      <c r="H206" s="179">
        <f>SUM(H195:H205)</f>
        <v>342679</v>
      </c>
      <c r="I206" s="179">
        <f>SUM(I195:I205)</f>
        <v>215140</v>
      </c>
      <c r="J206" s="178"/>
      <c r="K206" s="177"/>
      <c r="L206" s="177"/>
      <c r="M206" s="179">
        <f>SUM(M195:M205)</f>
        <v>221198</v>
      </c>
      <c r="O206" s="136" t="s">
        <v>108</v>
      </c>
      <c r="P206" s="197">
        <f>M206/I206-1</f>
        <v>2.8158408478200281E-2</v>
      </c>
      <c r="S206" s="145">
        <f>K206-'Order(Exhibit B)'!K206</f>
        <v>0</v>
      </c>
      <c r="T206" s="115">
        <f>M206-'Order(Exhibit B)'!M206</f>
        <v>697</v>
      </c>
    </row>
    <row r="207" spans="1:20" ht="16.5" thickTop="1">
      <c r="C207" s="135"/>
      <c r="D207" s="135"/>
      <c r="E207" s="135"/>
      <c r="J207" s="135"/>
      <c r="S207" s="145">
        <f>K207-'Order(Exhibit B)'!K207</f>
        <v>0</v>
      </c>
      <c r="T207" s="115">
        <f>M207-'Order(Exhibit B)'!M207</f>
        <v>0</v>
      </c>
    </row>
    <row r="208" spans="1:20">
      <c r="A208" s="133" t="s">
        <v>459</v>
      </c>
      <c r="C208" s="135"/>
      <c r="D208" s="135"/>
      <c r="E208" s="135"/>
      <c r="J208" s="135"/>
      <c r="S208" s="145">
        <f>K208-'Order(Exhibit B)'!K208</f>
        <v>0</v>
      </c>
      <c r="T208" s="115">
        <f>M208-'Order(Exhibit B)'!M208</f>
        <v>0</v>
      </c>
    </row>
    <row r="209" spans="1:20">
      <c r="A209" s="136" t="s">
        <v>143</v>
      </c>
      <c r="C209" s="135">
        <v>155</v>
      </c>
      <c r="D209" s="135">
        <v>132</v>
      </c>
      <c r="E209" s="135"/>
      <c r="F209" s="190">
        <v>53</v>
      </c>
      <c r="G209" s="138"/>
      <c r="H209" s="139">
        <f t="shared" ref="H209:I214" si="53">ROUND($F209*C209,0)</f>
        <v>8215</v>
      </c>
      <c r="I209" s="139">
        <f t="shared" si="53"/>
        <v>6996</v>
      </c>
      <c r="J209" s="135"/>
      <c r="K209" s="190">
        <f>K$111</f>
        <v>55</v>
      </c>
      <c r="L209" s="138"/>
      <c r="M209" s="139">
        <f t="shared" ref="M209:M214" si="54">ROUND($K209*D209,0)</f>
        <v>7260</v>
      </c>
      <c r="S209" s="145">
        <f>K209-'Order(Exhibit B)'!K209</f>
        <v>0</v>
      </c>
      <c r="T209" s="115">
        <f>M209-'Order(Exhibit B)'!M209</f>
        <v>0</v>
      </c>
    </row>
    <row r="210" spans="1:20">
      <c r="A210" s="136" t="s">
        <v>106</v>
      </c>
      <c r="C210" s="135">
        <v>24</v>
      </c>
      <c r="D210" s="135">
        <f t="shared" ref="D210" si="55">ROUND($C210*D$209/$C$209,0)</f>
        <v>20</v>
      </c>
      <c r="E210" s="135"/>
      <c r="F210" s="190">
        <v>2</v>
      </c>
      <c r="G210" s="138"/>
      <c r="H210" s="139">
        <f t="shared" si="53"/>
        <v>48</v>
      </c>
      <c r="I210" s="139">
        <f t="shared" si="53"/>
        <v>40</v>
      </c>
      <c r="J210" s="135"/>
      <c r="K210" s="190">
        <f>K$112</f>
        <v>2</v>
      </c>
      <c r="L210" s="138"/>
      <c r="M210" s="139">
        <f t="shared" si="54"/>
        <v>40</v>
      </c>
      <c r="S210" s="145">
        <f>K210-'Order(Exhibit B)'!K210</f>
        <v>0</v>
      </c>
      <c r="T210" s="115">
        <f>M210-'Order(Exhibit B)'!M210</f>
        <v>0</v>
      </c>
    </row>
    <row r="211" spans="1:20">
      <c r="A211" s="136" t="s">
        <v>109</v>
      </c>
      <c r="C211" s="135">
        <v>36</v>
      </c>
      <c r="D211" s="135">
        <v>91.752304526053933</v>
      </c>
      <c r="E211" s="135"/>
      <c r="F211" s="138">
        <v>-0.5</v>
      </c>
      <c r="G211" s="138"/>
      <c r="H211" s="139">
        <f t="shared" si="53"/>
        <v>-18</v>
      </c>
      <c r="I211" s="139">
        <f t="shared" si="53"/>
        <v>-46</v>
      </c>
      <c r="J211" s="135"/>
      <c r="K211" s="138">
        <f>K$113</f>
        <v>-0.5</v>
      </c>
      <c r="L211" s="138"/>
      <c r="M211" s="139">
        <f t="shared" si="54"/>
        <v>-46</v>
      </c>
      <c r="S211" s="145">
        <f>K211-'Order(Exhibit B)'!K211</f>
        <v>0</v>
      </c>
      <c r="T211" s="115">
        <f>M211-'Order(Exhibit B)'!M211</f>
        <v>0</v>
      </c>
    </row>
    <row r="212" spans="1:20">
      <c r="A212" s="136" t="s">
        <v>144</v>
      </c>
      <c r="C212" s="135">
        <v>10448</v>
      </c>
      <c r="D212" s="135">
        <f>ROUND($C212/$C$220*D$220,0)</f>
        <v>10044</v>
      </c>
      <c r="E212" s="135"/>
      <c r="F212" s="190">
        <v>3.99</v>
      </c>
      <c r="G212" s="138"/>
      <c r="H212" s="139">
        <f t="shared" si="53"/>
        <v>41688</v>
      </c>
      <c r="I212" s="139">
        <f t="shared" si="53"/>
        <v>40076</v>
      </c>
      <c r="J212" s="135"/>
      <c r="K212" s="190">
        <f>K$114</f>
        <v>4.1399999999999997</v>
      </c>
      <c r="L212" s="138"/>
      <c r="M212" s="139">
        <f t="shared" si="54"/>
        <v>41582</v>
      </c>
      <c r="S212" s="145">
        <f>K212-'Order(Exhibit B)'!K212</f>
        <v>1.9999999999999574E-2</v>
      </c>
      <c r="T212" s="115">
        <f>M212-'Order(Exhibit B)'!M212</f>
        <v>201</v>
      </c>
    </row>
    <row r="213" spans="1:20">
      <c r="A213" s="136" t="s">
        <v>145</v>
      </c>
      <c r="C213" s="135">
        <v>3123.7452901281099</v>
      </c>
      <c r="D213" s="135">
        <f>ROUND($C213/$C$220*D$220,0)</f>
        <v>3003</v>
      </c>
      <c r="E213" s="135"/>
      <c r="F213" s="190">
        <v>13.27</v>
      </c>
      <c r="G213" s="138"/>
      <c r="H213" s="139">
        <f t="shared" si="53"/>
        <v>41452</v>
      </c>
      <c r="I213" s="139">
        <f t="shared" si="53"/>
        <v>39850</v>
      </c>
      <c r="J213" s="135"/>
      <c r="K213" s="190">
        <f>K$115</f>
        <v>13.77</v>
      </c>
      <c r="L213" s="138"/>
      <c r="M213" s="139">
        <f t="shared" si="54"/>
        <v>41351</v>
      </c>
      <c r="S213" s="145">
        <f>K213-'Order(Exhibit B)'!K213</f>
        <v>5.9999999999998721E-2</v>
      </c>
      <c r="T213" s="115">
        <f>M213-'Order(Exhibit B)'!M213</f>
        <v>180</v>
      </c>
    </row>
    <row r="214" spans="1:20">
      <c r="A214" s="136" t="s">
        <v>146</v>
      </c>
      <c r="C214" s="135">
        <v>7324.2546848381598</v>
      </c>
      <c r="D214" s="135">
        <f>ROUND($C214/$C$220*D$220,0)</f>
        <v>7041</v>
      </c>
      <c r="E214" s="135"/>
      <c r="F214" s="190">
        <v>11.74</v>
      </c>
      <c r="G214" s="138"/>
      <c r="H214" s="139">
        <f t="shared" si="53"/>
        <v>85987</v>
      </c>
      <c r="I214" s="139">
        <f t="shared" si="53"/>
        <v>82661</v>
      </c>
      <c r="J214" s="135"/>
      <c r="K214" s="190">
        <f>K$116</f>
        <v>12.18</v>
      </c>
      <c r="L214" s="138"/>
      <c r="M214" s="139">
        <f t="shared" si="54"/>
        <v>85759</v>
      </c>
      <c r="S214" s="145">
        <f>K214-'Order(Exhibit B)'!K214</f>
        <v>4.9999999999998934E-2</v>
      </c>
      <c r="T214" s="115">
        <f>M214-'Order(Exhibit B)'!M214</f>
        <v>352</v>
      </c>
    </row>
    <row r="215" spans="1:20">
      <c r="A215" s="136" t="s">
        <v>148</v>
      </c>
      <c r="C215" s="135">
        <v>1098561</v>
      </c>
      <c r="D215" s="135">
        <v>1077547</v>
      </c>
      <c r="E215" s="135"/>
      <c r="F215" s="193">
        <v>3.8877999999999999</v>
      </c>
      <c r="G215" s="163" t="s">
        <v>112</v>
      </c>
      <c r="H215" s="139">
        <f>ROUND($F215*C215/100,0)</f>
        <v>42710</v>
      </c>
      <c r="I215" s="139">
        <f>ROUND($F215*D215/100,0)</f>
        <v>41893</v>
      </c>
      <c r="J215" s="135"/>
      <c r="K215" s="193">
        <f>K$117</f>
        <v>3.9407999999999999</v>
      </c>
      <c r="L215" s="163" t="s">
        <v>112</v>
      </c>
      <c r="M215" s="139">
        <f>ROUND($K215*D215/100,0)</f>
        <v>42464</v>
      </c>
      <c r="S215" s="145">
        <f>K215-'Order(Exhibit B)'!K215</f>
        <v>5.7000000000000384E-3</v>
      </c>
      <c r="T215" s="115">
        <f>M215-'Order(Exhibit B)'!M215</f>
        <v>61</v>
      </c>
    </row>
    <row r="216" spans="1:20">
      <c r="A216" s="136" t="s">
        <v>149</v>
      </c>
      <c r="C216" s="135">
        <v>2671035</v>
      </c>
      <c r="D216" s="135">
        <f>D220-D215</f>
        <v>2556632</v>
      </c>
      <c r="E216" s="135"/>
      <c r="F216" s="193">
        <v>3.4405000000000001</v>
      </c>
      <c r="G216" s="163" t="s">
        <v>112</v>
      </c>
      <c r="H216" s="139">
        <f>ROUND($F216*C216/100,0)</f>
        <v>91897</v>
      </c>
      <c r="I216" s="139">
        <f>ROUND($F216*D216/100,0)</f>
        <v>87961</v>
      </c>
      <c r="J216" s="135"/>
      <c r="K216" s="193">
        <f>K$118</f>
        <v>3.4872999999999998</v>
      </c>
      <c r="L216" s="163" t="s">
        <v>112</v>
      </c>
      <c r="M216" s="139">
        <f>ROUND($K216*D216/100,0)</f>
        <v>89157</v>
      </c>
      <c r="S216" s="145">
        <f>K216-'Order(Exhibit B)'!K216</f>
        <v>4.9999999999998934E-3</v>
      </c>
      <c r="T216" s="115">
        <f>M216-'Order(Exhibit B)'!M216</f>
        <v>127</v>
      </c>
    </row>
    <row r="217" spans="1:20">
      <c r="A217" s="136" t="s">
        <v>150</v>
      </c>
      <c r="C217" s="135">
        <v>0</v>
      </c>
      <c r="D217" s="135">
        <f>ROUND($C217/$C$220*D$220,0)</f>
        <v>0</v>
      </c>
      <c r="E217" s="135"/>
      <c r="F217" s="138">
        <v>-0.96</v>
      </c>
      <c r="G217" s="138"/>
      <c r="H217" s="139">
        <f>ROUND($F217*C217,0)</f>
        <v>0</v>
      </c>
      <c r="I217" s="139">
        <f>ROUND($F217*D217,0)</f>
        <v>0</v>
      </c>
      <c r="J217" s="135"/>
      <c r="K217" s="138">
        <f>K$119</f>
        <v>-0.96</v>
      </c>
      <c r="L217" s="138"/>
      <c r="M217" s="139">
        <f>ROUND($K217*D217,0)</f>
        <v>0</v>
      </c>
      <c r="S217" s="145">
        <f>K217-'Order(Exhibit B)'!K217</f>
        <v>0</v>
      </c>
      <c r="T217" s="115">
        <f>M217-'Order(Exhibit B)'!M217</f>
        <v>0</v>
      </c>
    </row>
    <row r="218" spans="1:20">
      <c r="A218" s="172" t="s">
        <v>123</v>
      </c>
      <c r="C218" s="135">
        <v>0</v>
      </c>
      <c r="D218" s="135"/>
      <c r="E218" s="135"/>
      <c r="F218" s="193">
        <v>7.125</v>
      </c>
      <c r="G218" s="163" t="s">
        <v>112</v>
      </c>
      <c r="H218" s="139">
        <f>ROUND($F218*C218/100,0)</f>
        <v>0</v>
      </c>
      <c r="I218" s="139">
        <f>ROUND($F218*D218/100,0)</f>
        <v>0</v>
      </c>
      <c r="J218" s="135"/>
      <c r="K218" s="193">
        <f>K$120</f>
        <v>7.125</v>
      </c>
      <c r="L218" s="163" t="s">
        <v>112</v>
      </c>
      <c r="M218" s="139">
        <f>ROUND($K218*D218/100,0)</f>
        <v>0</v>
      </c>
      <c r="S218" s="145">
        <f>K218-'Order(Exhibit B)'!K218</f>
        <v>0</v>
      </c>
      <c r="T218" s="115">
        <f>M218-'Order(Exhibit B)'!M218</f>
        <v>0</v>
      </c>
    </row>
    <row r="219" spans="1:20">
      <c r="A219" s="172" t="s">
        <v>125</v>
      </c>
      <c r="B219" s="173"/>
      <c r="C219" s="135">
        <v>10616</v>
      </c>
      <c r="D219" s="135"/>
      <c r="E219" s="135"/>
      <c r="F219" s="174"/>
      <c r="G219" s="13"/>
      <c r="H219" s="139">
        <v>1044</v>
      </c>
      <c r="I219" s="139"/>
      <c r="J219" s="135"/>
      <c r="K219" s="174"/>
      <c r="L219" s="13"/>
      <c r="M219" s="139"/>
      <c r="N219" s="164"/>
      <c r="O219" s="164"/>
      <c r="P219" s="164"/>
      <c r="S219" s="145">
        <f>K219-'Order(Exhibit B)'!K219</f>
        <v>0</v>
      </c>
      <c r="T219" s="115">
        <f>M219-'Order(Exhibit B)'!M219</f>
        <v>0</v>
      </c>
    </row>
    <row r="220" spans="1:20" ht="16.5" thickBot="1">
      <c r="A220" s="176" t="s">
        <v>127</v>
      </c>
      <c r="B220" s="177"/>
      <c r="C220" s="178">
        <f>SUM(C215:C216,C218:C219)</f>
        <v>3780212</v>
      </c>
      <c r="D220" s="178">
        <v>3634179</v>
      </c>
      <c r="E220" s="178"/>
      <c r="F220" s="177"/>
      <c r="G220" s="177"/>
      <c r="H220" s="179">
        <f>SUM(H209:H219)</f>
        <v>313023</v>
      </c>
      <c r="I220" s="179">
        <f>SUM(I209:I219)</f>
        <v>299431</v>
      </c>
      <c r="J220" s="178"/>
      <c r="K220" s="177"/>
      <c r="L220" s="177"/>
      <c r="M220" s="179">
        <f>SUM(M209:M219)</f>
        <v>307567</v>
      </c>
      <c r="O220" s="136" t="s">
        <v>108</v>
      </c>
      <c r="P220" s="197">
        <f>M220/I220-1</f>
        <v>2.7171535345371645E-2</v>
      </c>
      <c r="S220" s="145">
        <f>K220-'Order(Exhibit B)'!K220</f>
        <v>0</v>
      </c>
      <c r="T220" s="115">
        <f>M220-'Order(Exhibit B)'!M220</f>
        <v>921</v>
      </c>
    </row>
    <row r="221" spans="1:20" ht="16.5" thickTop="1">
      <c r="S221" s="145">
        <f>K221-'Order(Exhibit B)'!K221</f>
        <v>0</v>
      </c>
      <c r="T221" s="115">
        <f>M221-'Order(Exhibit B)'!M221</f>
        <v>0</v>
      </c>
    </row>
    <row r="222" spans="1:20">
      <c r="A222" s="133" t="s">
        <v>152</v>
      </c>
      <c r="C222" s="135"/>
      <c r="D222" s="135"/>
      <c r="E222" s="135"/>
      <c r="F222" s="193"/>
      <c r="G222" s="193"/>
      <c r="J222" s="135"/>
      <c r="K222" s="193"/>
      <c r="L222" s="193"/>
      <c r="S222" s="145">
        <f>K222-'Order(Exhibit B)'!K222</f>
        <v>0</v>
      </c>
      <c r="T222" s="115">
        <f>M222-'Order(Exhibit B)'!M222</f>
        <v>0</v>
      </c>
    </row>
    <row r="223" spans="1:20">
      <c r="A223" s="136" t="s">
        <v>143</v>
      </c>
      <c r="C223" s="135">
        <f t="shared" ref="C223:D225" si="56">C244+C265+C286</f>
        <v>31890.766037735862</v>
      </c>
      <c r="D223" s="135">
        <f t="shared" si="56"/>
        <v>32644.912185631401</v>
      </c>
      <c r="E223" s="135"/>
      <c r="F223" s="138">
        <v>53</v>
      </c>
      <c r="G223" s="138"/>
      <c r="H223" s="139">
        <f t="shared" ref="H223:I225" si="57">ROUND($F223*C223,0)</f>
        <v>1690211</v>
      </c>
      <c r="I223" s="139">
        <f t="shared" si="57"/>
        <v>1730180</v>
      </c>
      <c r="J223" s="135"/>
      <c r="K223" s="138">
        <f>ROUND(F223*(1+P233),0)</f>
        <v>54</v>
      </c>
      <c r="L223" s="138"/>
      <c r="M223" s="139">
        <f>ROUND($K223*D223,0)</f>
        <v>1762825</v>
      </c>
      <c r="O223" s="146" t="s">
        <v>101</v>
      </c>
      <c r="P223" s="147">
        <f>M241+M325</f>
        <v>44191168</v>
      </c>
      <c r="S223" s="145">
        <f>K223-'Order(Exhibit B)'!K223</f>
        <v>0</v>
      </c>
      <c r="T223" s="115">
        <f>M223-'Order(Exhibit B)'!M223</f>
        <v>0</v>
      </c>
    </row>
    <row r="224" spans="1:20">
      <c r="A224" s="136" t="s">
        <v>106</v>
      </c>
      <c r="C224" s="135">
        <f t="shared" si="56"/>
        <v>0</v>
      </c>
      <c r="D224" s="135">
        <f t="shared" si="56"/>
        <v>0</v>
      </c>
      <c r="E224" s="135"/>
      <c r="F224" s="190">
        <v>2</v>
      </c>
      <c r="G224" s="190"/>
      <c r="H224" s="139">
        <f t="shared" si="57"/>
        <v>0</v>
      </c>
      <c r="I224" s="139">
        <f t="shared" si="57"/>
        <v>0</v>
      </c>
      <c r="J224" s="135"/>
      <c r="K224" s="190">
        <f>F224</f>
        <v>2</v>
      </c>
      <c r="L224" s="190"/>
      <c r="M224" s="139">
        <f>ROUND($K224*D224,0)</f>
        <v>0</v>
      </c>
      <c r="O224" s="149" t="s">
        <v>103</v>
      </c>
      <c r="P224" s="150">
        <f>'Exhibit B(Rate Spread)'!M20*1000</f>
        <v>44191130.817419387</v>
      </c>
      <c r="S224" s="145">
        <f>K224-'Order(Exhibit B)'!K224</f>
        <v>0</v>
      </c>
      <c r="T224" s="115">
        <f>M224-'Order(Exhibit B)'!M224</f>
        <v>0</v>
      </c>
    </row>
    <row r="225" spans="1:20">
      <c r="A225" s="136" t="s">
        <v>109</v>
      </c>
      <c r="C225" s="135">
        <f t="shared" si="56"/>
        <v>22218</v>
      </c>
      <c r="D225" s="135">
        <f t="shared" si="56"/>
        <v>22691.257000623798</v>
      </c>
      <c r="E225" s="135"/>
      <c r="F225" s="138">
        <v>-0.5</v>
      </c>
      <c r="G225" s="138"/>
      <c r="H225" s="139">
        <f t="shared" si="57"/>
        <v>-11109</v>
      </c>
      <c r="I225" s="139">
        <f t="shared" si="57"/>
        <v>-11346</v>
      </c>
      <c r="J225" s="135"/>
      <c r="K225" s="138">
        <f>F225</f>
        <v>-0.5</v>
      </c>
      <c r="L225" s="138"/>
      <c r="M225" s="139">
        <f>ROUND($K225*D225,0)</f>
        <v>-11346</v>
      </c>
      <c r="O225" s="152" t="s">
        <v>105</v>
      </c>
      <c r="P225" s="153">
        <f>P224-P223</f>
        <v>-37.18258061259985</v>
      </c>
      <c r="S225" s="145">
        <f>K225-'Order(Exhibit B)'!K225</f>
        <v>0</v>
      </c>
      <c r="T225" s="115">
        <f>M225-'Order(Exhibit B)'!M225</f>
        <v>0</v>
      </c>
    </row>
    <row r="226" spans="1:20" s="169" customFormat="1">
      <c r="A226" s="224" t="s">
        <v>153</v>
      </c>
      <c r="C226" s="322"/>
      <c r="D226" s="322">
        <f>D232</f>
        <v>39064692.169739261</v>
      </c>
      <c r="E226" s="322"/>
      <c r="F226" s="323"/>
      <c r="G226" s="324"/>
      <c r="H226" s="325"/>
      <c r="I226" s="325"/>
      <c r="J226" s="322"/>
      <c r="K226" s="323">
        <f>ROUND(SUM(M232:M237,-M228,-M231)/SUM(D226,D227/P235,D229/P236,D230/(P235*P236))*100,P8)</f>
        <v>26.626799999999999</v>
      </c>
      <c r="L226" s="324" t="s">
        <v>112</v>
      </c>
      <c r="M226" s="325">
        <f t="shared" ref="M226:M237" si="58">ROUND($K226*D226/100,0)</f>
        <v>10401677</v>
      </c>
      <c r="S226" s="326">
        <f>K226-'Order(Exhibit B)'!K226</f>
        <v>8.2799999999998875E-2</v>
      </c>
      <c r="T226" s="327">
        <f>M226-'Order(Exhibit B)'!M226</f>
        <v>32345</v>
      </c>
    </row>
    <row r="227" spans="1:20" s="169" customFormat="1">
      <c r="A227" s="224" t="s">
        <v>154</v>
      </c>
      <c r="C227" s="322"/>
      <c r="D227" s="322">
        <f t="shared" ref="D227:D230" si="59">D233</f>
        <v>78664169.080060273</v>
      </c>
      <c r="E227" s="322"/>
      <c r="F227" s="323"/>
      <c r="G227" s="324"/>
      <c r="H227" s="325"/>
      <c r="I227" s="325"/>
      <c r="J227" s="322"/>
      <c r="K227" s="323">
        <f>ROUND(K226/P235,P8)</f>
        <v>9.7499000000000002</v>
      </c>
      <c r="L227" s="324" t="s">
        <v>112</v>
      </c>
      <c r="M227" s="325">
        <f t="shared" si="58"/>
        <v>7669678</v>
      </c>
      <c r="S227" s="326">
        <f>K227-'Order(Exhibit B)'!K227</f>
        <v>3.0300000000000438E-2</v>
      </c>
      <c r="T227" s="327">
        <f>M227-'Order(Exhibit B)'!M227</f>
        <v>23835</v>
      </c>
    </row>
    <row r="228" spans="1:20" s="169" customFormat="1">
      <c r="A228" s="224" t="s">
        <v>155</v>
      </c>
      <c r="C228" s="322"/>
      <c r="D228" s="322">
        <v>105112324.92530769</v>
      </c>
      <c r="E228" s="322"/>
      <c r="F228" s="323"/>
      <c r="G228" s="324"/>
      <c r="H228" s="325"/>
      <c r="I228" s="325"/>
      <c r="J228" s="322"/>
      <c r="K228" s="323">
        <f>ROUND(K234*$P$237,$P$8)</f>
        <v>-2.8580999999999999</v>
      </c>
      <c r="L228" s="324" t="s">
        <v>112</v>
      </c>
      <c r="M228" s="325">
        <f t="shared" si="58"/>
        <v>-3004215</v>
      </c>
      <c r="R228" s="328">
        <f>D228/(D226+D227)</f>
        <v>0.89283395600232796</v>
      </c>
      <c r="S228" s="326">
        <f>K228-'Order(Exhibit B)'!K228</f>
        <v>-8.8999999999996859E-3</v>
      </c>
      <c r="T228" s="327">
        <f>M228-'Order(Exhibit B)'!M228</f>
        <v>-9355</v>
      </c>
    </row>
    <row r="229" spans="1:20" s="169" customFormat="1">
      <c r="A229" s="224" t="s">
        <v>156</v>
      </c>
      <c r="C229" s="322"/>
      <c r="D229" s="322">
        <f t="shared" si="59"/>
        <v>65062862.331874683</v>
      </c>
      <c r="E229" s="322"/>
      <c r="F229" s="323"/>
      <c r="G229" s="324"/>
      <c r="H229" s="325"/>
      <c r="I229" s="325"/>
      <c r="J229" s="322"/>
      <c r="K229" s="323">
        <f>ROUND(K226/P236,P8)</f>
        <v>23.563500000000001</v>
      </c>
      <c r="L229" s="324" t="s">
        <v>112</v>
      </c>
      <c r="M229" s="325">
        <f t="shared" si="58"/>
        <v>15331088</v>
      </c>
      <c r="R229" s="328"/>
      <c r="S229" s="326">
        <f>K229-'Order(Exhibit B)'!K229</f>
        <v>7.3199999999999932E-2</v>
      </c>
      <c r="T229" s="327">
        <f>M229-'Order(Exhibit B)'!M229</f>
        <v>47626</v>
      </c>
    </row>
    <row r="230" spans="1:20" s="169" customFormat="1">
      <c r="A230" s="224" t="s">
        <v>157</v>
      </c>
      <c r="C230" s="322"/>
      <c r="D230" s="322">
        <f t="shared" si="59"/>
        <v>155552105.0802134</v>
      </c>
      <c r="E230" s="322"/>
      <c r="F230" s="323"/>
      <c r="G230" s="324"/>
      <c r="H230" s="325"/>
      <c r="I230" s="325"/>
      <c r="J230" s="322"/>
      <c r="K230" s="323">
        <f>ROUND(K227/P236,P8)</f>
        <v>8.6281999999999996</v>
      </c>
      <c r="L230" s="324" t="s">
        <v>112</v>
      </c>
      <c r="M230" s="325">
        <f t="shared" si="58"/>
        <v>13421347</v>
      </c>
      <c r="R230" s="328"/>
      <c r="S230" s="326">
        <f>K230-'Order(Exhibit B)'!K230</f>
        <v>2.6799999999999713E-2</v>
      </c>
      <c r="T230" s="327">
        <f>M230-'Order(Exhibit B)'!M230</f>
        <v>41688</v>
      </c>
    </row>
    <row r="231" spans="1:20" s="169" customFormat="1">
      <c r="A231" s="224" t="s">
        <v>158</v>
      </c>
      <c r="C231" s="322"/>
      <c r="D231" s="322">
        <v>196368932.85236108</v>
      </c>
      <c r="E231" s="322"/>
      <c r="F231" s="323"/>
      <c r="G231" s="324"/>
      <c r="H231" s="325"/>
      <c r="I231" s="325"/>
      <c r="J231" s="322"/>
      <c r="K231" s="323">
        <f>ROUND(K237*$P$237,$P$8)</f>
        <v>-2.5293000000000001</v>
      </c>
      <c r="L231" s="324" t="s">
        <v>112</v>
      </c>
      <c r="M231" s="325">
        <f t="shared" si="58"/>
        <v>-4966759</v>
      </c>
      <c r="R231" s="328">
        <f>D231/(D229+D230)</f>
        <v>0.89009796187383017</v>
      </c>
      <c r="S231" s="326">
        <f>K231-'Order(Exhibit B)'!K231</f>
        <v>-7.8000000000000291E-3</v>
      </c>
      <c r="T231" s="327">
        <f>M231-'Order(Exhibit B)'!M231</f>
        <v>-15316</v>
      </c>
    </row>
    <row r="232" spans="1:20">
      <c r="A232" s="136" t="s">
        <v>159</v>
      </c>
      <c r="C232" s="135">
        <f t="shared" ref="C232:D239" si="60">C253+C274+C295</f>
        <v>44332976</v>
      </c>
      <c r="D232" s="135">
        <f t="shared" si="60"/>
        <v>39064692.169739261</v>
      </c>
      <c r="E232" s="135"/>
      <c r="F232" s="198">
        <v>28.156199999999998</v>
      </c>
      <c r="G232" s="163" t="s">
        <v>112</v>
      </c>
      <c r="H232" s="139">
        <f t="shared" ref="H232:I237" si="61">ROUND($F232*C232/100,0)</f>
        <v>12482481</v>
      </c>
      <c r="I232" s="139">
        <f t="shared" si="61"/>
        <v>10999133</v>
      </c>
      <c r="J232" s="135"/>
      <c r="K232" s="198">
        <f t="shared" ref="K232:K237" si="62">ROUND(F232*(1+$P$234),$P$8)</f>
        <v>28.962199999999999</v>
      </c>
      <c r="L232" s="163" t="s">
        <v>112</v>
      </c>
      <c r="M232" s="139">
        <f t="shared" si="58"/>
        <v>11313994</v>
      </c>
      <c r="O232" s="146" t="s">
        <v>108</v>
      </c>
      <c r="P232" s="192">
        <f>P223/(I241+I325)-1</f>
        <v>2.7279512856892119E-2</v>
      </c>
      <c r="R232" s="164"/>
      <c r="S232" s="145">
        <f>K232-'Order(Exhibit B)'!K232</f>
        <v>9.0099999999999625E-2</v>
      </c>
      <c r="T232" s="115">
        <f>M232-'Order(Exhibit B)'!M232</f>
        <v>35197</v>
      </c>
    </row>
    <row r="233" spans="1:20">
      <c r="A233" s="136" t="s">
        <v>160</v>
      </c>
      <c r="C233" s="135">
        <f t="shared" si="60"/>
        <v>90058491.528495118</v>
      </c>
      <c r="D233" s="135">
        <f t="shared" si="60"/>
        <v>78664169.080060273</v>
      </c>
      <c r="E233" s="135"/>
      <c r="F233" s="198">
        <v>10.309899999999999</v>
      </c>
      <c r="G233" s="163" t="s">
        <v>112</v>
      </c>
      <c r="H233" s="139">
        <f t="shared" si="61"/>
        <v>9284940</v>
      </c>
      <c r="I233" s="139">
        <f t="shared" si="61"/>
        <v>8110197</v>
      </c>
      <c r="J233" s="135"/>
      <c r="K233" s="198">
        <f t="shared" si="62"/>
        <v>10.605</v>
      </c>
      <c r="L233" s="163" t="s">
        <v>112</v>
      </c>
      <c r="M233" s="139">
        <f t="shared" si="58"/>
        <v>8342335</v>
      </c>
      <c r="O233" s="149" t="s">
        <v>110</v>
      </c>
      <c r="P233" s="191">
        <f>P224/(I241+I325)-1</f>
        <v>2.7278648500844715E-2</v>
      </c>
      <c r="R233" s="164"/>
      <c r="S233" s="145">
        <f>K233-'Order(Exhibit B)'!K233</f>
        <v>3.3000000000001251E-2</v>
      </c>
      <c r="T233" s="115">
        <f>M233-'Order(Exhibit B)'!M233</f>
        <v>25959</v>
      </c>
    </row>
    <row r="234" spans="1:20">
      <c r="A234" s="136" t="s">
        <v>161</v>
      </c>
      <c r="C234" s="135">
        <f t="shared" si="60"/>
        <v>62158707</v>
      </c>
      <c r="D234" s="135">
        <f t="shared" si="60"/>
        <v>54474169.371769935</v>
      </c>
      <c r="E234" s="135"/>
      <c r="F234" s="198">
        <v>-8.335799999999999</v>
      </c>
      <c r="G234" s="163" t="s">
        <v>112</v>
      </c>
      <c r="H234" s="139">
        <f t="shared" si="61"/>
        <v>-5181425</v>
      </c>
      <c r="I234" s="139">
        <f t="shared" si="61"/>
        <v>-4540858</v>
      </c>
      <c r="J234" s="135"/>
      <c r="K234" s="198">
        <f t="shared" si="62"/>
        <v>-8.5744000000000007</v>
      </c>
      <c r="L234" s="163" t="s">
        <v>112</v>
      </c>
      <c r="M234" s="139">
        <f t="shared" si="58"/>
        <v>-4670833</v>
      </c>
      <c r="O234" s="167" t="s">
        <v>162</v>
      </c>
      <c r="P234" s="194">
        <f>(P224-SUM(M223:M225,M238:M239,M307:M309,M322:M323))/SUM(I232:I237,I316:I321)-1</f>
        <v>2.8625324004385E-2</v>
      </c>
      <c r="Q234" s="162">
        <f>K234/K237</f>
        <v>1.1299947285187137</v>
      </c>
      <c r="R234" s="164">
        <f>D234/(D232+D233)</f>
        <v>0.46270870875227033</v>
      </c>
      <c r="S234" s="145">
        <f>K234-'Order(Exhibit B)'!K234</f>
        <v>-2.6699999999999946E-2</v>
      </c>
      <c r="T234" s="115">
        <f>M234-'Order(Exhibit B)'!M234</f>
        <v>-14544</v>
      </c>
    </row>
    <row r="235" spans="1:20">
      <c r="A235" s="136" t="s">
        <v>163</v>
      </c>
      <c r="C235" s="135">
        <f t="shared" si="60"/>
        <v>76731786</v>
      </c>
      <c r="D235" s="135">
        <f t="shared" si="60"/>
        <v>65062862.331874683</v>
      </c>
      <c r="E235" s="135"/>
      <c r="F235" s="198">
        <v>24.916999999999998</v>
      </c>
      <c r="G235" s="163" t="s">
        <v>112</v>
      </c>
      <c r="H235" s="139">
        <f t="shared" si="61"/>
        <v>19119259</v>
      </c>
      <c r="I235" s="139">
        <f t="shared" si="61"/>
        <v>16211713</v>
      </c>
      <c r="J235" s="135"/>
      <c r="K235" s="198">
        <f t="shared" si="62"/>
        <v>25.630299999999998</v>
      </c>
      <c r="L235" s="163" t="s">
        <v>112</v>
      </c>
      <c r="M235" s="139">
        <f t="shared" si="58"/>
        <v>16675807</v>
      </c>
      <c r="O235" s="132" t="s">
        <v>164</v>
      </c>
      <c r="P235" s="186">
        <f>F232/F233</f>
        <v>2.7309867215006935</v>
      </c>
      <c r="Q235" s="186">
        <f>K232/K233</f>
        <v>2.730994813767091</v>
      </c>
      <c r="R235" s="164"/>
      <c r="S235" s="145">
        <f>K235-'Order(Exhibit B)'!K235</f>
        <v>7.9799999999998761E-2</v>
      </c>
      <c r="T235" s="115">
        <f>M235-'Order(Exhibit B)'!M235</f>
        <v>51920</v>
      </c>
    </row>
    <row r="236" spans="1:20">
      <c r="A236" s="136" t="s">
        <v>165</v>
      </c>
      <c r="C236" s="135">
        <f t="shared" si="60"/>
        <v>182776101.3606962</v>
      </c>
      <c r="D236" s="135">
        <f t="shared" si="60"/>
        <v>155552105.0802134</v>
      </c>
      <c r="E236" s="135"/>
      <c r="F236" s="198">
        <v>9.1237999999999992</v>
      </c>
      <c r="G236" s="163" t="s">
        <v>112</v>
      </c>
      <c r="H236" s="139">
        <f t="shared" si="61"/>
        <v>16676126</v>
      </c>
      <c r="I236" s="139">
        <f t="shared" si="61"/>
        <v>14192263</v>
      </c>
      <c r="J236" s="135"/>
      <c r="K236" s="198">
        <f t="shared" si="62"/>
        <v>9.3849999999999998</v>
      </c>
      <c r="L236" s="163" t="s">
        <v>112</v>
      </c>
      <c r="M236" s="139">
        <f t="shared" si="58"/>
        <v>14598565</v>
      </c>
      <c r="O236" s="132" t="s">
        <v>166</v>
      </c>
      <c r="P236" s="186">
        <v>1.1299999999999999</v>
      </c>
      <c r="Q236" s="162">
        <f>K232/K235</f>
        <v>1.1299984783634995</v>
      </c>
      <c r="R236" s="164"/>
      <c r="S236" s="145">
        <f>K236-'Order(Exhibit B)'!K236</f>
        <v>2.9199999999999449E-2</v>
      </c>
      <c r="T236" s="115">
        <f>M236-'Order(Exhibit B)'!M236</f>
        <v>45421</v>
      </c>
    </row>
    <row r="237" spans="1:20">
      <c r="A237" s="136" t="s">
        <v>167</v>
      </c>
      <c r="C237" s="135">
        <f t="shared" si="60"/>
        <v>114709599</v>
      </c>
      <c r="D237" s="135">
        <f t="shared" si="60"/>
        <v>97614934.775771841</v>
      </c>
      <c r="E237" s="135"/>
      <c r="F237" s="198">
        <v>-7.3768000000000002</v>
      </c>
      <c r="G237" s="163" t="s">
        <v>112</v>
      </c>
      <c r="H237" s="139">
        <f t="shared" si="61"/>
        <v>-8461898</v>
      </c>
      <c r="I237" s="139">
        <f t="shared" si="61"/>
        <v>-7200859</v>
      </c>
      <c r="J237" s="135"/>
      <c r="K237" s="198">
        <f t="shared" si="62"/>
        <v>-7.5880000000000001</v>
      </c>
      <c r="L237" s="163" t="s">
        <v>112</v>
      </c>
      <c r="M237" s="139">
        <f t="shared" si="58"/>
        <v>-7407021</v>
      </c>
      <c r="O237" s="132" t="s">
        <v>168</v>
      </c>
      <c r="P237" s="186">
        <f>1/3</f>
        <v>0.33333333333333331</v>
      </c>
      <c r="R237" s="164">
        <f>D237/(D235+D236)</f>
        <v>0.44246741697011105</v>
      </c>
      <c r="S237" s="145">
        <f>K237-'Order(Exhibit B)'!K237</f>
        <v>-2.3600000000000065E-2</v>
      </c>
      <c r="T237" s="115">
        <f>M237-'Order(Exhibit B)'!M237</f>
        <v>-23037</v>
      </c>
    </row>
    <row r="238" spans="1:20">
      <c r="A238" s="136" t="s">
        <v>150</v>
      </c>
      <c r="C238" s="135">
        <f t="shared" si="60"/>
        <v>189093.72131147521</v>
      </c>
      <c r="D238" s="135">
        <f t="shared" si="60"/>
        <v>161140</v>
      </c>
      <c r="E238" s="135"/>
      <c r="F238" s="138">
        <v>-0.61</v>
      </c>
      <c r="G238" s="138"/>
      <c r="H238" s="139">
        <f>ROUND($F238*C238,0)</f>
        <v>-115347</v>
      </c>
      <c r="I238" s="139">
        <f>ROUND($F238*D238,0)</f>
        <v>-98295</v>
      </c>
      <c r="J238" s="135"/>
      <c r="K238" s="138">
        <f>F238</f>
        <v>-0.61</v>
      </c>
      <c r="L238" s="138"/>
      <c r="M238" s="139">
        <f>ROUND($K238*D238,0)</f>
        <v>-98295</v>
      </c>
      <c r="O238" s="114" t="s">
        <v>169</v>
      </c>
      <c r="P238" s="56">
        <f>SUM(M226:M231)</f>
        <v>38852816</v>
      </c>
      <c r="S238" s="145">
        <f>K238-'Order(Exhibit B)'!K238</f>
        <v>0</v>
      </c>
      <c r="T238" s="115">
        <f>M238-'Order(Exhibit B)'!M238</f>
        <v>0</v>
      </c>
    </row>
    <row r="239" spans="1:20">
      <c r="A239" s="172" t="s">
        <v>123</v>
      </c>
      <c r="C239" s="135">
        <f t="shared" si="60"/>
        <v>25118400</v>
      </c>
      <c r="D239" s="135">
        <f t="shared" si="60"/>
        <v>21401258</v>
      </c>
      <c r="E239" s="135"/>
      <c r="F239" s="193">
        <v>7.125</v>
      </c>
      <c r="G239" s="199" t="s">
        <v>112</v>
      </c>
      <c r="H239" s="139">
        <f>ROUND($F239*C239/100,0)</f>
        <v>1789686</v>
      </c>
      <c r="I239" s="139">
        <f>ROUND($F239*D239/100,0)</f>
        <v>1524840</v>
      </c>
      <c r="J239" s="135"/>
      <c r="K239" s="193">
        <f>F239</f>
        <v>7.125</v>
      </c>
      <c r="L239" s="199" t="s">
        <v>112</v>
      </c>
      <c r="M239" s="139">
        <f>ROUND($K239*D239/100,0)</f>
        <v>1524840</v>
      </c>
      <c r="O239" s="114" t="s">
        <v>170</v>
      </c>
      <c r="P239" s="56">
        <f>SUM(M232:M237)</f>
        <v>38852847</v>
      </c>
      <c r="S239" s="145">
        <f>K239-'Order(Exhibit B)'!K239</f>
        <v>0</v>
      </c>
      <c r="T239" s="115">
        <f>M239-'Order(Exhibit B)'!M239</f>
        <v>0</v>
      </c>
    </row>
    <row r="240" spans="1:20">
      <c r="A240" s="172" t="s">
        <v>125</v>
      </c>
      <c r="B240" s="173"/>
      <c r="C240" s="135">
        <f>C261+C282+C303</f>
        <v>2649707</v>
      </c>
      <c r="D240" s="135"/>
      <c r="E240" s="135"/>
      <c r="F240" s="174"/>
      <c r="G240" s="13"/>
      <c r="H240" s="139">
        <f>H261+H282+H303</f>
        <v>317883</v>
      </c>
      <c r="I240" s="139"/>
      <c r="J240" s="135"/>
      <c r="K240" s="174"/>
      <c r="L240" s="13"/>
      <c r="M240" s="139"/>
      <c r="N240" s="164"/>
      <c r="O240" s="164"/>
      <c r="P240" s="187"/>
      <c r="S240" s="145">
        <f>K240-'Order(Exhibit B)'!K240</f>
        <v>0</v>
      </c>
      <c r="T240" s="115">
        <f>M240-'Order(Exhibit B)'!M240</f>
        <v>0</v>
      </c>
    </row>
    <row r="241" spans="1:20" ht="16.5" thickBot="1">
      <c r="A241" s="176" t="s">
        <v>127</v>
      </c>
      <c r="B241" s="177"/>
      <c r="C241" s="178">
        <f t="shared" ref="C241:D241" si="63">C262+C283+C304</f>
        <v>421667461.88919133</v>
      </c>
      <c r="D241" s="178">
        <f t="shared" si="63"/>
        <v>359745086.66188765</v>
      </c>
      <c r="E241" s="178"/>
      <c r="F241" s="177"/>
      <c r="G241" s="177"/>
      <c r="H241" s="179">
        <f>SUM(H223:H240)</f>
        <v>47590807</v>
      </c>
      <c r="I241" s="179">
        <f>SUM(I223:I240)</f>
        <v>40916968</v>
      </c>
      <c r="J241" s="178"/>
      <c r="K241" s="177"/>
      <c r="L241" s="177"/>
      <c r="M241" s="179">
        <f>SUM(M223:M225,M232:M240)</f>
        <v>42030871</v>
      </c>
      <c r="O241" s="132" t="s">
        <v>108</v>
      </c>
      <c r="P241" s="131">
        <f>M241/I241-1</f>
        <v>2.7223498085195308E-2</v>
      </c>
      <c r="R241" s="114">
        <f>SUM(M226:M231)-SUM(M232:M237)</f>
        <v>-31</v>
      </c>
      <c r="S241" s="145">
        <f>K241-'Order(Exhibit B)'!K241</f>
        <v>0</v>
      </c>
      <c r="T241" s="115">
        <f>M241-'Order(Exhibit B)'!M241</f>
        <v>120916</v>
      </c>
    </row>
    <row r="242" spans="1:20" ht="16.5" thickTop="1">
      <c r="C242" s="135"/>
      <c r="D242" s="135"/>
      <c r="E242" s="135"/>
      <c r="J242" s="135"/>
      <c r="S242" s="145">
        <f>K242-'Order(Exhibit B)'!K242</f>
        <v>0</v>
      </c>
      <c r="T242" s="115">
        <f>M242-'Order(Exhibit B)'!M242</f>
        <v>0</v>
      </c>
    </row>
    <row r="243" spans="1:20">
      <c r="A243" s="133" t="s">
        <v>460</v>
      </c>
      <c r="C243" s="135"/>
      <c r="D243" s="135"/>
      <c r="E243" s="135"/>
      <c r="F243" s="193"/>
      <c r="G243" s="193"/>
      <c r="J243" s="135"/>
      <c r="K243" s="193"/>
      <c r="L243" s="193"/>
      <c r="S243" s="145">
        <f>K243-'Order(Exhibit B)'!K243</f>
        <v>0</v>
      </c>
      <c r="T243" s="115">
        <f>M243-'Order(Exhibit B)'!M243</f>
        <v>0</v>
      </c>
    </row>
    <row r="244" spans="1:20">
      <c r="A244" s="136" t="s">
        <v>143</v>
      </c>
      <c r="C244" s="135">
        <v>28382.232452830202</v>
      </c>
      <c r="D244" s="135">
        <v>29116.912185631401</v>
      </c>
      <c r="E244" s="135"/>
      <c r="F244" s="138">
        <v>53</v>
      </c>
      <c r="G244" s="138"/>
      <c r="H244" s="139">
        <f t="shared" ref="H244:I246" si="64">ROUND($F244*C244,0)</f>
        <v>1504258</v>
      </c>
      <c r="I244" s="139">
        <f t="shared" si="64"/>
        <v>1543196</v>
      </c>
      <c r="J244" s="135"/>
      <c r="K244" s="138">
        <f>K$223</f>
        <v>54</v>
      </c>
      <c r="L244" s="138"/>
      <c r="M244" s="139">
        <f>ROUND($K244*D244,0)</f>
        <v>1572313</v>
      </c>
      <c r="S244" s="145">
        <f>K244-'Order(Exhibit B)'!K244</f>
        <v>0</v>
      </c>
      <c r="T244" s="115">
        <f>M244-'Order(Exhibit B)'!M244</f>
        <v>0</v>
      </c>
    </row>
    <row r="245" spans="1:20">
      <c r="A245" s="136" t="s">
        <v>106</v>
      </c>
      <c r="C245" s="135">
        <v>0</v>
      </c>
      <c r="D245" s="135">
        <f>ROUND($C245*D244/$C244,0)</f>
        <v>0</v>
      </c>
      <c r="E245" s="135"/>
      <c r="F245" s="190">
        <v>2</v>
      </c>
      <c r="G245" s="190"/>
      <c r="H245" s="139">
        <f t="shared" si="64"/>
        <v>0</v>
      </c>
      <c r="I245" s="139">
        <f t="shared" si="64"/>
        <v>0</v>
      </c>
      <c r="J245" s="135"/>
      <c r="K245" s="190">
        <f>K$224</f>
        <v>2</v>
      </c>
      <c r="L245" s="190"/>
      <c r="M245" s="139">
        <f>ROUND($K245*D245,0)</f>
        <v>0</v>
      </c>
      <c r="S245" s="145">
        <f>K245-'Order(Exhibit B)'!K245</f>
        <v>0</v>
      </c>
      <c r="T245" s="115">
        <f>M245-'Order(Exhibit B)'!M245</f>
        <v>0</v>
      </c>
    </row>
    <row r="246" spans="1:20">
      <c r="A246" s="136" t="s">
        <v>109</v>
      </c>
      <c r="C246" s="135">
        <v>20862</v>
      </c>
      <c r="D246" s="135">
        <v>20238.968134200175</v>
      </c>
      <c r="E246" s="135"/>
      <c r="F246" s="138">
        <v>-0.5</v>
      </c>
      <c r="G246" s="138"/>
      <c r="H246" s="139">
        <f t="shared" si="64"/>
        <v>-10431</v>
      </c>
      <c r="I246" s="139">
        <f t="shared" si="64"/>
        <v>-10119</v>
      </c>
      <c r="J246" s="135"/>
      <c r="K246" s="138">
        <f>K$225</f>
        <v>-0.5</v>
      </c>
      <c r="L246" s="138"/>
      <c r="M246" s="139">
        <f>ROUND($K246*D246,0)</f>
        <v>-10119</v>
      </c>
      <c r="S246" s="145">
        <f>K246-'Order(Exhibit B)'!K246</f>
        <v>0</v>
      </c>
      <c r="T246" s="115">
        <f>M246-'Order(Exhibit B)'!M246</f>
        <v>0</v>
      </c>
    </row>
    <row r="247" spans="1:20">
      <c r="A247" s="136" t="s">
        <v>153</v>
      </c>
      <c r="C247" s="135"/>
      <c r="D247" s="135"/>
      <c r="E247" s="135"/>
      <c r="F247" s="198"/>
      <c r="G247" s="163"/>
      <c r="H247" s="139"/>
      <c r="I247" s="139"/>
      <c r="J247" s="135"/>
      <c r="K247" s="198"/>
      <c r="L247" s="163"/>
      <c r="M247" s="139"/>
      <c r="S247" s="145">
        <f>K247-'Order(Exhibit B)'!K247</f>
        <v>0</v>
      </c>
      <c r="T247" s="115">
        <f>M247-'Order(Exhibit B)'!M247</f>
        <v>0</v>
      </c>
    </row>
    <row r="248" spans="1:20">
      <c r="A248" s="136" t="s">
        <v>154</v>
      </c>
      <c r="C248" s="135"/>
      <c r="D248" s="135"/>
      <c r="E248" s="135"/>
      <c r="F248" s="198"/>
      <c r="G248" s="163"/>
      <c r="H248" s="139"/>
      <c r="I248" s="139"/>
      <c r="J248" s="135"/>
      <c r="K248" s="198"/>
      <c r="L248" s="163"/>
      <c r="M248" s="139"/>
      <c r="S248" s="145">
        <f>K248-'Order(Exhibit B)'!K248</f>
        <v>0</v>
      </c>
      <c r="T248" s="115">
        <f>M248-'Order(Exhibit B)'!M248</f>
        <v>0</v>
      </c>
    </row>
    <row r="249" spans="1:20">
      <c r="A249" s="136" t="s">
        <v>155</v>
      </c>
      <c r="C249" s="135"/>
      <c r="D249" s="135"/>
      <c r="E249" s="135"/>
      <c r="F249" s="198"/>
      <c r="G249" s="163"/>
      <c r="H249" s="139"/>
      <c r="I249" s="139"/>
      <c r="J249" s="135"/>
      <c r="K249" s="198"/>
      <c r="L249" s="163"/>
      <c r="M249" s="139"/>
      <c r="S249" s="145">
        <f>K249-'Order(Exhibit B)'!K249</f>
        <v>0</v>
      </c>
      <c r="T249" s="115">
        <f>M249-'Order(Exhibit B)'!M249</f>
        <v>0</v>
      </c>
    </row>
    <row r="250" spans="1:20">
      <c r="A250" s="136" t="s">
        <v>156</v>
      </c>
      <c r="C250" s="135"/>
      <c r="D250" s="135"/>
      <c r="E250" s="135"/>
      <c r="F250" s="198"/>
      <c r="G250" s="163"/>
      <c r="H250" s="139"/>
      <c r="I250" s="139"/>
      <c r="J250" s="135"/>
      <c r="K250" s="198"/>
      <c r="L250" s="163"/>
      <c r="M250" s="139"/>
      <c r="S250" s="145">
        <f>K250-'Order(Exhibit B)'!K250</f>
        <v>0</v>
      </c>
      <c r="T250" s="115">
        <f>M250-'Order(Exhibit B)'!M250</f>
        <v>0</v>
      </c>
    </row>
    <row r="251" spans="1:20">
      <c r="A251" s="136" t="s">
        <v>157</v>
      </c>
      <c r="C251" s="135"/>
      <c r="D251" s="135"/>
      <c r="E251" s="135"/>
      <c r="F251" s="198"/>
      <c r="G251" s="163"/>
      <c r="H251" s="139"/>
      <c r="I251" s="139"/>
      <c r="J251" s="135"/>
      <c r="K251" s="198"/>
      <c r="L251" s="163"/>
      <c r="M251" s="139"/>
      <c r="S251" s="145">
        <f>K251-'Order(Exhibit B)'!K251</f>
        <v>0</v>
      </c>
      <c r="T251" s="115">
        <f>M251-'Order(Exhibit B)'!M251</f>
        <v>0</v>
      </c>
    </row>
    <row r="252" spans="1:20">
      <c r="A252" s="136" t="s">
        <v>158</v>
      </c>
      <c r="C252" s="135"/>
      <c r="D252" s="135"/>
      <c r="E252" s="135"/>
      <c r="F252" s="198"/>
      <c r="G252" s="163"/>
      <c r="H252" s="139"/>
      <c r="I252" s="139"/>
      <c r="J252" s="135"/>
      <c r="K252" s="198"/>
      <c r="L252" s="163"/>
      <c r="M252" s="139"/>
      <c r="S252" s="145">
        <f>K252-'Order(Exhibit B)'!K252</f>
        <v>0</v>
      </c>
      <c r="T252" s="115">
        <f>M252-'Order(Exhibit B)'!M252</f>
        <v>0</v>
      </c>
    </row>
    <row r="253" spans="1:20">
      <c r="A253" s="136" t="s">
        <v>159</v>
      </c>
      <c r="C253" s="135">
        <v>37036282</v>
      </c>
      <c r="D253" s="135">
        <v>33807866.863956802</v>
      </c>
      <c r="E253" s="135"/>
      <c r="F253" s="198">
        <v>28.156199999999998</v>
      </c>
      <c r="G253" s="163" t="s">
        <v>112</v>
      </c>
      <c r="H253" s="139">
        <f t="shared" ref="H253:I258" si="65">ROUND($F253*C253/100,0)</f>
        <v>10428010</v>
      </c>
      <c r="I253" s="139">
        <f t="shared" si="65"/>
        <v>9519011</v>
      </c>
      <c r="J253" s="135"/>
      <c r="K253" s="198">
        <f>K$232</f>
        <v>28.962199999999999</v>
      </c>
      <c r="L253" s="163" t="s">
        <v>112</v>
      </c>
      <c r="M253" s="139">
        <f t="shared" ref="M253:M258" si="66">ROUND($K253*D253/100,0)</f>
        <v>9791502</v>
      </c>
      <c r="S253" s="145">
        <f>K253-'Order(Exhibit B)'!K253</f>
        <v>9.0099999999999625E-2</v>
      </c>
      <c r="T253" s="115">
        <f>M253-'Order(Exhibit B)'!M253</f>
        <v>30461</v>
      </c>
    </row>
    <row r="254" spans="1:20">
      <c r="A254" s="136" t="s">
        <v>160</v>
      </c>
      <c r="C254" s="135">
        <v>68953961.528495118</v>
      </c>
      <c r="D254" s="135">
        <v>62943314.642051853</v>
      </c>
      <c r="E254" s="135"/>
      <c r="F254" s="198">
        <v>10.309899999999999</v>
      </c>
      <c r="G254" s="163" t="s">
        <v>112</v>
      </c>
      <c r="H254" s="139">
        <f t="shared" si="65"/>
        <v>7109084</v>
      </c>
      <c r="I254" s="139">
        <f t="shared" si="65"/>
        <v>6489393</v>
      </c>
      <c r="J254" s="135"/>
      <c r="K254" s="198">
        <f>K$233</f>
        <v>10.605</v>
      </c>
      <c r="L254" s="163" t="s">
        <v>112</v>
      </c>
      <c r="M254" s="139">
        <f t="shared" si="66"/>
        <v>6675139</v>
      </c>
      <c r="S254" s="145">
        <f>K254-'Order(Exhibit B)'!K254</f>
        <v>3.3000000000001251E-2</v>
      </c>
      <c r="T254" s="115">
        <f>M254-'Order(Exhibit B)'!M254</f>
        <v>20772</v>
      </c>
    </row>
    <row r="255" spans="1:20">
      <c r="A255" s="136" t="s">
        <v>161</v>
      </c>
      <c r="C255" s="135">
        <v>49051171</v>
      </c>
      <c r="D255" s="135">
        <f>$C255/($C253+$C254)*(D253+D254)</f>
        <v>44775430.176527396</v>
      </c>
      <c r="E255" s="135"/>
      <c r="F255" s="198">
        <v>-8.335799999999999</v>
      </c>
      <c r="G255" s="163" t="s">
        <v>112</v>
      </c>
      <c r="H255" s="139">
        <f t="shared" si="65"/>
        <v>-4088808</v>
      </c>
      <c r="I255" s="139">
        <f t="shared" si="65"/>
        <v>-3732390</v>
      </c>
      <c r="J255" s="135"/>
      <c r="K255" s="198">
        <f>K$234</f>
        <v>-8.5744000000000007</v>
      </c>
      <c r="L255" s="163" t="s">
        <v>112</v>
      </c>
      <c r="M255" s="139">
        <f t="shared" si="66"/>
        <v>-3839224</v>
      </c>
      <c r="S255" s="145">
        <f>K255-'Order(Exhibit B)'!K255</f>
        <v>-2.6699999999999946E-2</v>
      </c>
      <c r="T255" s="115">
        <f>M255-'Order(Exhibit B)'!M255</f>
        <v>-11955</v>
      </c>
    </row>
    <row r="256" spans="1:20">
      <c r="A256" s="136" t="s">
        <v>163</v>
      </c>
      <c r="C256" s="135">
        <v>64262364</v>
      </c>
      <c r="D256" s="135">
        <v>54729635.210949637</v>
      </c>
      <c r="E256" s="135"/>
      <c r="F256" s="198">
        <v>24.916999999999998</v>
      </c>
      <c r="G256" s="163" t="s">
        <v>112</v>
      </c>
      <c r="H256" s="139">
        <f t="shared" si="65"/>
        <v>16012253</v>
      </c>
      <c r="I256" s="139">
        <f t="shared" si="65"/>
        <v>13636983</v>
      </c>
      <c r="J256" s="135"/>
      <c r="K256" s="198">
        <f>K$235</f>
        <v>25.630299999999998</v>
      </c>
      <c r="L256" s="163" t="s">
        <v>112</v>
      </c>
      <c r="M256" s="139">
        <f t="shared" si="66"/>
        <v>14027370</v>
      </c>
      <c r="S256" s="145">
        <f>K256-'Order(Exhibit B)'!K256</f>
        <v>7.9799999999998761E-2</v>
      </c>
      <c r="T256" s="115">
        <f>M256-'Order(Exhibit B)'!M256</f>
        <v>43675</v>
      </c>
    </row>
    <row r="257" spans="1:20">
      <c r="A257" s="136" t="s">
        <v>165</v>
      </c>
      <c r="C257" s="135">
        <v>151018436.3606962</v>
      </c>
      <c r="D257" s="135">
        <f>D262-D260-D253-D254-D256</f>
        <v>128616244.68326306</v>
      </c>
      <c r="E257" s="135"/>
      <c r="F257" s="198">
        <v>9.1237999999999992</v>
      </c>
      <c r="G257" s="163" t="s">
        <v>112</v>
      </c>
      <c r="H257" s="139">
        <f t="shared" si="65"/>
        <v>13778620</v>
      </c>
      <c r="I257" s="139">
        <f t="shared" si="65"/>
        <v>11734689</v>
      </c>
      <c r="J257" s="135"/>
      <c r="K257" s="198">
        <f>K$236</f>
        <v>9.3849999999999998</v>
      </c>
      <c r="L257" s="163" t="s">
        <v>112</v>
      </c>
      <c r="M257" s="139">
        <f t="shared" si="66"/>
        <v>12070635</v>
      </c>
      <c r="S257" s="145">
        <f>K257-'Order(Exhibit B)'!K257</f>
        <v>2.9199999999999449E-2</v>
      </c>
      <c r="T257" s="115">
        <f>M257-'Order(Exhibit B)'!M257</f>
        <v>37556</v>
      </c>
    </row>
    <row r="258" spans="1:20">
      <c r="A258" s="136" t="s">
        <v>167</v>
      </c>
      <c r="C258" s="135">
        <v>96197468</v>
      </c>
      <c r="D258" s="135">
        <f>$C258/($C256+$C257)*(D256+D257)</f>
        <v>81927461.178630173</v>
      </c>
      <c r="E258" s="135"/>
      <c r="F258" s="198">
        <v>-7.3768000000000002</v>
      </c>
      <c r="G258" s="163" t="s">
        <v>112</v>
      </c>
      <c r="H258" s="139">
        <f t="shared" si="65"/>
        <v>-7096295</v>
      </c>
      <c r="I258" s="139">
        <f t="shared" si="65"/>
        <v>-6043625</v>
      </c>
      <c r="J258" s="135"/>
      <c r="K258" s="198">
        <f>K$237</f>
        <v>-7.5880000000000001</v>
      </c>
      <c r="L258" s="163" t="s">
        <v>112</v>
      </c>
      <c r="M258" s="139">
        <f t="shared" si="66"/>
        <v>-6216656</v>
      </c>
      <c r="S258" s="145">
        <f>K258-'Order(Exhibit B)'!K258</f>
        <v>-2.3600000000000065E-2</v>
      </c>
      <c r="T258" s="115">
        <f>M258-'Order(Exhibit B)'!M258</f>
        <v>-19335</v>
      </c>
    </row>
    <row r="259" spans="1:20">
      <c r="A259" s="136" t="s">
        <v>150</v>
      </c>
      <c r="C259" s="135">
        <v>163191.29508196699</v>
      </c>
      <c r="D259" s="135">
        <f>ROUND($C259*D262/$C262,0)</f>
        <v>141130</v>
      </c>
      <c r="E259" s="135"/>
      <c r="F259" s="138">
        <v>-0.61</v>
      </c>
      <c r="G259" s="138"/>
      <c r="H259" s="139">
        <f>ROUND($F259*C259,0)</f>
        <v>-99547</v>
      </c>
      <c r="I259" s="139">
        <f>ROUND($F259*D259,0)</f>
        <v>-86089</v>
      </c>
      <c r="J259" s="135"/>
      <c r="K259" s="138">
        <f>K$238</f>
        <v>-0.61</v>
      </c>
      <c r="L259" s="138"/>
      <c r="M259" s="139">
        <f>ROUND($K259*D259,0)</f>
        <v>-86089</v>
      </c>
      <c r="S259" s="145">
        <f>K259-'Order(Exhibit B)'!K259</f>
        <v>0</v>
      </c>
      <c r="T259" s="115">
        <f>M259-'Order(Exhibit B)'!M259</f>
        <v>0</v>
      </c>
    </row>
    <row r="260" spans="1:20">
      <c r="A260" s="172" t="s">
        <v>123</v>
      </c>
      <c r="C260" s="135">
        <v>21635600</v>
      </c>
      <c r="D260" s="135">
        <f>ROUND($C260*D262/$C262,0)</f>
        <v>18710774</v>
      </c>
      <c r="E260" s="135"/>
      <c r="F260" s="193">
        <v>7.125</v>
      </c>
      <c r="G260" s="199" t="s">
        <v>112</v>
      </c>
      <c r="H260" s="139">
        <f>ROUND($F260*C260/100,0)</f>
        <v>1541537</v>
      </c>
      <c r="I260" s="139">
        <f>ROUND($F260*D260/100,0)</f>
        <v>1333143</v>
      </c>
      <c r="J260" s="135"/>
      <c r="K260" s="193">
        <f>K$239</f>
        <v>7.125</v>
      </c>
      <c r="L260" s="199" t="s">
        <v>112</v>
      </c>
      <c r="M260" s="139">
        <f>ROUND($K260*D260/100,0)</f>
        <v>1333143</v>
      </c>
      <c r="S260" s="145">
        <f>K260-'Order(Exhibit B)'!K260</f>
        <v>0</v>
      </c>
      <c r="T260" s="115">
        <f>M260-'Order(Exhibit B)'!M260</f>
        <v>0</v>
      </c>
    </row>
    <row r="261" spans="1:20">
      <c r="A261" s="172" t="s">
        <v>125</v>
      </c>
      <c r="B261" s="173"/>
      <c r="C261" s="135">
        <v>2610155</v>
      </c>
      <c r="D261" s="135"/>
      <c r="E261" s="135"/>
      <c r="F261" s="174"/>
      <c r="G261" s="13"/>
      <c r="H261" s="139">
        <v>298629</v>
      </c>
      <c r="I261" s="139"/>
      <c r="J261" s="135"/>
      <c r="K261" s="174"/>
      <c r="L261" s="13"/>
      <c r="M261" s="139"/>
      <c r="N261" s="164"/>
      <c r="O261" s="164"/>
      <c r="P261" s="164"/>
      <c r="S261" s="145">
        <f>K261-'Order(Exhibit B)'!K261</f>
        <v>0</v>
      </c>
      <c r="T261" s="115">
        <f>M261-'Order(Exhibit B)'!M261</f>
        <v>0</v>
      </c>
    </row>
    <row r="262" spans="1:20" ht="16.5" thickBot="1">
      <c r="A262" s="176" t="s">
        <v>127</v>
      </c>
      <c r="B262" s="177"/>
      <c r="C262" s="178">
        <f>SUM(C253:C254,C256:C257,C260:C261)</f>
        <v>345516798.88919133</v>
      </c>
      <c r="D262" s="178">
        <v>298807835.40022135</v>
      </c>
      <c r="E262" s="178"/>
      <c r="F262" s="177"/>
      <c r="G262" s="177"/>
      <c r="H262" s="179">
        <f>SUM(H244:H261)</f>
        <v>39377310</v>
      </c>
      <c r="I262" s="179">
        <f>SUM(I244:I261)</f>
        <v>34384192</v>
      </c>
      <c r="J262" s="178"/>
      <c r="K262" s="177"/>
      <c r="L262" s="177"/>
      <c r="M262" s="179">
        <f>SUM(M244:M246,M253:M261)</f>
        <v>35318014</v>
      </c>
      <c r="O262" s="132" t="s">
        <v>108</v>
      </c>
      <c r="P262" s="131">
        <f>M262/I262-1</f>
        <v>2.7158468635819721E-2</v>
      </c>
      <c r="S262" s="145">
        <f>K262-'Order(Exhibit B)'!K262</f>
        <v>0</v>
      </c>
      <c r="T262" s="115">
        <f>M262-'Order(Exhibit B)'!M262</f>
        <v>101174</v>
      </c>
    </row>
    <row r="263" spans="1:20" ht="16.5" thickTop="1">
      <c r="C263" s="135"/>
      <c r="D263" s="135"/>
      <c r="E263" s="135"/>
      <c r="J263" s="135"/>
      <c r="S263" s="145">
        <f>K263-'Order(Exhibit B)'!K263</f>
        <v>0</v>
      </c>
      <c r="T263" s="115">
        <f>M263-'Order(Exhibit B)'!M263</f>
        <v>0</v>
      </c>
    </row>
    <row r="264" spans="1:20">
      <c r="A264" s="133" t="s">
        <v>461</v>
      </c>
      <c r="C264" s="135"/>
      <c r="D264" s="135"/>
      <c r="E264" s="135"/>
      <c r="F264" s="193"/>
      <c r="G264" s="193"/>
      <c r="J264" s="135"/>
      <c r="K264" s="193"/>
      <c r="L264" s="193"/>
      <c r="S264" s="145">
        <f>K264-'Order(Exhibit B)'!K264</f>
        <v>0</v>
      </c>
      <c r="T264" s="115">
        <f>M264-'Order(Exhibit B)'!M264</f>
        <v>0</v>
      </c>
    </row>
    <row r="265" spans="1:20">
      <c r="A265" s="136" t="s">
        <v>143</v>
      </c>
      <c r="C265" s="135">
        <v>3148.6667924528301</v>
      </c>
      <c r="D265" s="135">
        <v>3168</v>
      </c>
      <c r="E265" s="135"/>
      <c r="F265" s="138">
        <v>53</v>
      </c>
      <c r="G265" s="138"/>
      <c r="H265" s="139">
        <f t="shared" ref="H265:I267" si="67">ROUND($F265*C265,0)</f>
        <v>166879</v>
      </c>
      <c r="I265" s="139">
        <f t="shared" si="67"/>
        <v>167904</v>
      </c>
      <c r="J265" s="135"/>
      <c r="K265" s="138">
        <f>K$223</f>
        <v>54</v>
      </c>
      <c r="L265" s="138"/>
      <c r="M265" s="139">
        <f>ROUND($K265*D265,0)</f>
        <v>171072</v>
      </c>
      <c r="S265" s="145">
        <f>K265-'Order(Exhibit B)'!K265</f>
        <v>0</v>
      </c>
      <c r="T265" s="115">
        <f>M265-'Order(Exhibit B)'!M265</f>
        <v>0</v>
      </c>
    </row>
    <row r="266" spans="1:20">
      <c r="A266" s="136" t="s">
        <v>106</v>
      </c>
      <c r="C266" s="135">
        <v>0</v>
      </c>
      <c r="D266" s="135">
        <f>ROUND($C266*D265/$C265,0)</f>
        <v>0</v>
      </c>
      <c r="E266" s="135"/>
      <c r="F266" s="190">
        <v>2</v>
      </c>
      <c r="G266" s="190"/>
      <c r="H266" s="139">
        <f t="shared" si="67"/>
        <v>0</v>
      </c>
      <c r="I266" s="139">
        <f t="shared" si="67"/>
        <v>0</v>
      </c>
      <c r="J266" s="135"/>
      <c r="K266" s="190">
        <f>K$224</f>
        <v>2</v>
      </c>
      <c r="L266" s="190"/>
      <c r="M266" s="139">
        <f>ROUND($K266*D266,0)</f>
        <v>0</v>
      </c>
      <c r="S266" s="145">
        <f>K266-'Order(Exhibit B)'!K266</f>
        <v>0</v>
      </c>
      <c r="T266" s="115">
        <f>M266-'Order(Exhibit B)'!M266</f>
        <v>0</v>
      </c>
    </row>
    <row r="267" spans="1:20">
      <c r="A267" s="136" t="s">
        <v>109</v>
      </c>
      <c r="C267" s="135">
        <v>1123</v>
      </c>
      <c r="D267" s="135">
        <v>2202.0553086252944</v>
      </c>
      <c r="E267" s="135"/>
      <c r="F267" s="138">
        <v>-0.5</v>
      </c>
      <c r="G267" s="138"/>
      <c r="H267" s="139">
        <f t="shared" si="67"/>
        <v>-562</v>
      </c>
      <c r="I267" s="139">
        <f t="shared" si="67"/>
        <v>-1101</v>
      </c>
      <c r="J267" s="135"/>
      <c r="K267" s="138">
        <f>K$225</f>
        <v>-0.5</v>
      </c>
      <c r="L267" s="138"/>
      <c r="M267" s="139">
        <f>ROUND($K267*D267,0)</f>
        <v>-1101</v>
      </c>
      <c r="S267" s="145">
        <f>K267-'Order(Exhibit B)'!K267</f>
        <v>0</v>
      </c>
      <c r="T267" s="115">
        <f>M267-'Order(Exhibit B)'!M267</f>
        <v>0</v>
      </c>
    </row>
    <row r="268" spans="1:20">
      <c r="A268" s="136" t="s">
        <v>153</v>
      </c>
      <c r="C268" s="135"/>
      <c r="D268" s="135"/>
      <c r="E268" s="135"/>
      <c r="F268" s="198"/>
      <c r="G268" s="163"/>
      <c r="H268" s="139"/>
      <c r="I268" s="139"/>
      <c r="J268" s="135"/>
      <c r="K268" s="198"/>
      <c r="L268" s="163"/>
      <c r="M268" s="139"/>
      <c r="S268" s="145">
        <f>K268-'Order(Exhibit B)'!K268</f>
        <v>0</v>
      </c>
      <c r="T268" s="115">
        <f>M268-'Order(Exhibit B)'!M268</f>
        <v>0</v>
      </c>
    </row>
    <row r="269" spans="1:20">
      <c r="A269" s="136" t="s">
        <v>154</v>
      </c>
      <c r="C269" s="135"/>
      <c r="D269" s="135"/>
      <c r="E269" s="135"/>
      <c r="F269" s="198"/>
      <c r="G269" s="163"/>
      <c r="H269" s="139"/>
      <c r="I269" s="139"/>
      <c r="J269" s="135"/>
      <c r="K269" s="198"/>
      <c r="L269" s="163"/>
      <c r="M269" s="139"/>
      <c r="S269" s="145">
        <f>K269-'Order(Exhibit B)'!K269</f>
        <v>0</v>
      </c>
      <c r="T269" s="115">
        <f>M269-'Order(Exhibit B)'!M269</f>
        <v>0</v>
      </c>
    </row>
    <row r="270" spans="1:20">
      <c r="A270" s="136" t="s">
        <v>155</v>
      </c>
      <c r="C270" s="135"/>
      <c r="D270" s="135"/>
      <c r="E270" s="135"/>
      <c r="F270" s="198"/>
      <c r="G270" s="163"/>
      <c r="H270" s="139"/>
      <c r="I270" s="139"/>
      <c r="J270" s="135"/>
      <c r="K270" s="198"/>
      <c r="L270" s="163"/>
      <c r="M270" s="139"/>
      <c r="S270" s="145">
        <f>K270-'Order(Exhibit B)'!K270</f>
        <v>0</v>
      </c>
      <c r="T270" s="115">
        <f>M270-'Order(Exhibit B)'!M270</f>
        <v>0</v>
      </c>
    </row>
    <row r="271" spans="1:20">
      <c r="A271" s="136" t="s">
        <v>156</v>
      </c>
      <c r="C271" s="135"/>
      <c r="D271" s="135"/>
      <c r="E271" s="135"/>
      <c r="F271" s="198"/>
      <c r="G271" s="163"/>
      <c r="H271" s="139"/>
      <c r="I271" s="139"/>
      <c r="J271" s="135"/>
      <c r="K271" s="198"/>
      <c r="L271" s="163"/>
      <c r="M271" s="139"/>
      <c r="S271" s="145">
        <f>K271-'Order(Exhibit B)'!K271</f>
        <v>0</v>
      </c>
      <c r="T271" s="115">
        <f>M271-'Order(Exhibit B)'!M271</f>
        <v>0</v>
      </c>
    </row>
    <row r="272" spans="1:20">
      <c r="A272" s="136" t="s">
        <v>157</v>
      </c>
      <c r="C272" s="135"/>
      <c r="D272" s="135"/>
      <c r="E272" s="135"/>
      <c r="F272" s="198"/>
      <c r="G272" s="163"/>
      <c r="H272" s="139"/>
      <c r="I272" s="139"/>
      <c r="J272" s="135"/>
      <c r="K272" s="198"/>
      <c r="L272" s="163"/>
      <c r="M272" s="139"/>
      <c r="S272" s="145">
        <f>K272-'Order(Exhibit B)'!K272</f>
        <v>0</v>
      </c>
      <c r="T272" s="115">
        <f>M272-'Order(Exhibit B)'!M272</f>
        <v>0</v>
      </c>
    </row>
    <row r="273" spans="1:20">
      <c r="A273" s="136" t="s">
        <v>158</v>
      </c>
      <c r="C273" s="135"/>
      <c r="D273" s="135"/>
      <c r="E273" s="135"/>
      <c r="F273" s="198"/>
      <c r="G273" s="163"/>
      <c r="H273" s="139"/>
      <c r="I273" s="139"/>
      <c r="J273" s="135"/>
      <c r="K273" s="198"/>
      <c r="L273" s="163"/>
      <c r="M273" s="139"/>
      <c r="S273" s="145">
        <f>K273-'Order(Exhibit B)'!K273</f>
        <v>0</v>
      </c>
      <c r="T273" s="115">
        <f>M273-'Order(Exhibit B)'!M273</f>
        <v>0</v>
      </c>
    </row>
    <row r="274" spans="1:20">
      <c r="A274" s="136" t="s">
        <v>159</v>
      </c>
      <c r="C274" s="135">
        <v>6925513</v>
      </c>
      <c r="D274" s="135">
        <v>4865858.7102066642</v>
      </c>
      <c r="E274" s="135"/>
      <c r="F274" s="198">
        <v>28.156199999999998</v>
      </c>
      <c r="G274" s="163" t="s">
        <v>112</v>
      </c>
      <c r="H274" s="139">
        <f t="shared" ref="H274:I279" si="68">ROUND($F274*C274/100,0)</f>
        <v>1949961</v>
      </c>
      <c r="I274" s="139">
        <f t="shared" si="68"/>
        <v>1370041</v>
      </c>
      <c r="J274" s="135"/>
      <c r="K274" s="198">
        <f>K$232</f>
        <v>28.962199999999999</v>
      </c>
      <c r="L274" s="163" t="s">
        <v>112</v>
      </c>
      <c r="M274" s="139">
        <f t="shared" ref="M274:M279" si="69">ROUND($K274*D274/100,0)</f>
        <v>1409260</v>
      </c>
      <c r="S274" s="145">
        <f>K274-'Order(Exhibit B)'!K274</f>
        <v>9.0099999999999625E-2</v>
      </c>
      <c r="T274" s="115">
        <f>M274-'Order(Exhibit B)'!M274</f>
        <v>4384</v>
      </c>
    </row>
    <row r="275" spans="1:20">
      <c r="A275" s="136" t="s">
        <v>160</v>
      </c>
      <c r="C275" s="135">
        <v>18558712</v>
      </c>
      <c r="D275" s="135">
        <v>13039333.033584218</v>
      </c>
      <c r="E275" s="135"/>
      <c r="F275" s="198">
        <v>10.309899999999999</v>
      </c>
      <c r="G275" s="163" t="s">
        <v>112</v>
      </c>
      <c r="H275" s="139">
        <f t="shared" si="68"/>
        <v>1913385</v>
      </c>
      <c r="I275" s="139">
        <f t="shared" si="68"/>
        <v>1344342</v>
      </c>
      <c r="J275" s="135"/>
      <c r="K275" s="198">
        <f>K$233</f>
        <v>10.605</v>
      </c>
      <c r="L275" s="163" t="s">
        <v>112</v>
      </c>
      <c r="M275" s="139">
        <f t="shared" si="69"/>
        <v>1382821</v>
      </c>
      <c r="S275" s="145">
        <f>K275-'Order(Exhibit B)'!K275</f>
        <v>3.3000000000001251E-2</v>
      </c>
      <c r="T275" s="115">
        <f>M275-'Order(Exhibit B)'!M275</f>
        <v>4303</v>
      </c>
    </row>
    <row r="276" spans="1:20">
      <c r="A276" s="136" t="s">
        <v>161</v>
      </c>
      <c r="C276" s="135">
        <v>11712071</v>
      </c>
      <c r="D276" s="135">
        <f>$C276/($C274+$C275)*(D274+D275)</f>
        <v>8228889.7140051397</v>
      </c>
      <c r="E276" s="135"/>
      <c r="F276" s="198">
        <v>-8.335799999999999</v>
      </c>
      <c r="G276" s="163" t="s">
        <v>112</v>
      </c>
      <c r="H276" s="139">
        <f t="shared" si="68"/>
        <v>-976295</v>
      </c>
      <c r="I276" s="139">
        <f t="shared" si="68"/>
        <v>-685944</v>
      </c>
      <c r="J276" s="135"/>
      <c r="K276" s="198">
        <f>K$234</f>
        <v>-8.5744000000000007</v>
      </c>
      <c r="L276" s="163" t="s">
        <v>112</v>
      </c>
      <c r="M276" s="139">
        <f t="shared" si="69"/>
        <v>-705578</v>
      </c>
      <c r="S276" s="145">
        <f>K276-'Order(Exhibit B)'!K276</f>
        <v>-2.6699999999999946E-2</v>
      </c>
      <c r="T276" s="115">
        <f>M276-'Order(Exhibit B)'!M276</f>
        <v>-2197</v>
      </c>
    </row>
    <row r="277" spans="1:20">
      <c r="A277" s="136" t="s">
        <v>163</v>
      </c>
      <c r="C277" s="135">
        <v>11842707</v>
      </c>
      <c r="D277" s="135">
        <v>9694526.6132431161</v>
      </c>
      <c r="E277" s="135"/>
      <c r="F277" s="198">
        <v>24.916999999999998</v>
      </c>
      <c r="G277" s="163" t="s">
        <v>112</v>
      </c>
      <c r="H277" s="139">
        <f t="shared" si="68"/>
        <v>2950847</v>
      </c>
      <c r="I277" s="139">
        <f t="shared" si="68"/>
        <v>2415585</v>
      </c>
      <c r="J277" s="135"/>
      <c r="K277" s="198">
        <f>K$235</f>
        <v>25.630299999999998</v>
      </c>
      <c r="L277" s="163" t="s">
        <v>112</v>
      </c>
      <c r="M277" s="139">
        <f t="shared" si="69"/>
        <v>2484736</v>
      </c>
      <c r="S277" s="145">
        <f>K277-'Order(Exhibit B)'!K277</f>
        <v>7.9799999999998761E-2</v>
      </c>
      <c r="T277" s="115">
        <f>M277-'Order(Exhibit B)'!M277</f>
        <v>7736</v>
      </c>
    </row>
    <row r="278" spans="1:20">
      <c r="A278" s="136" t="s">
        <v>165</v>
      </c>
      <c r="C278" s="135">
        <v>27075751</v>
      </c>
      <c r="D278" s="135">
        <f>D283-D281-D274-D275-D277</f>
        <v>22164407.90463227</v>
      </c>
      <c r="E278" s="135"/>
      <c r="F278" s="198">
        <v>9.1237999999999992</v>
      </c>
      <c r="G278" s="163" t="s">
        <v>112</v>
      </c>
      <c r="H278" s="139">
        <f t="shared" si="68"/>
        <v>2470337</v>
      </c>
      <c r="I278" s="139">
        <f t="shared" si="68"/>
        <v>2022236</v>
      </c>
      <c r="J278" s="135"/>
      <c r="K278" s="198">
        <f>K$236</f>
        <v>9.3849999999999998</v>
      </c>
      <c r="L278" s="163" t="s">
        <v>112</v>
      </c>
      <c r="M278" s="139">
        <f t="shared" si="69"/>
        <v>2080130</v>
      </c>
      <c r="S278" s="145">
        <f>K278-'Order(Exhibit B)'!K278</f>
        <v>2.9199999999999449E-2</v>
      </c>
      <c r="T278" s="115">
        <f>M278-'Order(Exhibit B)'!M278</f>
        <v>6472</v>
      </c>
    </row>
    <row r="279" spans="1:20">
      <c r="A279" s="136" t="s">
        <v>167</v>
      </c>
      <c r="C279" s="135">
        <v>15852468</v>
      </c>
      <c r="D279" s="135">
        <f>$C279/($C277+$C278)*(D277+D278)</f>
        <v>12976946.310635304</v>
      </c>
      <c r="E279" s="135"/>
      <c r="F279" s="198">
        <v>-7.3768000000000002</v>
      </c>
      <c r="G279" s="163" t="s">
        <v>112</v>
      </c>
      <c r="H279" s="139">
        <f t="shared" si="68"/>
        <v>-1169405</v>
      </c>
      <c r="I279" s="139">
        <f t="shared" si="68"/>
        <v>-957283</v>
      </c>
      <c r="J279" s="135"/>
      <c r="K279" s="198">
        <f>K$237</f>
        <v>-7.5880000000000001</v>
      </c>
      <c r="L279" s="163" t="s">
        <v>112</v>
      </c>
      <c r="M279" s="139">
        <f t="shared" si="69"/>
        <v>-984691</v>
      </c>
      <c r="S279" s="145">
        <f>K279-'Order(Exhibit B)'!K279</f>
        <v>-2.3600000000000065E-2</v>
      </c>
      <c r="T279" s="115">
        <f>M279-'Order(Exhibit B)'!M279</f>
        <v>-3063</v>
      </c>
    </row>
    <row r="280" spans="1:20">
      <c r="A280" s="136" t="s">
        <v>150</v>
      </c>
      <c r="C280" s="135">
        <v>25902.426229508201</v>
      </c>
      <c r="D280" s="135">
        <f>ROUND($C280*D283/$C283,0)</f>
        <v>20010</v>
      </c>
      <c r="E280" s="135"/>
      <c r="F280" s="138">
        <v>-0.61</v>
      </c>
      <c r="G280" s="138"/>
      <c r="H280" s="139">
        <f>ROUND($F280*C280,0)</f>
        <v>-15800</v>
      </c>
      <c r="I280" s="139">
        <f>ROUND($F280*D280,0)</f>
        <v>-12206</v>
      </c>
      <c r="J280" s="135"/>
      <c r="K280" s="138">
        <f>K$238</f>
        <v>-0.61</v>
      </c>
      <c r="L280" s="138"/>
      <c r="M280" s="139">
        <f>ROUND($K280*D280,0)</f>
        <v>-12206</v>
      </c>
      <c r="S280" s="145">
        <f>K280-'Order(Exhibit B)'!K280</f>
        <v>0</v>
      </c>
      <c r="T280" s="115">
        <f>M280-'Order(Exhibit B)'!M280</f>
        <v>0</v>
      </c>
    </row>
    <row r="281" spans="1:20">
      <c r="A281" s="172" t="s">
        <v>123</v>
      </c>
      <c r="C281" s="135">
        <v>3482800</v>
      </c>
      <c r="D281" s="135">
        <f>ROUND($C281*D283/$C283,0)</f>
        <v>2690484</v>
      </c>
      <c r="E281" s="135"/>
      <c r="F281" s="193">
        <v>7.125</v>
      </c>
      <c r="G281" s="199" t="s">
        <v>112</v>
      </c>
      <c r="H281" s="139">
        <f>ROUND($F281*C281/100,0)</f>
        <v>248150</v>
      </c>
      <c r="I281" s="139">
        <f>ROUND($F281*D281/100,0)</f>
        <v>191697</v>
      </c>
      <c r="J281" s="135"/>
      <c r="K281" s="193">
        <f>K$239</f>
        <v>7.125</v>
      </c>
      <c r="L281" s="199" t="s">
        <v>112</v>
      </c>
      <c r="M281" s="139">
        <f>ROUND($K281*D281/100,0)</f>
        <v>191697</v>
      </c>
      <c r="S281" s="145">
        <f>K281-'Order(Exhibit B)'!K281</f>
        <v>0</v>
      </c>
      <c r="T281" s="115">
        <f>M281-'Order(Exhibit B)'!M281</f>
        <v>0</v>
      </c>
    </row>
    <row r="282" spans="1:20">
      <c r="A282" s="172" t="s">
        <v>125</v>
      </c>
      <c r="B282" s="173"/>
      <c r="C282" s="135">
        <v>16388</v>
      </c>
      <c r="D282" s="135"/>
      <c r="E282" s="135"/>
      <c r="F282" s="174"/>
      <c r="G282" s="13"/>
      <c r="H282" s="139">
        <v>17058</v>
      </c>
      <c r="I282" s="139"/>
      <c r="J282" s="135"/>
      <c r="K282" s="174"/>
      <c r="L282" s="13"/>
      <c r="M282" s="139"/>
      <c r="N282" s="164"/>
      <c r="O282" s="164"/>
      <c r="P282" s="164"/>
      <c r="S282" s="145">
        <f>K282-'Order(Exhibit B)'!K282</f>
        <v>0</v>
      </c>
      <c r="T282" s="115">
        <f>M282-'Order(Exhibit B)'!M282</f>
        <v>0</v>
      </c>
    </row>
    <row r="283" spans="1:20" ht="16.5" thickBot="1">
      <c r="A283" s="176" t="s">
        <v>127</v>
      </c>
      <c r="B283" s="177"/>
      <c r="C283" s="178">
        <f>SUM(C274:C275,C277:C278,C281:C282)</f>
        <v>67901871</v>
      </c>
      <c r="D283" s="178">
        <v>52454610.261666268</v>
      </c>
      <c r="E283" s="178"/>
      <c r="F283" s="177"/>
      <c r="G283" s="177"/>
      <c r="H283" s="179">
        <f>SUM(H265:H282)</f>
        <v>7554555</v>
      </c>
      <c r="I283" s="179">
        <f>SUM(I265:I282)</f>
        <v>5855271</v>
      </c>
      <c r="J283" s="178"/>
      <c r="K283" s="177"/>
      <c r="L283" s="177"/>
      <c r="M283" s="179">
        <f>SUM(M265:M267,M274:M282)</f>
        <v>6016140</v>
      </c>
      <c r="O283" s="132" t="s">
        <v>108</v>
      </c>
      <c r="P283" s="131">
        <f>M283/I283-1</f>
        <v>2.7474219382843224E-2</v>
      </c>
      <c r="S283" s="145">
        <f>K283-'Order(Exhibit B)'!K283</f>
        <v>0</v>
      </c>
      <c r="T283" s="115">
        <f>M283-'Order(Exhibit B)'!M283</f>
        <v>17635</v>
      </c>
    </row>
    <row r="284" spans="1:20" ht="16.5" thickTop="1">
      <c r="S284" s="145">
        <f>K284-'Order(Exhibit B)'!K284</f>
        <v>0</v>
      </c>
      <c r="T284" s="115">
        <f>M284-'Order(Exhibit B)'!M284</f>
        <v>0</v>
      </c>
    </row>
    <row r="285" spans="1:20">
      <c r="A285" s="133" t="s">
        <v>462</v>
      </c>
      <c r="C285" s="135"/>
      <c r="D285" s="135"/>
      <c r="E285" s="135"/>
      <c r="F285" s="193"/>
      <c r="G285" s="193"/>
      <c r="J285" s="135"/>
      <c r="K285" s="193"/>
      <c r="L285" s="193"/>
      <c r="S285" s="145">
        <f>K285-'Order(Exhibit B)'!K285</f>
        <v>0</v>
      </c>
      <c r="T285" s="115">
        <f>M285-'Order(Exhibit B)'!M285</f>
        <v>0</v>
      </c>
    </row>
    <row r="286" spans="1:20">
      <c r="A286" s="136" t="s">
        <v>143</v>
      </c>
      <c r="C286" s="135">
        <v>359.86679245283</v>
      </c>
      <c r="D286" s="135">
        <v>360</v>
      </c>
      <c r="E286" s="135"/>
      <c r="F286" s="138">
        <v>53</v>
      </c>
      <c r="G286" s="138"/>
      <c r="H286" s="139">
        <f t="shared" ref="H286:I288" si="70">ROUND($F286*C286,0)</f>
        <v>19073</v>
      </c>
      <c r="I286" s="139">
        <f t="shared" si="70"/>
        <v>19080</v>
      </c>
      <c r="J286" s="135"/>
      <c r="K286" s="138">
        <f>K$223</f>
        <v>54</v>
      </c>
      <c r="L286" s="138"/>
      <c r="M286" s="139">
        <f>ROUND($K286*D286,0)</f>
        <v>19440</v>
      </c>
      <c r="S286" s="145">
        <f>K286-'Order(Exhibit B)'!K286</f>
        <v>0</v>
      </c>
      <c r="T286" s="115">
        <f>M286-'Order(Exhibit B)'!M286</f>
        <v>0</v>
      </c>
    </row>
    <row r="287" spans="1:20">
      <c r="A287" s="136" t="s">
        <v>106</v>
      </c>
      <c r="C287" s="135">
        <v>0</v>
      </c>
      <c r="D287" s="135">
        <f>ROUND($C287*D286/$C286,0)</f>
        <v>0</v>
      </c>
      <c r="E287" s="135"/>
      <c r="F287" s="190">
        <v>2</v>
      </c>
      <c r="G287" s="190"/>
      <c r="H287" s="139">
        <f t="shared" si="70"/>
        <v>0</v>
      </c>
      <c r="I287" s="139">
        <f t="shared" si="70"/>
        <v>0</v>
      </c>
      <c r="J287" s="135"/>
      <c r="K287" s="190">
        <f>K$224</f>
        <v>2</v>
      </c>
      <c r="L287" s="190"/>
      <c r="M287" s="139">
        <f>ROUND($K287*D287,0)</f>
        <v>0</v>
      </c>
      <c r="S287" s="145">
        <f>K287-'Order(Exhibit B)'!K287</f>
        <v>0</v>
      </c>
      <c r="T287" s="115">
        <f>M287-'Order(Exhibit B)'!M287</f>
        <v>0</v>
      </c>
    </row>
    <row r="288" spans="1:20">
      <c r="A288" s="136" t="s">
        <v>109</v>
      </c>
      <c r="C288" s="135">
        <v>233</v>
      </c>
      <c r="D288" s="135">
        <v>250.23355779832892</v>
      </c>
      <c r="E288" s="135"/>
      <c r="F288" s="138">
        <v>-0.5</v>
      </c>
      <c r="G288" s="138"/>
      <c r="H288" s="139">
        <f t="shared" si="70"/>
        <v>-117</v>
      </c>
      <c r="I288" s="139">
        <f t="shared" si="70"/>
        <v>-125</v>
      </c>
      <c r="J288" s="135"/>
      <c r="K288" s="138">
        <f>K$225</f>
        <v>-0.5</v>
      </c>
      <c r="L288" s="138"/>
      <c r="M288" s="139">
        <f>ROUND($K288*D288,0)</f>
        <v>-125</v>
      </c>
      <c r="S288" s="145">
        <f>K288-'Order(Exhibit B)'!K288</f>
        <v>0</v>
      </c>
      <c r="T288" s="115">
        <f>M288-'Order(Exhibit B)'!M288</f>
        <v>0</v>
      </c>
    </row>
    <row r="289" spans="1:20">
      <c r="A289" s="136" t="s">
        <v>153</v>
      </c>
      <c r="C289" s="135"/>
      <c r="D289" s="135"/>
      <c r="E289" s="135"/>
      <c r="F289" s="198"/>
      <c r="G289" s="163"/>
      <c r="H289" s="139"/>
      <c r="I289" s="139"/>
      <c r="J289" s="135"/>
      <c r="K289" s="198"/>
      <c r="L289" s="163"/>
      <c r="M289" s="139"/>
      <c r="S289" s="145">
        <f>K289-'Order(Exhibit B)'!K289</f>
        <v>0</v>
      </c>
      <c r="T289" s="115">
        <f>M289-'Order(Exhibit B)'!M289</f>
        <v>0</v>
      </c>
    </row>
    <row r="290" spans="1:20">
      <c r="A290" s="136" t="s">
        <v>154</v>
      </c>
      <c r="C290" s="135"/>
      <c r="D290" s="135"/>
      <c r="E290" s="135"/>
      <c r="F290" s="198"/>
      <c r="G290" s="163"/>
      <c r="H290" s="139"/>
      <c r="I290" s="139"/>
      <c r="J290" s="135"/>
      <c r="K290" s="198"/>
      <c r="L290" s="163"/>
      <c r="M290" s="139"/>
      <c r="S290" s="145">
        <f>K290-'Order(Exhibit B)'!K290</f>
        <v>0</v>
      </c>
      <c r="T290" s="115">
        <f>M290-'Order(Exhibit B)'!M290</f>
        <v>0</v>
      </c>
    </row>
    <row r="291" spans="1:20">
      <c r="A291" s="136" t="s">
        <v>155</v>
      </c>
      <c r="C291" s="135"/>
      <c r="D291" s="135"/>
      <c r="E291" s="135"/>
      <c r="F291" s="198"/>
      <c r="G291" s="163"/>
      <c r="H291" s="139"/>
      <c r="I291" s="139"/>
      <c r="J291" s="135"/>
      <c r="K291" s="198"/>
      <c r="L291" s="163"/>
      <c r="M291" s="139"/>
      <c r="S291" s="145">
        <f>K291-'Order(Exhibit B)'!K291</f>
        <v>0</v>
      </c>
      <c r="T291" s="115">
        <f>M291-'Order(Exhibit B)'!M291</f>
        <v>0</v>
      </c>
    </row>
    <row r="292" spans="1:20">
      <c r="A292" s="136" t="s">
        <v>156</v>
      </c>
      <c r="C292" s="135"/>
      <c r="D292" s="135"/>
      <c r="E292" s="135"/>
      <c r="F292" s="198"/>
      <c r="G292" s="163"/>
      <c r="H292" s="139"/>
      <c r="I292" s="139"/>
      <c r="J292" s="135"/>
      <c r="K292" s="198"/>
      <c r="L292" s="163"/>
      <c r="M292" s="139"/>
      <c r="S292" s="145">
        <f>K292-'Order(Exhibit B)'!K292</f>
        <v>0</v>
      </c>
      <c r="T292" s="115">
        <f>M292-'Order(Exhibit B)'!M292</f>
        <v>0</v>
      </c>
    </row>
    <row r="293" spans="1:20">
      <c r="A293" s="136" t="s">
        <v>157</v>
      </c>
      <c r="C293" s="135"/>
      <c r="D293" s="135"/>
      <c r="E293" s="135"/>
      <c r="F293" s="198"/>
      <c r="G293" s="163"/>
      <c r="H293" s="139"/>
      <c r="I293" s="139"/>
      <c r="J293" s="135"/>
      <c r="K293" s="198"/>
      <c r="L293" s="163"/>
      <c r="M293" s="139"/>
      <c r="S293" s="145">
        <f>K293-'Order(Exhibit B)'!K293</f>
        <v>0</v>
      </c>
      <c r="T293" s="115">
        <f>M293-'Order(Exhibit B)'!M293</f>
        <v>0</v>
      </c>
    </row>
    <row r="294" spans="1:20">
      <c r="A294" s="136" t="s">
        <v>158</v>
      </c>
      <c r="C294" s="135"/>
      <c r="D294" s="135"/>
      <c r="E294" s="135"/>
      <c r="F294" s="198"/>
      <c r="G294" s="163"/>
      <c r="H294" s="139"/>
      <c r="I294" s="139"/>
      <c r="J294" s="135"/>
      <c r="K294" s="198"/>
      <c r="L294" s="163"/>
      <c r="M294" s="139"/>
      <c r="S294" s="145">
        <f>K294-'Order(Exhibit B)'!K294</f>
        <v>0</v>
      </c>
      <c r="T294" s="115">
        <f>M294-'Order(Exhibit B)'!M294</f>
        <v>0</v>
      </c>
    </row>
    <row r="295" spans="1:20">
      <c r="A295" s="136" t="s">
        <v>159</v>
      </c>
      <c r="C295" s="135">
        <v>371181</v>
      </c>
      <c r="D295" s="135">
        <v>390966.59557579551</v>
      </c>
      <c r="E295" s="135"/>
      <c r="F295" s="198">
        <v>28.156199999999998</v>
      </c>
      <c r="G295" s="163" t="s">
        <v>112</v>
      </c>
      <c r="H295" s="139">
        <f t="shared" ref="H295:I300" si="71">ROUND($F295*C295/100,0)</f>
        <v>104510</v>
      </c>
      <c r="I295" s="139">
        <f t="shared" si="71"/>
        <v>110081</v>
      </c>
      <c r="J295" s="135"/>
      <c r="K295" s="198">
        <f>K$232</f>
        <v>28.962199999999999</v>
      </c>
      <c r="L295" s="163" t="s">
        <v>112</v>
      </c>
      <c r="M295" s="139">
        <f t="shared" ref="M295:M300" si="72">ROUND($K295*D295/100,0)</f>
        <v>113233</v>
      </c>
      <c r="S295" s="145">
        <f>K295-'Order(Exhibit B)'!K295</f>
        <v>9.0099999999999625E-2</v>
      </c>
      <c r="T295" s="115">
        <f>M295-'Order(Exhibit B)'!M295</f>
        <v>353</v>
      </c>
    </row>
    <row r="296" spans="1:20">
      <c r="A296" s="136" t="s">
        <v>160</v>
      </c>
      <c r="C296" s="135">
        <v>2545818</v>
      </c>
      <c r="D296" s="135">
        <v>2681521.4044242045</v>
      </c>
      <c r="E296" s="135"/>
      <c r="F296" s="198">
        <v>10.309899999999999</v>
      </c>
      <c r="G296" s="163" t="s">
        <v>112</v>
      </c>
      <c r="H296" s="139">
        <f t="shared" si="71"/>
        <v>262471</v>
      </c>
      <c r="I296" s="139">
        <f t="shared" si="71"/>
        <v>276462</v>
      </c>
      <c r="J296" s="135"/>
      <c r="K296" s="198">
        <f>K$233</f>
        <v>10.605</v>
      </c>
      <c r="L296" s="163" t="s">
        <v>112</v>
      </c>
      <c r="M296" s="139">
        <f t="shared" si="72"/>
        <v>284375</v>
      </c>
      <c r="S296" s="145">
        <f>K296-'Order(Exhibit B)'!K296</f>
        <v>3.3000000000001251E-2</v>
      </c>
      <c r="T296" s="115">
        <f>M296-'Order(Exhibit B)'!M296</f>
        <v>885</v>
      </c>
    </row>
    <row r="297" spans="1:20">
      <c r="A297" s="136" t="s">
        <v>161</v>
      </c>
      <c r="C297" s="135">
        <v>1395465</v>
      </c>
      <c r="D297" s="135">
        <f>$C297/($C295+$C296)*(D295+D296)</f>
        <v>1469849.481237395</v>
      </c>
      <c r="E297" s="135"/>
      <c r="F297" s="198">
        <v>-8.335799999999999</v>
      </c>
      <c r="G297" s="163" t="s">
        <v>112</v>
      </c>
      <c r="H297" s="139">
        <f t="shared" si="71"/>
        <v>-116323</v>
      </c>
      <c r="I297" s="139">
        <f t="shared" si="71"/>
        <v>-122524</v>
      </c>
      <c r="J297" s="135"/>
      <c r="K297" s="198">
        <f>K$234</f>
        <v>-8.5744000000000007</v>
      </c>
      <c r="L297" s="163" t="s">
        <v>112</v>
      </c>
      <c r="M297" s="139">
        <f t="shared" si="72"/>
        <v>-126031</v>
      </c>
      <c r="S297" s="145">
        <f>K297-'Order(Exhibit B)'!K297</f>
        <v>-2.6699999999999946E-2</v>
      </c>
      <c r="T297" s="115">
        <f>M297-'Order(Exhibit B)'!M297</f>
        <v>-393</v>
      </c>
    </row>
    <row r="298" spans="1:20">
      <c r="A298" s="136" t="s">
        <v>163</v>
      </c>
      <c r="C298" s="135">
        <v>626715</v>
      </c>
      <c r="D298" s="135">
        <v>638700.50768192695</v>
      </c>
      <c r="E298" s="135"/>
      <c r="F298" s="198">
        <v>24.916999999999998</v>
      </c>
      <c r="G298" s="163" t="s">
        <v>112</v>
      </c>
      <c r="H298" s="139">
        <f t="shared" si="71"/>
        <v>156159</v>
      </c>
      <c r="I298" s="139">
        <f t="shared" si="71"/>
        <v>159145</v>
      </c>
      <c r="J298" s="135"/>
      <c r="K298" s="198">
        <f>K$235</f>
        <v>25.630299999999998</v>
      </c>
      <c r="L298" s="163" t="s">
        <v>112</v>
      </c>
      <c r="M298" s="139">
        <f t="shared" si="72"/>
        <v>163701</v>
      </c>
      <c r="S298" s="145">
        <f>K298-'Order(Exhibit B)'!K298</f>
        <v>7.9799999999998761E-2</v>
      </c>
      <c r="T298" s="115">
        <f>M298-'Order(Exhibit B)'!M298</f>
        <v>510</v>
      </c>
    </row>
    <row r="299" spans="1:20">
      <c r="A299" s="136" t="s">
        <v>165</v>
      </c>
      <c r="C299" s="135">
        <v>4681914</v>
      </c>
      <c r="D299" s="135">
        <f>D304-D302-D295-D296-D298</f>
        <v>4771452.4923180733</v>
      </c>
      <c r="E299" s="135"/>
      <c r="F299" s="198">
        <v>9.1237999999999992</v>
      </c>
      <c r="G299" s="163" t="s">
        <v>112</v>
      </c>
      <c r="H299" s="139">
        <f t="shared" si="71"/>
        <v>427168</v>
      </c>
      <c r="I299" s="139">
        <f t="shared" si="71"/>
        <v>435338</v>
      </c>
      <c r="J299" s="135"/>
      <c r="K299" s="198">
        <f>K$236</f>
        <v>9.3849999999999998</v>
      </c>
      <c r="L299" s="163" t="s">
        <v>112</v>
      </c>
      <c r="M299" s="139">
        <f t="shared" si="72"/>
        <v>447801</v>
      </c>
      <c r="S299" s="145">
        <f>K299-'Order(Exhibit B)'!K299</f>
        <v>2.9199999999999449E-2</v>
      </c>
      <c r="T299" s="115">
        <f>M299-'Order(Exhibit B)'!M299</f>
        <v>1393</v>
      </c>
    </row>
    <row r="300" spans="1:20">
      <c r="A300" s="136" t="s">
        <v>167</v>
      </c>
      <c r="C300" s="135">
        <v>2659663</v>
      </c>
      <c r="D300" s="135">
        <f>$C300/($C298+$C299)*(D298+D299)</f>
        <v>2710527.2865063655</v>
      </c>
      <c r="E300" s="135"/>
      <c r="F300" s="198">
        <v>-7.3768000000000002</v>
      </c>
      <c r="G300" s="163" t="s">
        <v>112</v>
      </c>
      <c r="H300" s="139">
        <f t="shared" si="71"/>
        <v>-196198</v>
      </c>
      <c r="I300" s="139">
        <f t="shared" si="71"/>
        <v>-199950</v>
      </c>
      <c r="J300" s="135"/>
      <c r="K300" s="198">
        <f>K$237</f>
        <v>-7.5880000000000001</v>
      </c>
      <c r="L300" s="163" t="s">
        <v>112</v>
      </c>
      <c r="M300" s="139">
        <f t="shared" si="72"/>
        <v>-205675</v>
      </c>
      <c r="S300" s="145">
        <f>K300-'Order(Exhibit B)'!K300</f>
        <v>-2.3600000000000065E-2</v>
      </c>
      <c r="T300" s="115">
        <f>M300-'Order(Exhibit B)'!M300</f>
        <v>-640</v>
      </c>
    </row>
    <row r="301" spans="1:20">
      <c r="A301" s="136" t="s">
        <v>150</v>
      </c>
      <c r="C301" s="135">
        <v>0</v>
      </c>
      <c r="D301" s="135">
        <f>ROUND($C301*D304/$C304,0)</f>
        <v>0</v>
      </c>
      <c r="E301" s="135"/>
      <c r="F301" s="138">
        <v>-0.61</v>
      </c>
      <c r="G301" s="138"/>
      <c r="H301" s="139">
        <f>ROUND($F301*C301,0)</f>
        <v>0</v>
      </c>
      <c r="I301" s="139">
        <f>ROUND($F301*D301,0)</f>
        <v>0</v>
      </c>
      <c r="J301" s="135"/>
      <c r="K301" s="138">
        <f>K$238</f>
        <v>-0.61</v>
      </c>
      <c r="L301" s="138"/>
      <c r="M301" s="139">
        <f>ROUND($K301*D301,0)</f>
        <v>0</v>
      </c>
      <c r="S301" s="145">
        <f>K301-'Order(Exhibit B)'!K301</f>
        <v>0</v>
      </c>
      <c r="T301" s="115">
        <f>M301-'Order(Exhibit B)'!M301</f>
        <v>0</v>
      </c>
    </row>
    <row r="302" spans="1:20">
      <c r="A302" s="172" t="s">
        <v>123</v>
      </c>
      <c r="C302" s="135">
        <v>0</v>
      </c>
      <c r="D302" s="135">
        <f>ROUND($C302*D304/$C304,0)</f>
        <v>0</v>
      </c>
      <c r="E302" s="135"/>
      <c r="F302" s="193">
        <v>7.125</v>
      </c>
      <c r="G302" s="199" t="s">
        <v>112</v>
      </c>
      <c r="H302" s="139">
        <f>ROUND($F302*C302/100,0)</f>
        <v>0</v>
      </c>
      <c r="I302" s="139">
        <f>ROUND($F302*D302/100,0)</f>
        <v>0</v>
      </c>
      <c r="J302" s="135"/>
      <c r="K302" s="193">
        <f>K$239</f>
        <v>7.125</v>
      </c>
      <c r="L302" s="199" t="s">
        <v>112</v>
      </c>
      <c r="M302" s="139">
        <f>ROUND($K302*D302/100,0)</f>
        <v>0</v>
      </c>
      <c r="S302" s="145">
        <f>K302-'Order(Exhibit B)'!K302</f>
        <v>0</v>
      </c>
      <c r="T302" s="115">
        <f>M302-'Order(Exhibit B)'!M302</f>
        <v>0</v>
      </c>
    </row>
    <row r="303" spans="1:20">
      <c r="A303" s="172" t="s">
        <v>125</v>
      </c>
      <c r="B303" s="173"/>
      <c r="C303" s="135">
        <v>23164</v>
      </c>
      <c r="D303" s="135"/>
      <c r="E303" s="135"/>
      <c r="F303" s="174"/>
      <c r="G303" s="13"/>
      <c r="H303" s="139">
        <v>2196</v>
      </c>
      <c r="I303" s="139"/>
      <c r="J303" s="135"/>
      <c r="K303" s="174"/>
      <c r="L303" s="13"/>
      <c r="M303" s="139"/>
      <c r="N303" s="164"/>
      <c r="O303" s="164"/>
      <c r="P303" s="164"/>
      <c r="S303" s="145">
        <f>K303-'Order(Exhibit B)'!K303</f>
        <v>0</v>
      </c>
      <c r="T303" s="115">
        <f>M303-'Order(Exhibit B)'!M303</f>
        <v>0</v>
      </c>
    </row>
    <row r="304" spans="1:20" ht="16.5" thickBot="1">
      <c r="A304" s="176" t="s">
        <v>127</v>
      </c>
      <c r="B304" s="177"/>
      <c r="C304" s="178">
        <f>SUM(C295:C296,C298:C299,C302:C303)</f>
        <v>8248792</v>
      </c>
      <c r="D304" s="178">
        <v>8482641</v>
      </c>
      <c r="E304" s="178"/>
      <c r="F304" s="177"/>
      <c r="G304" s="177"/>
      <c r="H304" s="179">
        <f>SUM(H286:H303)</f>
        <v>658939</v>
      </c>
      <c r="I304" s="179">
        <f>SUM(I286:I303)</f>
        <v>677507</v>
      </c>
      <c r="J304" s="178"/>
      <c r="K304" s="177"/>
      <c r="L304" s="177"/>
      <c r="M304" s="179">
        <f>SUM(M286:M288,M295:M303)</f>
        <v>696719</v>
      </c>
      <c r="O304" s="132" t="s">
        <v>108</v>
      </c>
      <c r="P304" s="131">
        <f>M304/I304-1</f>
        <v>2.8356902585508381E-2</v>
      </c>
      <c r="S304" s="145">
        <f>K304-'Order(Exhibit B)'!K304</f>
        <v>0</v>
      </c>
      <c r="T304" s="115">
        <f>M304-'Order(Exhibit B)'!M304</f>
        <v>2108</v>
      </c>
    </row>
    <row r="305" spans="1:20" ht="16.5" thickTop="1">
      <c r="C305" s="135"/>
      <c r="D305" s="135"/>
      <c r="E305" s="135"/>
      <c r="J305" s="135"/>
      <c r="S305" s="145">
        <f>K305-'Order(Exhibit B)'!K305</f>
        <v>0</v>
      </c>
      <c r="T305" s="115">
        <f>M305-'Order(Exhibit B)'!M305</f>
        <v>0</v>
      </c>
    </row>
    <row r="306" spans="1:20">
      <c r="A306" s="133" t="s">
        <v>171</v>
      </c>
      <c r="C306" s="135"/>
      <c r="D306" s="135"/>
      <c r="E306" s="135"/>
      <c r="F306" s="193"/>
      <c r="G306" s="193"/>
      <c r="J306" s="135"/>
      <c r="K306" s="193"/>
      <c r="L306" s="193"/>
      <c r="S306" s="145">
        <f>K306-'Order(Exhibit B)'!K306</f>
        <v>0</v>
      </c>
      <c r="T306" s="115">
        <f>M306-'Order(Exhibit B)'!M306</f>
        <v>0</v>
      </c>
    </row>
    <row r="307" spans="1:20">
      <c r="A307" s="136" t="s">
        <v>143</v>
      </c>
      <c r="C307" s="135">
        <f t="shared" ref="C307:D315" si="73">C328+C349+C370</f>
        <v>1628.2994339622599</v>
      </c>
      <c r="D307" s="135">
        <f t="shared" si="73"/>
        <v>1284</v>
      </c>
      <c r="E307" s="135"/>
      <c r="F307" s="138">
        <v>53</v>
      </c>
      <c r="G307" s="138"/>
      <c r="H307" s="139">
        <f t="shared" ref="H307:I309" si="74">ROUND($F307*C307,0)</f>
        <v>86300</v>
      </c>
      <c r="I307" s="139">
        <f t="shared" si="74"/>
        <v>68052</v>
      </c>
      <c r="J307" s="135"/>
      <c r="K307" s="138">
        <f>K$223</f>
        <v>54</v>
      </c>
      <c r="L307" s="138"/>
      <c r="M307" s="139">
        <f>ROUND($K307*D307,0)</f>
        <v>69336</v>
      </c>
      <c r="S307" s="145">
        <f>K307-'Order(Exhibit B)'!K307</f>
        <v>0</v>
      </c>
      <c r="T307" s="115">
        <f>M307-'Order(Exhibit B)'!M307</f>
        <v>0</v>
      </c>
    </row>
    <row r="308" spans="1:20">
      <c r="A308" s="136" t="s">
        <v>106</v>
      </c>
      <c r="C308" s="135">
        <f t="shared" si="73"/>
        <v>4</v>
      </c>
      <c r="D308" s="135">
        <f t="shared" si="73"/>
        <v>3</v>
      </c>
      <c r="E308" s="135"/>
      <c r="F308" s="190">
        <v>2</v>
      </c>
      <c r="G308" s="190"/>
      <c r="H308" s="139">
        <f t="shared" si="74"/>
        <v>8</v>
      </c>
      <c r="I308" s="139">
        <f t="shared" si="74"/>
        <v>6</v>
      </c>
      <c r="J308" s="135"/>
      <c r="K308" s="190">
        <f>K$224</f>
        <v>2</v>
      </c>
      <c r="L308" s="190"/>
      <c r="M308" s="139">
        <f>ROUND($K308*D308,0)</f>
        <v>6</v>
      </c>
      <c r="S308" s="145">
        <f>K308-'Order(Exhibit B)'!K308</f>
        <v>0</v>
      </c>
      <c r="T308" s="115">
        <f>M308-'Order(Exhibit B)'!M308</f>
        <v>0</v>
      </c>
    </row>
    <row r="309" spans="1:20">
      <c r="A309" s="136" t="s">
        <v>109</v>
      </c>
      <c r="C309" s="135">
        <f t="shared" si="73"/>
        <v>640</v>
      </c>
      <c r="D309" s="135">
        <f t="shared" si="73"/>
        <v>892.49968948070659</v>
      </c>
      <c r="E309" s="135"/>
      <c r="F309" s="138">
        <v>-0.5</v>
      </c>
      <c r="G309" s="138"/>
      <c r="H309" s="139">
        <f t="shared" si="74"/>
        <v>-320</v>
      </c>
      <c r="I309" s="139">
        <f t="shared" si="74"/>
        <v>-446</v>
      </c>
      <c r="J309" s="135"/>
      <c r="K309" s="138">
        <f>K$225</f>
        <v>-0.5</v>
      </c>
      <c r="L309" s="138"/>
      <c r="M309" s="139">
        <f>ROUND($K309*D309,0)</f>
        <v>-446</v>
      </c>
      <c r="S309" s="145">
        <f>K309-'Order(Exhibit B)'!K309</f>
        <v>0</v>
      </c>
      <c r="T309" s="115">
        <f>M309-'Order(Exhibit B)'!M309</f>
        <v>0</v>
      </c>
    </row>
    <row r="310" spans="1:20">
      <c r="A310" s="136" t="s">
        <v>153</v>
      </c>
      <c r="C310" s="135"/>
      <c r="D310" s="135">
        <f t="shared" si="73"/>
        <v>0</v>
      </c>
      <c r="E310" s="135"/>
      <c r="F310" s="198"/>
      <c r="G310" s="163"/>
      <c r="H310" s="139"/>
      <c r="I310" s="139"/>
      <c r="J310" s="135"/>
      <c r="K310" s="198"/>
      <c r="L310" s="163"/>
      <c r="M310" s="139"/>
      <c r="S310" s="145">
        <f>K310-'Order(Exhibit B)'!K310</f>
        <v>0</v>
      </c>
      <c r="T310" s="115">
        <f>M310-'Order(Exhibit B)'!M310</f>
        <v>0</v>
      </c>
    </row>
    <row r="311" spans="1:20">
      <c r="A311" s="136" t="s">
        <v>154</v>
      </c>
      <c r="C311" s="135"/>
      <c r="D311" s="135">
        <f t="shared" si="73"/>
        <v>0</v>
      </c>
      <c r="E311" s="135"/>
      <c r="F311" s="198"/>
      <c r="G311" s="163"/>
      <c r="H311" s="139"/>
      <c r="I311" s="139"/>
      <c r="J311" s="135"/>
      <c r="K311" s="198"/>
      <c r="L311" s="163"/>
      <c r="M311" s="139"/>
      <c r="S311" s="145">
        <f>K311-'Order(Exhibit B)'!K311</f>
        <v>0</v>
      </c>
      <c r="T311" s="115">
        <f>M311-'Order(Exhibit B)'!M311</f>
        <v>0</v>
      </c>
    </row>
    <row r="312" spans="1:20">
      <c r="A312" s="136" t="s">
        <v>155</v>
      </c>
      <c r="C312" s="135"/>
      <c r="D312" s="135">
        <f t="shared" si="73"/>
        <v>0</v>
      </c>
      <c r="E312" s="135"/>
      <c r="F312" s="198"/>
      <c r="G312" s="163"/>
      <c r="H312" s="139"/>
      <c r="I312" s="139"/>
      <c r="J312" s="135"/>
      <c r="K312" s="198"/>
      <c r="L312" s="163"/>
      <c r="M312" s="139"/>
      <c r="S312" s="145">
        <f>K312-'Order(Exhibit B)'!K312</f>
        <v>0</v>
      </c>
      <c r="T312" s="115">
        <f>M312-'Order(Exhibit B)'!M312</f>
        <v>0</v>
      </c>
    </row>
    <row r="313" spans="1:20">
      <c r="A313" s="136" t="s">
        <v>156</v>
      </c>
      <c r="C313" s="135"/>
      <c r="D313" s="135">
        <f t="shared" si="73"/>
        <v>0</v>
      </c>
      <c r="E313" s="135"/>
      <c r="F313" s="198"/>
      <c r="G313" s="163"/>
      <c r="H313" s="139"/>
      <c r="I313" s="139"/>
      <c r="J313" s="135"/>
      <c r="K313" s="198"/>
      <c r="L313" s="163"/>
      <c r="M313" s="139"/>
      <c r="S313" s="145">
        <f>K313-'Order(Exhibit B)'!K313</f>
        <v>0</v>
      </c>
      <c r="T313" s="115">
        <f>M313-'Order(Exhibit B)'!M313</f>
        <v>0</v>
      </c>
    </row>
    <row r="314" spans="1:20">
      <c r="A314" s="136" t="s">
        <v>157</v>
      </c>
      <c r="C314" s="135"/>
      <c r="D314" s="135">
        <f t="shared" si="73"/>
        <v>0</v>
      </c>
      <c r="E314" s="135"/>
      <c r="F314" s="198"/>
      <c r="G314" s="163"/>
      <c r="H314" s="139"/>
      <c r="I314" s="139"/>
      <c r="J314" s="135"/>
      <c r="K314" s="198"/>
      <c r="L314" s="163"/>
      <c r="M314" s="139"/>
      <c r="S314" s="145">
        <f>K314-'Order(Exhibit B)'!K314</f>
        <v>0</v>
      </c>
      <c r="T314" s="115">
        <f>M314-'Order(Exhibit B)'!M314</f>
        <v>0</v>
      </c>
    </row>
    <row r="315" spans="1:20">
      <c r="A315" s="136" t="s">
        <v>158</v>
      </c>
      <c r="C315" s="135"/>
      <c r="D315" s="135">
        <f t="shared" si="73"/>
        <v>0</v>
      </c>
      <c r="E315" s="135"/>
      <c r="F315" s="198"/>
      <c r="G315" s="163"/>
      <c r="H315" s="139"/>
      <c r="I315" s="139"/>
      <c r="J315" s="135"/>
      <c r="K315" s="198"/>
      <c r="L315" s="163"/>
      <c r="M315" s="139"/>
      <c r="S315" s="145">
        <f>K315-'Order(Exhibit B)'!K315</f>
        <v>0</v>
      </c>
      <c r="T315" s="115">
        <f>M315-'Order(Exhibit B)'!M315</f>
        <v>0</v>
      </c>
    </row>
    <row r="316" spans="1:20">
      <c r="A316" s="136" t="s">
        <v>159</v>
      </c>
      <c r="C316" s="135">
        <f t="shared" ref="C316:D323" si="75">C337+C358+C379</f>
        <v>1961391</v>
      </c>
      <c r="D316" s="135">
        <f t="shared" si="75"/>
        <v>1453928.0313250141</v>
      </c>
      <c r="E316" s="135"/>
      <c r="F316" s="198">
        <v>28.156199999999998</v>
      </c>
      <c r="G316" s="163" t="s">
        <v>112</v>
      </c>
      <c r="H316" s="139">
        <f t="shared" ref="H316:I321" si="76">ROUND($F316*C316/100,0)</f>
        <v>552253</v>
      </c>
      <c r="I316" s="139">
        <f t="shared" si="76"/>
        <v>409371</v>
      </c>
      <c r="J316" s="135"/>
      <c r="K316" s="198">
        <f>K$232</f>
        <v>28.962199999999999</v>
      </c>
      <c r="L316" s="163" t="s">
        <v>112</v>
      </c>
      <c r="M316" s="139">
        <f t="shared" ref="M316:M321" si="77">ROUND($K316*D316/100,0)</f>
        <v>421090</v>
      </c>
      <c r="S316" s="145">
        <f>K316-'Order(Exhibit B)'!K316</f>
        <v>9.0099999999999625E-2</v>
      </c>
      <c r="T316" s="115">
        <f>M316-'Order(Exhibit B)'!M316</f>
        <v>1310</v>
      </c>
    </row>
    <row r="317" spans="1:20">
      <c r="A317" s="136" t="s">
        <v>160</v>
      </c>
      <c r="C317" s="135">
        <f t="shared" si="75"/>
        <v>4899030</v>
      </c>
      <c r="D317" s="135">
        <f t="shared" si="75"/>
        <v>3467623.6666006553</v>
      </c>
      <c r="E317" s="135"/>
      <c r="F317" s="198">
        <v>10.309899999999999</v>
      </c>
      <c r="G317" s="163" t="s">
        <v>112</v>
      </c>
      <c r="H317" s="139">
        <f t="shared" si="76"/>
        <v>505085</v>
      </c>
      <c r="I317" s="139">
        <f t="shared" si="76"/>
        <v>357509</v>
      </c>
      <c r="J317" s="135"/>
      <c r="K317" s="198">
        <f>K$233</f>
        <v>10.605</v>
      </c>
      <c r="L317" s="163" t="s">
        <v>112</v>
      </c>
      <c r="M317" s="139">
        <f t="shared" si="77"/>
        <v>367741</v>
      </c>
      <c r="S317" s="145">
        <f>K317-'Order(Exhibit B)'!K317</f>
        <v>3.3000000000001251E-2</v>
      </c>
      <c r="T317" s="115">
        <f>M317-'Order(Exhibit B)'!M317</f>
        <v>1144</v>
      </c>
    </row>
    <row r="318" spans="1:20">
      <c r="A318" s="136" t="s">
        <v>161</v>
      </c>
      <c r="C318" s="135">
        <f t="shared" si="75"/>
        <v>3456355</v>
      </c>
      <c r="D318" s="135">
        <f t="shared" si="75"/>
        <v>2361558.7599450094</v>
      </c>
      <c r="E318" s="135"/>
      <c r="F318" s="198">
        <v>-8.335799999999999</v>
      </c>
      <c r="G318" s="163" t="s">
        <v>112</v>
      </c>
      <c r="H318" s="139">
        <f t="shared" si="76"/>
        <v>-288115</v>
      </c>
      <c r="I318" s="139">
        <f t="shared" si="76"/>
        <v>-196855</v>
      </c>
      <c r="J318" s="135"/>
      <c r="K318" s="198">
        <f>K$234</f>
        <v>-8.5744000000000007</v>
      </c>
      <c r="L318" s="163" t="s">
        <v>112</v>
      </c>
      <c r="M318" s="139">
        <f t="shared" si="77"/>
        <v>-202489</v>
      </c>
      <c r="S318" s="145">
        <f>K318-'Order(Exhibit B)'!K318</f>
        <v>-2.6699999999999946E-2</v>
      </c>
      <c r="T318" s="115">
        <f>M318-'Order(Exhibit B)'!M318</f>
        <v>-630</v>
      </c>
    </row>
    <row r="319" spans="1:20">
      <c r="A319" s="136" t="s">
        <v>163</v>
      </c>
      <c r="C319" s="135">
        <f t="shared" si="75"/>
        <v>4813104</v>
      </c>
      <c r="D319" s="135">
        <f t="shared" si="75"/>
        <v>3700923.7553738314</v>
      </c>
      <c r="E319" s="135"/>
      <c r="F319" s="198">
        <v>24.916999999999998</v>
      </c>
      <c r="G319" s="163" t="s">
        <v>112</v>
      </c>
      <c r="H319" s="139">
        <f t="shared" si="76"/>
        <v>1199281</v>
      </c>
      <c r="I319" s="139">
        <f t="shared" si="76"/>
        <v>922159</v>
      </c>
      <c r="J319" s="135"/>
      <c r="K319" s="198">
        <f>K$235</f>
        <v>25.630299999999998</v>
      </c>
      <c r="L319" s="163" t="s">
        <v>112</v>
      </c>
      <c r="M319" s="139">
        <f t="shared" si="77"/>
        <v>948558</v>
      </c>
      <c r="S319" s="145">
        <f>K319-'Order(Exhibit B)'!K319</f>
        <v>7.9799999999998761E-2</v>
      </c>
      <c r="T319" s="115">
        <f>M319-'Order(Exhibit B)'!M319</f>
        <v>2953</v>
      </c>
    </row>
    <row r="320" spans="1:20">
      <c r="A320" s="136" t="s">
        <v>165</v>
      </c>
      <c r="C320" s="135">
        <f t="shared" si="75"/>
        <v>15614777</v>
      </c>
      <c r="D320" s="135">
        <f t="shared" si="75"/>
        <v>11696751.274406252</v>
      </c>
      <c r="E320" s="135"/>
      <c r="F320" s="198">
        <v>9.1237999999999992</v>
      </c>
      <c r="G320" s="163" t="s">
        <v>112</v>
      </c>
      <c r="H320" s="139">
        <f t="shared" si="76"/>
        <v>1424661</v>
      </c>
      <c r="I320" s="139">
        <f t="shared" si="76"/>
        <v>1067188</v>
      </c>
      <c r="J320" s="135"/>
      <c r="K320" s="198">
        <f>K$236</f>
        <v>9.3849999999999998</v>
      </c>
      <c r="L320" s="163" t="s">
        <v>112</v>
      </c>
      <c r="M320" s="139">
        <f t="shared" si="77"/>
        <v>1097740</v>
      </c>
      <c r="S320" s="145">
        <f>K320-'Order(Exhibit B)'!K320</f>
        <v>2.9199999999999449E-2</v>
      </c>
      <c r="T320" s="115">
        <f>M320-'Order(Exhibit B)'!M320</f>
        <v>3415</v>
      </c>
    </row>
    <row r="321" spans="1:20">
      <c r="A321" s="136" t="s">
        <v>167</v>
      </c>
      <c r="C321" s="135">
        <f t="shared" si="75"/>
        <v>9595873</v>
      </c>
      <c r="D321" s="135">
        <f t="shared" si="75"/>
        <v>7080778.5879569454</v>
      </c>
      <c r="E321" s="135"/>
      <c r="F321" s="198">
        <v>-7.3768000000000002</v>
      </c>
      <c r="G321" s="163" t="s">
        <v>112</v>
      </c>
      <c r="H321" s="139">
        <f t="shared" si="76"/>
        <v>-707868</v>
      </c>
      <c r="I321" s="139">
        <f t="shared" si="76"/>
        <v>-522335</v>
      </c>
      <c r="J321" s="135"/>
      <c r="K321" s="198">
        <f>K$237</f>
        <v>-7.5880000000000001</v>
      </c>
      <c r="L321" s="163" t="s">
        <v>112</v>
      </c>
      <c r="M321" s="139">
        <f t="shared" si="77"/>
        <v>-537289</v>
      </c>
      <c r="S321" s="145">
        <f>K321-'Order(Exhibit B)'!K321</f>
        <v>-2.3600000000000065E-2</v>
      </c>
      <c r="T321" s="115">
        <f>M321-'Order(Exhibit B)'!M321</f>
        <v>-1671</v>
      </c>
    </row>
    <row r="322" spans="1:20">
      <c r="A322" s="136" t="s">
        <v>150</v>
      </c>
      <c r="C322" s="135">
        <f t="shared" si="75"/>
        <v>6017</v>
      </c>
      <c r="D322" s="135">
        <f t="shared" si="75"/>
        <v>6475</v>
      </c>
      <c r="E322" s="135"/>
      <c r="F322" s="138">
        <v>-0.61</v>
      </c>
      <c r="G322" s="138"/>
      <c r="H322" s="139">
        <f>ROUND($F322*C322,0)</f>
        <v>-3670</v>
      </c>
      <c r="I322" s="139">
        <f>ROUND($F322*D322,0)</f>
        <v>-3950</v>
      </c>
      <c r="J322" s="135"/>
      <c r="K322" s="138">
        <f>K$238</f>
        <v>-0.61</v>
      </c>
      <c r="L322" s="138"/>
      <c r="M322" s="139">
        <f>ROUND($K322*D322,0)</f>
        <v>-3950</v>
      </c>
      <c r="S322" s="145">
        <f>K322-'Order(Exhibit B)'!K322</f>
        <v>0</v>
      </c>
      <c r="T322" s="115">
        <f>M322-'Order(Exhibit B)'!M322</f>
        <v>0</v>
      </c>
    </row>
    <row r="323" spans="1:20">
      <c r="A323" s="172" t="s">
        <v>123</v>
      </c>
      <c r="C323" s="135">
        <f t="shared" si="75"/>
        <v>0</v>
      </c>
      <c r="D323" s="135">
        <f t="shared" si="75"/>
        <v>0</v>
      </c>
      <c r="E323" s="135"/>
      <c r="F323" s="193">
        <v>7.125</v>
      </c>
      <c r="G323" s="199" t="s">
        <v>112</v>
      </c>
      <c r="H323" s="139">
        <f>ROUND($F323*C323/100,0)</f>
        <v>0</v>
      </c>
      <c r="I323" s="139">
        <f>ROUND($F323*D323/100,0)</f>
        <v>0</v>
      </c>
      <c r="J323" s="135"/>
      <c r="K323" s="193">
        <f>K$239</f>
        <v>7.125</v>
      </c>
      <c r="L323" s="199" t="s">
        <v>112</v>
      </c>
      <c r="M323" s="139">
        <f>ROUND($K323*D323/100,0)</f>
        <v>0</v>
      </c>
      <c r="S323" s="145">
        <f>K323-'Order(Exhibit B)'!K323</f>
        <v>0</v>
      </c>
      <c r="T323" s="115">
        <f>M323-'Order(Exhibit B)'!M323</f>
        <v>0</v>
      </c>
    </row>
    <row r="324" spans="1:20">
      <c r="A324" s="172" t="s">
        <v>125</v>
      </c>
      <c r="B324" s="173"/>
      <c r="C324" s="135">
        <f>C345+C366+C387</f>
        <v>166112</v>
      </c>
      <c r="D324" s="135"/>
      <c r="E324" s="135"/>
      <c r="F324" s="174"/>
      <c r="G324" s="13"/>
      <c r="H324" s="139">
        <f>H345+H366+H387</f>
        <v>17473</v>
      </c>
      <c r="I324" s="139"/>
      <c r="J324" s="135"/>
      <c r="K324" s="174"/>
      <c r="L324" s="13"/>
      <c r="M324" s="139"/>
      <c r="N324" s="164"/>
      <c r="O324" s="164"/>
      <c r="P324" s="164"/>
      <c r="S324" s="145">
        <f>K324-'Order(Exhibit B)'!K324</f>
        <v>0</v>
      </c>
      <c r="T324" s="115">
        <f>M324-'Order(Exhibit B)'!M324</f>
        <v>0</v>
      </c>
    </row>
    <row r="325" spans="1:20" ht="16.5" thickBot="1">
      <c r="A325" s="176" t="s">
        <v>127</v>
      </c>
      <c r="B325" s="177"/>
      <c r="C325" s="178">
        <f t="shared" ref="C325:D325" si="78">C346+C367+C388</f>
        <v>27454414</v>
      </c>
      <c r="D325" s="178">
        <f t="shared" si="78"/>
        <v>20319226.727705751</v>
      </c>
      <c r="E325" s="178"/>
      <c r="F325" s="177"/>
      <c r="G325" s="177"/>
      <c r="H325" s="179">
        <f>SUM(H307:H324)</f>
        <v>2785088</v>
      </c>
      <c r="I325" s="179">
        <f>SUM(I307:I324)</f>
        <v>2100699</v>
      </c>
      <c r="J325" s="178"/>
      <c r="K325" s="177"/>
      <c r="L325" s="177"/>
      <c r="M325" s="179">
        <f>SUM(M307:M309,M316:M324)</f>
        <v>2160297</v>
      </c>
      <c r="O325" s="132" t="s">
        <v>108</v>
      </c>
      <c r="P325" s="131">
        <f>M325/I325-1</f>
        <v>2.8370556657569601E-2</v>
      </c>
      <c r="S325" s="145">
        <f>K325-'Order(Exhibit B)'!K325</f>
        <v>0</v>
      </c>
      <c r="T325" s="115">
        <f>M325-'Order(Exhibit B)'!M325</f>
        <v>6521</v>
      </c>
    </row>
    <row r="326" spans="1:20" ht="16.5" thickTop="1">
      <c r="C326" s="135"/>
      <c r="D326" s="135"/>
      <c r="E326" s="135"/>
      <c r="J326" s="135"/>
      <c r="S326" s="145">
        <f>K326-'Order(Exhibit B)'!K326</f>
        <v>0</v>
      </c>
      <c r="T326" s="115">
        <f>M326-'Order(Exhibit B)'!M326</f>
        <v>0</v>
      </c>
    </row>
    <row r="327" spans="1:20">
      <c r="A327" s="133" t="s">
        <v>463</v>
      </c>
      <c r="C327" s="135"/>
      <c r="D327" s="135"/>
      <c r="E327" s="135"/>
      <c r="F327" s="193"/>
      <c r="G327" s="193"/>
      <c r="J327" s="135"/>
      <c r="K327" s="193"/>
      <c r="L327" s="193"/>
      <c r="S327" s="145">
        <f>K327-'Order(Exhibit B)'!K327</f>
        <v>0</v>
      </c>
      <c r="T327" s="115">
        <f>M327-'Order(Exhibit B)'!M327</f>
        <v>0</v>
      </c>
    </row>
    <row r="328" spans="1:20">
      <c r="A328" s="136" t="s">
        <v>143</v>
      </c>
      <c r="C328" s="135">
        <v>1426.6994339622599</v>
      </c>
      <c r="D328" s="135">
        <v>1092</v>
      </c>
      <c r="E328" s="135"/>
      <c r="F328" s="138">
        <v>53</v>
      </c>
      <c r="G328" s="138"/>
      <c r="H328" s="139">
        <f t="shared" ref="H328:I330" si="79">ROUND($F328*C328,0)</f>
        <v>75615</v>
      </c>
      <c r="I328" s="139">
        <f t="shared" si="79"/>
        <v>57876</v>
      </c>
      <c r="J328" s="135"/>
      <c r="K328" s="138">
        <f>K$223</f>
        <v>54</v>
      </c>
      <c r="L328" s="138"/>
      <c r="M328" s="139">
        <f>ROUND($K328*D328,0)</f>
        <v>58968</v>
      </c>
      <c r="S328" s="145">
        <f>K328-'Order(Exhibit B)'!K328</f>
        <v>0</v>
      </c>
      <c r="T328" s="115">
        <f>M328-'Order(Exhibit B)'!M328</f>
        <v>0</v>
      </c>
    </row>
    <row r="329" spans="1:20">
      <c r="A329" s="136" t="s">
        <v>106</v>
      </c>
      <c r="C329" s="135">
        <v>4</v>
      </c>
      <c r="D329" s="135">
        <f>ROUND($C329*D328/$C328,0)</f>
        <v>3</v>
      </c>
      <c r="E329" s="135"/>
      <c r="F329" s="190">
        <v>2</v>
      </c>
      <c r="G329" s="190"/>
      <c r="H329" s="139">
        <f t="shared" si="79"/>
        <v>8</v>
      </c>
      <c r="I329" s="139">
        <f t="shared" si="79"/>
        <v>6</v>
      </c>
      <c r="J329" s="135"/>
      <c r="K329" s="190">
        <f>K$224</f>
        <v>2</v>
      </c>
      <c r="L329" s="190"/>
      <c r="M329" s="139">
        <f>ROUND($K329*D329,0)</f>
        <v>6</v>
      </c>
      <c r="S329" s="145">
        <f>K329-'Order(Exhibit B)'!K329</f>
        <v>0</v>
      </c>
      <c r="T329" s="115">
        <f>M329-'Order(Exhibit B)'!M329</f>
        <v>0</v>
      </c>
    </row>
    <row r="330" spans="1:20">
      <c r="A330" s="136" t="s">
        <v>109</v>
      </c>
      <c r="C330" s="135">
        <v>568</v>
      </c>
      <c r="D330" s="135">
        <v>759.04179198826444</v>
      </c>
      <c r="E330" s="135"/>
      <c r="F330" s="138">
        <v>-0.5</v>
      </c>
      <c r="G330" s="138"/>
      <c r="H330" s="139">
        <f t="shared" si="79"/>
        <v>-284</v>
      </c>
      <c r="I330" s="139">
        <f t="shared" si="79"/>
        <v>-380</v>
      </c>
      <c r="J330" s="135"/>
      <c r="K330" s="138">
        <f>K$225</f>
        <v>-0.5</v>
      </c>
      <c r="L330" s="138"/>
      <c r="M330" s="139">
        <f>ROUND($K330*D330,0)</f>
        <v>-380</v>
      </c>
      <c r="S330" s="145">
        <f>K330-'Order(Exhibit B)'!K330</f>
        <v>0</v>
      </c>
      <c r="T330" s="115">
        <f>M330-'Order(Exhibit B)'!M330</f>
        <v>0</v>
      </c>
    </row>
    <row r="331" spans="1:20">
      <c r="A331" s="136" t="s">
        <v>153</v>
      </c>
      <c r="C331" s="135"/>
      <c r="D331" s="135"/>
      <c r="E331" s="135"/>
      <c r="F331" s="198"/>
      <c r="G331" s="163"/>
      <c r="H331" s="139"/>
      <c r="I331" s="139"/>
      <c r="J331" s="135"/>
      <c r="K331" s="198"/>
      <c r="L331" s="163"/>
      <c r="M331" s="139"/>
      <c r="S331" s="145">
        <f>K331-'Order(Exhibit B)'!K331</f>
        <v>0</v>
      </c>
      <c r="T331" s="115">
        <f>M331-'Order(Exhibit B)'!M331</f>
        <v>0</v>
      </c>
    </row>
    <row r="332" spans="1:20">
      <c r="A332" s="136" t="s">
        <v>154</v>
      </c>
      <c r="C332" s="135"/>
      <c r="D332" s="135"/>
      <c r="E332" s="135"/>
      <c r="F332" s="198"/>
      <c r="G332" s="163"/>
      <c r="H332" s="139"/>
      <c r="I332" s="139"/>
      <c r="J332" s="135"/>
      <c r="K332" s="198"/>
      <c r="L332" s="163"/>
      <c r="M332" s="139"/>
      <c r="S332" s="145">
        <f>K332-'Order(Exhibit B)'!K332</f>
        <v>0</v>
      </c>
      <c r="T332" s="115">
        <f>M332-'Order(Exhibit B)'!M332</f>
        <v>0</v>
      </c>
    </row>
    <row r="333" spans="1:20">
      <c r="A333" s="136" t="s">
        <v>155</v>
      </c>
      <c r="C333" s="135"/>
      <c r="D333" s="135"/>
      <c r="E333" s="135"/>
      <c r="F333" s="198"/>
      <c r="G333" s="163"/>
      <c r="H333" s="139"/>
      <c r="I333" s="139"/>
      <c r="J333" s="135"/>
      <c r="K333" s="198"/>
      <c r="L333" s="163"/>
      <c r="M333" s="139"/>
      <c r="S333" s="145">
        <f>K333-'Order(Exhibit B)'!K333</f>
        <v>0</v>
      </c>
      <c r="T333" s="115">
        <f>M333-'Order(Exhibit B)'!M333</f>
        <v>0</v>
      </c>
    </row>
    <row r="334" spans="1:20">
      <c r="A334" s="136" t="s">
        <v>156</v>
      </c>
      <c r="C334" s="135"/>
      <c r="D334" s="135"/>
      <c r="E334" s="135"/>
      <c r="F334" s="198"/>
      <c r="G334" s="163"/>
      <c r="H334" s="139"/>
      <c r="I334" s="139"/>
      <c r="J334" s="135"/>
      <c r="K334" s="198"/>
      <c r="L334" s="163"/>
      <c r="M334" s="139"/>
      <c r="S334" s="145">
        <f>K334-'Order(Exhibit B)'!K334</f>
        <v>0</v>
      </c>
      <c r="T334" s="115">
        <f>M334-'Order(Exhibit B)'!M334</f>
        <v>0</v>
      </c>
    </row>
    <row r="335" spans="1:20">
      <c r="A335" s="136" t="s">
        <v>157</v>
      </c>
      <c r="C335" s="135"/>
      <c r="D335" s="135"/>
      <c r="E335" s="135"/>
      <c r="F335" s="198"/>
      <c r="G335" s="163"/>
      <c r="H335" s="139"/>
      <c r="I335" s="139"/>
      <c r="J335" s="135"/>
      <c r="K335" s="198"/>
      <c r="L335" s="163"/>
      <c r="M335" s="139"/>
      <c r="S335" s="145">
        <f>K335-'Order(Exhibit B)'!K335</f>
        <v>0</v>
      </c>
      <c r="T335" s="115">
        <f>M335-'Order(Exhibit B)'!M335</f>
        <v>0</v>
      </c>
    </row>
    <row r="336" spans="1:20">
      <c r="A336" s="136" t="s">
        <v>158</v>
      </c>
      <c r="C336" s="135"/>
      <c r="D336" s="135"/>
      <c r="E336" s="135"/>
      <c r="F336" s="198"/>
      <c r="G336" s="163"/>
      <c r="H336" s="139"/>
      <c r="I336" s="139"/>
      <c r="J336" s="135"/>
      <c r="K336" s="198"/>
      <c r="L336" s="163"/>
      <c r="M336" s="139"/>
      <c r="S336" s="145">
        <f>K336-'Order(Exhibit B)'!K336</f>
        <v>0</v>
      </c>
      <c r="T336" s="115">
        <f>M336-'Order(Exhibit B)'!M336</f>
        <v>0</v>
      </c>
    </row>
    <row r="337" spans="1:20">
      <c r="A337" s="136" t="s">
        <v>159</v>
      </c>
      <c r="C337" s="135">
        <v>1415137</v>
      </c>
      <c r="D337" s="135">
        <v>803940.38215545681</v>
      </c>
      <c r="E337" s="135"/>
      <c r="F337" s="198">
        <v>28.156199999999998</v>
      </c>
      <c r="G337" s="163" t="s">
        <v>112</v>
      </c>
      <c r="H337" s="139">
        <f t="shared" ref="H337:I342" si="80">ROUND($F337*C337/100,0)</f>
        <v>398449</v>
      </c>
      <c r="I337" s="139">
        <f t="shared" si="80"/>
        <v>226359</v>
      </c>
      <c r="J337" s="135"/>
      <c r="K337" s="198">
        <f>K$232</f>
        <v>28.962199999999999</v>
      </c>
      <c r="L337" s="163" t="s">
        <v>112</v>
      </c>
      <c r="M337" s="139">
        <f t="shared" ref="M337:M342" si="81">ROUND($K337*D337/100,0)</f>
        <v>232839</v>
      </c>
      <c r="S337" s="145">
        <f>K337-'Order(Exhibit B)'!K337</f>
        <v>9.0099999999999625E-2</v>
      </c>
      <c r="T337" s="115">
        <f>M337-'Order(Exhibit B)'!M337</f>
        <v>725</v>
      </c>
    </row>
    <row r="338" spans="1:20">
      <c r="A338" s="136" t="s">
        <v>160</v>
      </c>
      <c r="C338" s="135">
        <v>3808947</v>
      </c>
      <c r="D338" s="135">
        <v>2163865.6234625205</v>
      </c>
      <c r="E338" s="135"/>
      <c r="F338" s="198">
        <v>10.309899999999999</v>
      </c>
      <c r="G338" s="163" t="s">
        <v>112</v>
      </c>
      <c r="H338" s="139">
        <f t="shared" si="80"/>
        <v>392699</v>
      </c>
      <c r="I338" s="139">
        <f t="shared" si="80"/>
        <v>223092</v>
      </c>
      <c r="J338" s="135"/>
      <c r="K338" s="198">
        <f>K$233</f>
        <v>10.605</v>
      </c>
      <c r="L338" s="163" t="s">
        <v>112</v>
      </c>
      <c r="M338" s="139">
        <f t="shared" si="81"/>
        <v>229478</v>
      </c>
      <c r="S338" s="145">
        <f>K338-'Order(Exhibit B)'!K338</f>
        <v>3.3000000000001251E-2</v>
      </c>
      <c r="T338" s="115">
        <f>M338-'Order(Exhibit B)'!M338</f>
        <v>714</v>
      </c>
    </row>
    <row r="339" spans="1:20">
      <c r="A339" s="136" t="s">
        <v>161</v>
      </c>
      <c r="C339" s="135">
        <v>2796163</v>
      </c>
      <c r="D339" s="135">
        <f>$C339/($C337+$C338)*(D337+D338)</f>
        <v>1588502.2798421273</v>
      </c>
      <c r="E339" s="135"/>
      <c r="F339" s="198">
        <v>-8.335799999999999</v>
      </c>
      <c r="G339" s="163" t="s">
        <v>112</v>
      </c>
      <c r="H339" s="139">
        <f t="shared" si="80"/>
        <v>-233083</v>
      </c>
      <c r="I339" s="139">
        <f t="shared" si="80"/>
        <v>-132414</v>
      </c>
      <c r="J339" s="135"/>
      <c r="K339" s="198">
        <f>K$234</f>
        <v>-8.5744000000000007</v>
      </c>
      <c r="L339" s="163" t="s">
        <v>112</v>
      </c>
      <c r="M339" s="139">
        <f t="shared" si="81"/>
        <v>-136205</v>
      </c>
      <c r="S339" s="145">
        <f>K339-'Order(Exhibit B)'!K339</f>
        <v>-2.6699999999999946E-2</v>
      </c>
      <c r="T339" s="115">
        <f>M339-'Order(Exhibit B)'!M339</f>
        <v>-425</v>
      </c>
    </row>
    <row r="340" spans="1:20">
      <c r="A340" s="136" t="s">
        <v>163</v>
      </c>
      <c r="C340" s="135">
        <v>3658843</v>
      </c>
      <c r="D340" s="135">
        <v>2495960.5428739255</v>
      </c>
      <c r="E340" s="135"/>
      <c r="F340" s="198">
        <v>24.916999999999998</v>
      </c>
      <c r="G340" s="163" t="s">
        <v>112</v>
      </c>
      <c r="H340" s="139">
        <f t="shared" si="80"/>
        <v>911674</v>
      </c>
      <c r="I340" s="139">
        <f t="shared" si="80"/>
        <v>621918</v>
      </c>
      <c r="J340" s="135"/>
      <c r="K340" s="198">
        <f>K$235</f>
        <v>25.630299999999998</v>
      </c>
      <c r="L340" s="163" t="s">
        <v>112</v>
      </c>
      <c r="M340" s="139">
        <f t="shared" si="81"/>
        <v>639722</v>
      </c>
      <c r="S340" s="145">
        <f>K340-'Order(Exhibit B)'!K340</f>
        <v>7.9799999999998761E-2</v>
      </c>
      <c r="T340" s="115">
        <f>M340-'Order(Exhibit B)'!M340</f>
        <v>1992</v>
      </c>
    </row>
    <row r="341" spans="1:20">
      <c r="A341" s="136" t="s">
        <v>165</v>
      </c>
      <c r="C341" s="135">
        <v>12672265</v>
      </c>
      <c r="D341" s="135">
        <f>D346-D344-D337-D338-D340</f>
        <v>8644665.3843420558</v>
      </c>
      <c r="E341" s="135"/>
      <c r="F341" s="198">
        <v>9.1237999999999992</v>
      </c>
      <c r="G341" s="163" t="s">
        <v>112</v>
      </c>
      <c r="H341" s="139">
        <f t="shared" si="80"/>
        <v>1156192</v>
      </c>
      <c r="I341" s="139">
        <f t="shared" si="80"/>
        <v>788722</v>
      </c>
      <c r="J341" s="135"/>
      <c r="K341" s="198">
        <f>K$236</f>
        <v>9.3849999999999998</v>
      </c>
      <c r="L341" s="163" t="s">
        <v>112</v>
      </c>
      <c r="M341" s="139">
        <f t="shared" si="81"/>
        <v>811302</v>
      </c>
      <c r="S341" s="145">
        <f>K341-'Order(Exhibit B)'!K341</f>
        <v>2.9199999999999449E-2</v>
      </c>
      <c r="T341" s="115">
        <f>M341-'Order(Exhibit B)'!M341</f>
        <v>2524</v>
      </c>
    </row>
    <row r="342" spans="1:20">
      <c r="A342" s="136" t="s">
        <v>167</v>
      </c>
      <c r="C342" s="135">
        <v>8046778</v>
      </c>
      <c r="D342" s="135">
        <f>$C342/($C340+$C341)*(D340+D341)</f>
        <v>5489287.2925309883</v>
      </c>
      <c r="E342" s="135"/>
      <c r="F342" s="198">
        <v>-7.3768000000000002</v>
      </c>
      <c r="G342" s="163" t="s">
        <v>112</v>
      </c>
      <c r="H342" s="139">
        <f t="shared" si="80"/>
        <v>-593595</v>
      </c>
      <c r="I342" s="139">
        <f t="shared" si="80"/>
        <v>-404934</v>
      </c>
      <c r="J342" s="135"/>
      <c r="K342" s="198">
        <f>K$237</f>
        <v>-7.5880000000000001</v>
      </c>
      <c r="L342" s="163" t="s">
        <v>112</v>
      </c>
      <c r="M342" s="139">
        <f t="shared" si="81"/>
        <v>-416527</v>
      </c>
      <c r="S342" s="145">
        <f>K342-'Order(Exhibit B)'!K342</f>
        <v>-2.3600000000000065E-2</v>
      </c>
      <c r="T342" s="115">
        <f>M342-'Order(Exhibit B)'!M342</f>
        <v>-1295</v>
      </c>
    </row>
    <row r="343" spans="1:20">
      <c r="A343" s="136" t="s">
        <v>150</v>
      </c>
      <c r="C343" s="135">
        <v>329</v>
      </c>
      <c r="D343" s="135">
        <f>ROUND($C343*D346/$C346,0)</f>
        <v>214</v>
      </c>
      <c r="E343" s="135"/>
      <c r="F343" s="138">
        <v>-0.61</v>
      </c>
      <c r="G343" s="138"/>
      <c r="H343" s="139">
        <f>ROUND($F343*C343,0)</f>
        <v>-201</v>
      </c>
      <c r="I343" s="139">
        <f>ROUND($F343*D343,0)</f>
        <v>-131</v>
      </c>
      <c r="J343" s="135"/>
      <c r="K343" s="138">
        <f>K$238</f>
        <v>-0.61</v>
      </c>
      <c r="L343" s="138"/>
      <c r="M343" s="139">
        <f>ROUND($K343*D343,0)</f>
        <v>-131</v>
      </c>
      <c r="S343" s="145">
        <f>K343-'Order(Exhibit B)'!K343</f>
        <v>0</v>
      </c>
      <c r="T343" s="115">
        <f>M343-'Order(Exhibit B)'!M343</f>
        <v>0</v>
      </c>
    </row>
    <row r="344" spans="1:20">
      <c r="A344" s="172" t="s">
        <v>123</v>
      </c>
      <c r="C344" s="135">
        <v>0</v>
      </c>
      <c r="D344" s="135">
        <f>ROUND($C344*D346/$C346,0)</f>
        <v>0</v>
      </c>
      <c r="E344" s="135"/>
      <c r="F344" s="193">
        <v>7.125</v>
      </c>
      <c r="G344" s="199" t="s">
        <v>112</v>
      </c>
      <c r="H344" s="139">
        <f>ROUND($F344*C344/100,0)</f>
        <v>0</v>
      </c>
      <c r="I344" s="139">
        <f>ROUND($F344*D344/100,0)</f>
        <v>0</v>
      </c>
      <c r="J344" s="135"/>
      <c r="K344" s="193">
        <f>K$239</f>
        <v>7.125</v>
      </c>
      <c r="L344" s="199" t="s">
        <v>112</v>
      </c>
      <c r="M344" s="139">
        <f>ROUND($K344*D344/100,0)</f>
        <v>0</v>
      </c>
      <c r="S344" s="145">
        <f>K344-'Order(Exhibit B)'!K344</f>
        <v>0</v>
      </c>
      <c r="T344" s="115">
        <f>M344-'Order(Exhibit B)'!M344</f>
        <v>0</v>
      </c>
    </row>
    <row r="345" spans="1:20">
      <c r="A345" s="172" t="s">
        <v>125</v>
      </c>
      <c r="B345" s="173"/>
      <c r="C345" s="135">
        <v>164364</v>
      </c>
      <c r="D345" s="135"/>
      <c r="E345" s="135"/>
      <c r="F345" s="174"/>
      <c r="G345" s="13"/>
      <c r="H345" s="139">
        <v>15965</v>
      </c>
      <c r="I345" s="139"/>
      <c r="J345" s="135"/>
      <c r="K345" s="174"/>
      <c r="L345" s="13"/>
      <c r="M345" s="139"/>
      <c r="N345" s="164"/>
      <c r="O345" s="164"/>
      <c r="P345" s="164"/>
      <c r="S345" s="145">
        <f>K345-'Order(Exhibit B)'!K345</f>
        <v>0</v>
      </c>
      <c r="T345" s="115">
        <f>M345-'Order(Exhibit B)'!M345</f>
        <v>0</v>
      </c>
    </row>
    <row r="346" spans="1:20" ht="16.5" thickBot="1">
      <c r="A346" s="176" t="s">
        <v>127</v>
      </c>
      <c r="B346" s="177"/>
      <c r="C346" s="178">
        <f>SUM(C337:C338,C340:C341,C344:C345)</f>
        <v>21719556</v>
      </c>
      <c r="D346" s="178">
        <v>14108431.932833958</v>
      </c>
      <c r="E346" s="178"/>
      <c r="F346" s="177"/>
      <c r="G346" s="177"/>
      <c r="H346" s="179">
        <f>SUM(H328:H345)</f>
        <v>2123439</v>
      </c>
      <c r="I346" s="179">
        <f>SUM(I328:I345)</f>
        <v>1380114</v>
      </c>
      <c r="J346" s="178"/>
      <c r="K346" s="177"/>
      <c r="L346" s="177"/>
      <c r="M346" s="179">
        <f>SUM(M328:M330,M337:M345)</f>
        <v>1419072</v>
      </c>
      <c r="O346" s="132" t="s">
        <v>108</v>
      </c>
      <c r="P346" s="131">
        <f>M346/I346-1</f>
        <v>2.8228102895847762E-2</v>
      </c>
      <c r="S346" s="145">
        <f>K346-'Order(Exhibit B)'!K346</f>
        <v>0</v>
      </c>
      <c r="T346" s="115">
        <f>M346-'Order(Exhibit B)'!M346</f>
        <v>4235</v>
      </c>
    </row>
    <row r="347" spans="1:20" ht="16.5" thickTop="1">
      <c r="C347" s="135"/>
      <c r="D347" s="135"/>
      <c r="E347" s="135"/>
      <c r="J347" s="135"/>
      <c r="S347" s="145">
        <f>K347-'Order(Exhibit B)'!K347</f>
        <v>0</v>
      </c>
      <c r="T347" s="115">
        <f>M347-'Order(Exhibit B)'!M347</f>
        <v>0</v>
      </c>
    </row>
    <row r="348" spans="1:20">
      <c r="A348" s="133" t="s">
        <v>464</v>
      </c>
      <c r="C348" s="135"/>
      <c r="D348" s="135"/>
      <c r="E348" s="135"/>
      <c r="F348" s="193"/>
      <c r="G348" s="193"/>
      <c r="J348" s="135"/>
      <c r="K348" s="193"/>
      <c r="L348" s="193"/>
      <c r="S348" s="145">
        <f>K348-'Order(Exhibit B)'!K348</f>
        <v>0</v>
      </c>
      <c r="T348" s="115">
        <f>M348-'Order(Exhibit B)'!M348</f>
        <v>0</v>
      </c>
    </row>
    <row r="349" spans="1:20">
      <c r="A349" s="136" t="s">
        <v>143</v>
      </c>
      <c r="C349" s="135">
        <v>168</v>
      </c>
      <c r="D349" s="135">
        <v>168</v>
      </c>
      <c r="E349" s="135"/>
      <c r="F349" s="138">
        <v>53</v>
      </c>
      <c r="G349" s="138"/>
      <c r="H349" s="139">
        <f t="shared" ref="H349:I351" si="82">ROUND($F349*C349,0)</f>
        <v>8904</v>
      </c>
      <c r="I349" s="139">
        <f t="shared" si="82"/>
        <v>8904</v>
      </c>
      <c r="J349" s="135"/>
      <c r="K349" s="138">
        <f>K$223</f>
        <v>54</v>
      </c>
      <c r="L349" s="138"/>
      <c r="M349" s="139">
        <f>ROUND($K349*D349,0)</f>
        <v>9072</v>
      </c>
      <c r="S349" s="145">
        <f>K349-'Order(Exhibit B)'!K349</f>
        <v>0</v>
      </c>
      <c r="T349" s="115">
        <f>M349-'Order(Exhibit B)'!M349</f>
        <v>0</v>
      </c>
    </row>
    <row r="350" spans="1:20">
      <c r="A350" s="136" t="s">
        <v>106</v>
      </c>
      <c r="C350" s="135">
        <v>0</v>
      </c>
      <c r="D350" s="135">
        <f>ROUND($C350*D349/$C349,0)</f>
        <v>0</v>
      </c>
      <c r="E350" s="135"/>
      <c r="F350" s="190">
        <v>2</v>
      </c>
      <c r="G350" s="190"/>
      <c r="H350" s="139">
        <f t="shared" si="82"/>
        <v>0</v>
      </c>
      <c r="I350" s="139">
        <f t="shared" si="82"/>
        <v>0</v>
      </c>
      <c r="J350" s="135"/>
      <c r="K350" s="190">
        <f>K$224</f>
        <v>2</v>
      </c>
      <c r="L350" s="190"/>
      <c r="M350" s="139">
        <f>ROUND($K350*D350,0)</f>
        <v>0</v>
      </c>
      <c r="S350" s="145">
        <f>K350-'Order(Exhibit B)'!K350</f>
        <v>0</v>
      </c>
      <c r="T350" s="115">
        <f>M350-'Order(Exhibit B)'!M350</f>
        <v>0</v>
      </c>
    </row>
    <row r="351" spans="1:20">
      <c r="A351" s="136" t="s">
        <v>109</v>
      </c>
      <c r="C351" s="135">
        <v>60</v>
      </c>
      <c r="D351" s="135">
        <v>116.77566030588683</v>
      </c>
      <c r="E351" s="135"/>
      <c r="F351" s="138">
        <v>-0.5</v>
      </c>
      <c r="G351" s="138"/>
      <c r="H351" s="139">
        <f t="shared" si="82"/>
        <v>-30</v>
      </c>
      <c r="I351" s="139">
        <f t="shared" si="82"/>
        <v>-58</v>
      </c>
      <c r="J351" s="135"/>
      <c r="K351" s="138">
        <f>K$225</f>
        <v>-0.5</v>
      </c>
      <c r="L351" s="138"/>
      <c r="M351" s="139">
        <f>ROUND($K351*D351,0)</f>
        <v>-58</v>
      </c>
      <c r="S351" s="145">
        <f>K351-'Order(Exhibit B)'!K351</f>
        <v>0</v>
      </c>
      <c r="T351" s="115">
        <f>M351-'Order(Exhibit B)'!M351</f>
        <v>0</v>
      </c>
    </row>
    <row r="352" spans="1:20">
      <c r="A352" s="136" t="s">
        <v>153</v>
      </c>
      <c r="C352" s="135"/>
      <c r="D352" s="135"/>
      <c r="E352" s="135"/>
      <c r="F352" s="198"/>
      <c r="G352" s="163"/>
      <c r="H352" s="139"/>
      <c r="I352" s="139"/>
      <c r="J352" s="135"/>
      <c r="K352" s="198"/>
      <c r="L352" s="163"/>
      <c r="M352" s="139"/>
      <c r="S352" s="145">
        <f>K352-'Order(Exhibit B)'!K352</f>
        <v>0</v>
      </c>
      <c r="T352" s="115">
        <f>M352-'Order(Exhibit B)'!M352</f>
        <v>0</v>
      </c>
    </row>
    <row r="353" spans="1:20">
      <c r="A353" s="136" t="s">
        <v>154</v>
      </c>
      <c r="C353" s="135"/>
      <c r="D353" s="135"/>
      <c r="E353" s="135"/>
      <c r="F353" s="198"/>
      <c r="G353" s="163"/>
      <c r="H353" s="139"/>
      <c r="I353" s="139"/>
      <c r="J353" s="135"/>
      <c r="K353" s="198"/>
      <c r="L353" s="163"/>
      <c r="M353" s="139"/>
      <c r="S353" s="145">
        <f>K353-'Order(Exhibit B)'!K353</f>
        <v>0</v>
      </c>
      <c r="T353" s="115">
        <f>M353-'Order(Exhibit B)'!M353</f>
        <v>0</v>
      </c>
    </row>
    <row r="354" spans="1:20">
      <c r="A354" s="136" t="s">
        <v>155</v>
      </c>
      <c r="C354" s="135"/>
      <c r="D354" s="135"/>
      <c r="E354" s="135"/>
      <c r="F354" s="198"/>
      <c r="G354" s="163"/>
      <c r="H354" s="139"/>
      <c r="I354" s="139"/>
      <c r="J354" s="135"/>
      <c r="K354" s="198"/>
      <c r="L354" s="163"/>
      <c r="M354" s="139"/>
      <c r="S354" s="145">
        <f>K354-'Order(Exhibit B)'!K354</f>
        <v>0</v>
      </c>
      <c r="T354" s="115">
        <f>M354-'Order(Exhibit B)'!M354</f>
        <v>0</v>
      </c>
    </row>
    <row r="355" spans="1:20">
      <c r="A355" s="136" t="s">
        <v>156</v>
      </c>
      <c r="C355" s="135"/>
      <c r="D355" s="135"/>
      <c r="E355" s="135"/>
      <c r="F355" s="198"/>
      <c r="G355" s="163"/>
      <c r="H355" s="139"/>
      <c r="I355" s="139"/>
      <c r="J355" s="135"/>
      <c r="K355" s="198"/>
      <c r="L355" s="163"/>
      <c r="M355" s="139"/>
      <c r="S355" s="145">
        <f>K355-'Order(Exhibit B)'!K355</f>
        <v>0</v>
      </c>
      <c r="T355" s="115">
        <f>M355-'Order(Exhibit B)'!M355</f>
        <v>0</v>
      </c>
    </row>
    <row r="356" spans="1:20">
      <c r="A356" s="136" t="s">
        <v>157</v>
      </c>
      <c r="C356" s="135"/>
      <c r="D356" s="135"/>
      <c r="E356" s="135"/>
      <c r="F356" s="198"/>
      <c r="G356" s="163"/>
      <c r="H356" s="139"/>
      <c r="I356" s="139"/>
      <c r="J356" s="135"/>
      <c r="K356" s="198"/>
      <c r="L356" s="163"/>
      <c r="M356" s="139"/>
      <c r="S356" s="145">
        <f>K356-'Order(Exhibit B)'!K356</f>
        <v>0</v>
      </c>
      <c r="T356" s="115">
        <f>M356-'Order(Exhibit B)'!M356</f>
        <v>0</v>
      </c>
    </row>
    <row r="357" spans="1:20">
      <c r="A357" s="136" t="s">
        <v>158</v>
      </c>
      <c r="C357" s="135"/>
      <c r="D357" s="135"/>
      <c r="E357" s="135"/>
      <c r="F357" s="198"/>
      <c r="G357" s="163"/>
      <c r="H357" s="139"/>
      <c r="I357" s="139"/>
      <c r="J357" s="135"/>
      <c r="K357" s="198"/>
      <c r="L357" s="163"/>
      <c r="M357" s="139"/>
      <c r="S357" s="145">
        <f>K357-'Order(Exhibit B)'!K357</f>
        <v>0</v>
      </c>
      <c r="T357" s="115">
        <f>M357-'Order(Exhibit B)'!M357</f>
        <v>0</v>
      </c>
    </row>
    <row r="358" spans="1:20">
      <c r="A358" s="136" t="s">
        <v>159</v>
      </c>
      <c r="C358" s="135">
        <v>536311</v>
      </c>
      <c r="D358" s="135">
        <v>649533.12147143157</v>
      </c>
      <c r="E358" s="135"/>
      <c r="F358" s="198">
        <v>28.156199999999998</v>
      </c>
      <c r="G358" s="163" t="s">
        <v>112</v>
      </c>
      <c r="H358" s="139">
        <f t="shared" ref="H358:I363" si="83">ROUND($F358*C358/100,0)</f>
        <v>151005</v>
      </c>
      <c r="I358" s="139">
        <f t="shared" si="83"/>
        <v>182884</v>
      </c>
      <c r="J358" s="135"/>
      <c r="K358" s="198">
        <f>K$232</f>
        <v>28.962199999999999</v>
      </c>
      <c r="L358" s="163" t="s">
        <v>112</v>
      </c>
      <c r="M358" s="139">
        <f t="shared" ref="M358:M363" si="84">ROUND($K358*D358/100,0)</f>
        <v>188119</v>
      </c>
      <c r="S358" s="145">
        <f>K358-'Order(Exhibit B)'!K358</f>
        <v>9.0099999999999625E-2</v>
      </c>
      <c r="T358" s="115">
        <f>M358-'Order(Exhibit B)'!M358</f>
        <v>585</v>
      </c>
    </row>
    <row r="359" spans="1:20">
      <c r="A359" s="136" t="s">
        <v>160</v>
      </c>
      <c r="C359" s="135">
        <v>1075963</v>
      </c>
      <c r="D359" s="135">
        <v>1303112.5708362604</v>
      </c>
      <c r="E359" s="135"/>
      <c r="F359" s="198">
        <v>10.309899999999999</v>
      </c>
      <c r="G359" s="163" t="s">
        <v>112</v>
      </c>
      <c r="H359" s="139">
        <f t="shared" si="83"/>
        <v>110931</v>
      </c>
      <c r="I359" s="139">
        <f t="shared" si="83"/>
        <v>134350</v>
      </c>
      <c r="J359" s="135"/>
      <c r="K359" s="198">
        <f>K$233</f>
        <v>10.605</v>
      </c>
      <c r="L359" s="163" t="s">
        <v>112</v>
      </c>
      <c r="M359" s="139">
        <f t="shared" si="84"/>
        <v>138195</v>
      </c>
      <c r="S359" s="145">
        <f>K359-'Order(Exhibit B)'!K359</f>
        <v>3.3000000000001251E-2</v>
      </c>
      <c r="T359" s="115">
        <f>M359-'Order(Exhibit B)'!M359</f>
        <v>430</v>
      </c>
    </row>
    <row r="360" spans="1:20">
      <c r="A360" s="136" t="s">
        <v>161</v>
      </c>
      <c r="C360" s="135">
        <v>637444</v>
      </c>
      <c r="D360" s="135">
        <f>$C360/($C358+$C359)*(D358+D359)</f>
        <v>772016.59313949395</v>
      </c>
      <c r="E360" s="135"/>
      <c r="F360" s="198">
        <v>-8.335799999999999</v>
      </c>
      <c r="G360" s="163" t="s">
        <v>112</v>
      </c>
      <c r="H360" s="139">
        <f t="shared" si="83"/>
        <v>-53136</v>
      </c>
      <c r="I360" s="139">
        <f t="shared" si="83"/>
        <v>-64354</v>
      </c>
      <c r="J360" s="135"/>
      <c r="K360" s="198">
        <f>K$234</f>
        <v>-8.5744000000000007</v>
      </c>
      <c r="L360" s="163" t="s">
        <v>112</v>
      </c>
      <c r="M360" s="139">
        <f t="shared" si="84"/>
        <v>-66196</v>
      </c>
      <c r="S360" s="145">
        <f>K360-'Order(Exhibit B)'!K360</f>
        <v>-2.6699999999999946E-2</v>
      </c>
      <c r="T360" s="115">
        <f>M360-'Order(Exhibit B)'!M360</f>
        <v>-206</v>
      </c>
    </row>
    <row r="361" spans="1:20">
      <c r="A361" s="136" t="s">
        <v>163</v>
      </c>
      <c r="C361" s="135">
        <v>1130451</v>
      </c>
      <c r="D361" s="135">
        <v>1194101.4815820316</v>
      </c>
      <c r="E361" s="135"/>
      <c r="F361" s="198">
        <v>24.916999999999998</v>
      </c>
      <c r="G361" s="163" t="s">
        <v>112</v>
      </c>
      <c r="H361" s="139">
        <f t="shared" si="83"/>
        <v>281674</v>
      </c>
      <c r="I361" s="139">
        <f t="shared" si="83"/>
        <v>297534</v>
      </c>
      <c r="J361" s="135"/>
      <c r="K361" s="198">
        <f>K$235</f>
        <v>25.630299999999998</v>
      </c>
      <c r="L361" s="163" t="s">
        <v>112</v>
      </c>
      <c r="M361" s="139">
        <f t="shared" si="84"/>
        <v>306052</v>
      </c>
      <c r="S361" s="145">
        <f>K361-'Order(Exhibit B)'!K361</f>
        <v>7.9799999999998761E-2</v>
      </c>
      <c r="T361" s="115">
        <f>M361-'Order(Exhibit B)'!M361</f>
        <v>953</v>
      </c>
    </row>
    <row r="362" spans="1:20">
      <c r="A362" s="136" t="s">
        <v>165</v>
      </c>
      <c r="C362" s="135">
        <v>2849022</v>
      </c>
      <c r="D362" s="135">
        <f>D367-D365-D358-D359-D361</f>
        <v>3009437.2876487365</v>
      </c>
      <c r="E362" s="135"/>
      <c r="F362" s="198">
        <v>9.1237999999999992</v>
      </c>
      <c r="G362" s="163" t="s">
        <v>112</v>
      </c>
      <c r="H362" s="139">
        <f t="shared" si="83"/>
        <v>259939</v>
      </c>
      <c r="I362" s="139">
        <f t="shared" si="83"/>
        <v>274575</v>
      </c>
      <c r="J362" s="135"/>
      <c r="K362" s="198">
        <f>K$236</f>
        <v>9.3849999999999998</v>
      </c>
      <c r="L362" s="163" t="s">
        <v>112</v>
      </c>
      <c r="M362" s="139">
        <f t="shared" si="84"/>
        <v>282436</v>
      </c>
      <c r="S362" s="145">
        <f>K362-'Order(Exhibit B)'!K362</f>
        <v>2.9199999999999449E-2</v>
      </c>
      <c r="T362" s="115">
        <f>M362-'Order(Exhibit B)'!M362</f>
        <v>879</v>
      </c>
    </row>
    <row r="363" spans="1:20">
      <c r="A363" s="136" t="s">
        <v>167</v>
      </c>
      <c r="C363" s="135">
        <v>1474400</v>
      </c>
      <c r="D363" s="135">
        <f>$C363/($C361+$C362)*(D361+D362)</f>
        <v>1557416.6633003529</v>
      </c>
      <c r="E363" s="135"/>
      <c r="F363" s="198">
        <v>-7.3768000000000002</v>
      </c>
      <c r="G363" s="163" t="s">
        <v>112</v>
      </c>
      <c r="H363" s="139">
        <f t="shared" si="83"/>
        <v>-108764</v>
      </c>
      <c r="I363" s="139">
        <f t="shared" si="83"/>
        <v>-114888</v>
      </c>
      <c r="J363" s="135"/>
      <c r="K363" s="198">
        <f>K$237</f>
        <v>-7.5880000000000001</v>
      </c>
      <c r="L363" s="163" t="s">
        <v>112</v>
      </c>
      <c r="M363" s="139">
        <f t="shared" si="84"/>
        <v>-118177</v>
      </c>
      <c r="S363" s="145">
        <f>K363-'Order(Exhibit B)'!K363</f>
        <v>-2.3600000000000065E-2</v>
      </c>
      <c r="T363" s="115">
        <f>M363-'Order(Exhibit B)'!M363</f>
        <v>-368</v>
      </c>
    </row>
    <row r="364" spans="1:20">
      <c r="A364" s="136" t="s">
        <v>150</v>
      </c>
      <c r="C364" s="135">
        <v>5688</v>
      </c>
      <c r="D364" s="135">
        <f>ROUND($C364*D367/$C367,0)</f>
        <v>6261</v>
      </c>
      <c r="E364" s="135"/>
      <c r="F364" s="138">
        <v>-0.61</v>
      </c>
      <c r="G364" s="138"/>
      <c r="H364" s="139">
        <f>ROUND($F364*C364,0)</f>
        <v>-3470</v>
      </c>
      <c r="I364" s="139">
        <f>ROUND($F364*D364,0)</f>
        <v>-3819</v>
      </c>
      <c r="J364" s="135"/>
      <c r="K364" s="138">
        <f>K$238</f>
        <v>-0.61</v>
      </c>
      <c r="L364" s="138"/>
      <c r="M364" s="139">
        <f>ROUND($K364*D364,0)</f>
        <v>-3819</v>
      </c>
      <c r="S364" s="145">
        <f>K364-'Order(Exhibit B)'!K364</f>
        <v>0</v>
      </c>
      <c r="T364" s="115">
        <f>M364-'Order(Exhibit B)'!M364</f>
        <v>0</v>
      </c>
    </row>
    <row r="365" spans="1:20">
      <c r="A365" s="172" t="s">
        <v>123</v>
      </c>
      <c r="C365" s="135">
        <v>0</v>
      </c>
      <c r="D365" s="135">
        <f>ROUND($C365*D367/$C367,0)</f>
        <v>0</v>
      </c>
      <c r="E365" s="135"/>
      <c r="F365" s="193">
        <v>7.125</v>
      </c>
      <c r="G365" s="199" t="s">
        <v>112</v>
      </c>
      <c r="H365" s="139">
        <f>ROUND($F365*C365/100,0)</f>
        <v>0</v>
      </c>
      <c r="I365" s="139">
        <f>ROUND($F365*D365/100,0)</f>
        <v>0</v>
      </c>
      <c r="J365" s="135"/>
      <c r="K365" s="193">
        <f>K$239</f>
        <v>7.125</v>
      </c>
      <c r="L365" s="199" t="s">
        <v>112</v>
      </c>
      <c r="M365" s="139">
        <f>ROUND($K365*D365/100,0)</f>
        <v>0</v>
      </c>
      <c r="S365" s="145">
        <f>K365-'Order(Exhibit B)'!K365</f>
        <v>0</v>
      </c>
      <c r="T365" s="115">
        <f>M365-'Order(Exhibit B)'!M365</f>
        <v>0</v>
      </c>
    </row>
    <row r="366" spans="1:20">
      <c r="A366" s="172" t="s">
        <v>125</v>
      </c>
      <c r="B366" s="173"/>
      <c r="C366" s="135">
        <v>1350</v>
      </c>
      <c r="D366" s="135"/>
      <c r="E366" s="135"/>
      <c r="F366" s="174"/>
      <c r="G366" s="13"/>
      <c r="H366" s="139">
        <v>1464</v>
      </c>
      <c r="I366" s="139"/>
      <c r="J366" s="135"/>
      <c r="K366" s="174"/>
      <c r="L366" s="13"/>
      <c r="M366" s="139"/>
      <c r="N366" s="164"/>
      <c r="O366" s="164"/>
      <c r="P366" s="164"/>
      <c r="S366" s="145">
        <f>K366-'Order(Exhibit B)'!K366</f>
        <v>0</v>
      </c>
      <c r="T366" s="115">
        <f>M366-'Order(Exhibit B)'!M366</f>
        <v>0</v>
      </c>
    </row>
    <row r="367" spans="1:20" ht="16.5" thickBot="1">
      <c r="A367" s="176" t="s">
        <v>127</v>
      </c>
      <c r="B367" s="177"/>
      <c r="C367" s="178">
        <f>SUM(C358:C359,C361:C362,C365:C366)</f>
        <v>5593097</v>
      </c>
      <c r="D367" s="178">
        <v>6156184.461538461</v>
      </c>
      <c r="E367" s="178"/>
      <c r="F367" s="177"/>
      <c r="G367" s="177"/>
      <c r="H367" s="179">
        <f>SUM(H349:H366)</f>
        <v>648517</v>
      </c>
      <c r="I367" s="179">
        <f>SUM(I349:I366)</f>
        <v>715128</v>
      </c>
      <c r="J367" s="178"/>
      <c r="K367" s="177"/>
      <c r="L367" s="177"/>
      <c r="M367" s="179">
        <f>SUM(M349:M351,M358:M366)</f>
        <v>735624</v>
      </c>
      <c r="O367" s="132" t="s">
        <v>108</v>
      </c>
      <c r="P367" s="131">
        <f>M367/I367-1</f>
        <v>2.866060341645138E-2</v>
      </c>
      <c r="S367" s="145">
        <f>K367-'Order(Exhibit B)'!K367</f>
        <v>0</v>
      </c>
      <c r="T367" s="115">
        <f>M367-'Order(Exhibit B)'!M367</f>
        <v>2273</v>
      </c>
    </row>
    <row r="368" spans="1:20" ht="16.5" thickTop="1">
      <c r="S368" s="145">
        <f>K368-'Order(Exhibit B)'!K368</f>
        <v>0</v>
      </c>
      <c r="T368" s="115">
        <f>M368-'Order(Exhibit B)'!M368</f>
        <v>0</v>
      </c>
    </row>
    <row r="369" spans="1:20">
      <c r="A369" s="133" t="s">
        <v>465</v>
      </c>
      <c r="C369" s="135"/>
      <c r="D369" s="135"/>
      <c r="E369" s="135"/>
      <c r="F369" s="193"/>
      <c r="G369" s="193"/>
      <c r="J369" s="135"/>
      <c r="K369" s="193"/>
      <c r="L369" s="193"/>
      <c r="S369" s="145">
        <f>K369-'Order(Exhibit B)'!K369</f>
        <v>0</v>
      </c>
      <c r="T369" s="115">
        <f>M369-'Order(Exhibit B)'!M369</f>
        <v>0</v>
      </c>
    </row>
    <row r="370" spans="1:20">
      <c r="A370" s="136" t="s">
        <v>143</v>
      </c>
      <c r="C370" s="135">
        <v>33.6</v>
      </c>
      <c r="D370" s="135">
        <v>24</v>
      </c>
      <c r="E370" s="135"/>
      <c r="F370" s="138">
        <v>53</v>
      </c>
      <c r="G370" s="138"/>
      <c r="H370" s="139">
        <f t="shared" ref="H370:I372" si="85">ROUND($F370*C370,0)</f>
        <v>1781</v>
      </c>
      <c r="I370" s="139">
        <f t="shared" si="85"/>
        <v>1272</v>
      </c>
      <c r="J370" s="135"/>
      <c r="K370" s="138">
        <f>K$223</f>
        <v>54</v>
      </c>
      <c r="L370" s="138"/>
      <c r="M370" s="139">
        <f>ROUND($K370*D370,0)</f>
        <v>1296</v>
      </c>
      <c r="S370" s="145">
        <f>K370-'Order(Exhibit B)'!K370</f>
        <v>0</v>
      </c>
      <c r="T370" s="115">
        <f>M370-'Order(Exhibit B)'!M370</f>
        <v>0</v>
      </c>
    </row>
    <row r="371" spans="1:20">
      <c r="A371" s="136" t="s">
        <v>106</v>
      </c>
      <c r="C371" s="135">
        <v>0</v>
      </c>
      <c r="D371" s="135">
        <f>ROUND($C371*D370/$C370,0)</f>
        <v>0</v>
      </c>
      <c r="E371" s="135"/>
      <c r="F371" s="190">
        <v>2</v>
      </c>
      <c r="G371" s="190"/>
      <c r="H371" s="139">
        <f t="shared" si="85"/>
        <v>0</v>
      </c>
      <c r="I371" s="139">
        <f t="shared" si="85"/>
        <v>0</v>
      </c>
      <c r="J371" s="135"/>
      <c r="K371" s="190">
        <f>K$224</f>
        <v>2</v>
      </c>
      <c r="L371" s="190"/>
      <c r="M371" s="139">
        <f>ROUND($K371*D371,0)</f>
        <v>0</v>
      </c>
      <c r="S371" s="145">
        <f>K371-'Order(Exhibit B)'!K371</f>
        <v>0</v>
      </c>
      <c r="T371" s="115">
        <f>M371-'Order(Exhibit B)'!M371</f>
        <v>0</v>
      </c>
    </row>
    <row r="372" spans="1:20">
      <c r="A372" s="136" t="s">
        <v>109</v>
      </c>
      <c r="C372" s="135">
        <v>12</v>
      </c>
      <c r="D372" s="135">
        <v>16.682237186555263</v>
      </c>
      <c r="E372" s="135"/>
      <c r="F372" s="138">
        <v>-0.5</v>
      </c>
      <c r="G372" s="138"/>
      <c r="H372" s="139">
        <f t="shared" si="85"/>
        <v>-6</v>
      </c>
      <c r="I372" s="139">
        <f t="shared" si="85"/>
        <v>-8</v>
      </c>
      <c r="J372" s="135"/>
      <c r="K372" s="138">
        <f>K$225</f>
        <v>-0.5</v>
      </c>
      <c r="L372" s="138"/>
      <c r="M372" s="139">
        <f>ROUND($K372*D372,0)</f>
        <v>-8</v>
      </c>
      <c r="S372" s="145">
        <f>K372-'Order(Exhibit B)'!K372</f>
        <v>0</v>
      </c>
      <c r="T372" s="115">
        <f>M372-'Order(Exhibit B)'!M372</f>
        <v>0</v>
      </c>
    </row>
    <row r="373" spans="1:20">
      <c r="A373" s="136" t="s">
        <v>153</v>
      </c>
      <c r="C373" s="135"/>
      <c r="D373" s="135"/>
      <c r="E373" s="135"/>
      <c r="F373" s="198"/>
      <c r="G373" s="163"/>
      <c r="H373" s="139"/>
      <c r="I373" s="139"/>
      <c r="J373" s="135"/>
      <c r="K373" s="198"/>
      <c r="L373" s="163"/>
      <c r="M373" s="139"/>
      <c r="S373" s="145">
        <f>K373-'Order(Exhibit B)'!K373</f>
        <v>0</v>
      </c>
      <c r="T373" s="115">
        <f>M373-'Order(Exhibit B)'!M373</f>
        <v>0</v>
      </c>
    </row>
    <row r="374" spans="1:20">
      <c r="A374" s="136" t="s">
        <v>154</v>
      </c>
      <c r="C374" s="135"/>
      <c r="D374" s="135"/>
      <c r="E374" s="135"/>
      <c r="F374" s="198"/>
      <c r="G374" s="163"/>
      <c r="H374" s="139"/>
      <c r="I374" s="139"/>
      <c r="J374" s="135"/>
      <c r="K374" s="198"/>
      <c r="L374" s="163"/>
      <c r="M374" s="139"/>
      <c r="S374" s="145">
        <f>K374-'Order(Exhibit B)'!K374</f>
        <v>0</v>
      </c>
      <c r="T374" s="115">
        <f>M374-'Order(Exhibit B)'!M374</f>
        <v>0</v>
      </c>
    </row>
    <row r="375" spans="1:20">
      <c r="A375" s="136" t="s">
        <v>155</v>
      </c>
      <c r="C375" s="135"/>
      <c r="D375" s="135"/>
      <c r="E375" s="135"/>
      <c r="F375" s="198"/>
      <c r="G375" s="163"/>
      <c r="H375" s="139"/>
      <c r="I375" s="139"/>
      <c r="J375" s="135"/>
      <c r="K375" s="198"/>
      <c r="L375" s="163"/>
      <c r="M375" s="139"/>
      <c r="S375" s="145">
        <f>K375-'Order(Exhibit B)'!K375</f>
        <v>0</v>
      </c>
      <c r="T375" s="115">
        <f>M375-'Order(Exhibit B)'!M375</f>
        <v>0</v>
      </c>
    </row>
    <row r="376" spans="1:20">
      <c r="A376" s="136" t="s">
        <v>156</v>
      </c>
      <c r="C376" s="135"/>
      <c r="D376" s="135"/>
      <c r="E376" s="135"/>
      <c r="F376" s="198"/>
      <c r="G376" s="163"/>
      <c r="H376" s="139"/>
      <c r="I376" s="139"/>
      <c r="J376" s="135"/>
      <c r="K376" s="198"/>
      <c r="L376" s="163"/>
      <c r="M376" s="139"/>
      <c r="S376" s="145">
        <f>K376-'Order(Exhibit B)'!K376</f>
        <v>0</v>
      </c>
      <c r="T376" s="115">
        <f>M376-'Order(Exhibit B)'!M376</f>
        <v>0</v>
      </c>
    </row>
    <row r="377" spans="1:20">
      <c r="A377" s="136" t="s">
        <v>157</v>
      </c>
      <c r="C377" s="135"/>
      <c r="D377" s="135"/>
      <c r="E377" s="135"/>
      <c r="F377" s="198"/>
      <c r="G377" s="163"/>
      <c r="H377" s="139"/>
      <c r="I377" s="139"/>
      <c r="J377" s="135"/>
      <c r="K377" s="198"/>
      <c r="L377" s="163"/>
      <c r="M377" s="139"/>
      <c r="S377" s="145">
        <f>K377-'Order(Exhibit B)'!K377</f>
        <v>0</v>
      </c>
      <c r="T377" s="115">
        <f>M377-'Order(Exhibit B)'!M377</f>
        <v>0</v>
      </c>
    </row>
    <row r="378" spans="1:20">
      <c r="A378" s="136" t="s">
        <v>158</v>
      </c>
      <c r="C378" s="135"/>
      <c r="D378" s="135"/>
      <c r="E378" s="135"/>
      <c r="F378" s="198"/>
      <c r="G378" s="163"/>
      <c r="H378" s="139"/>
      <c r="I378" s="139"/>
      <c r="J378" s="135"/>
      <c r="K378" s="198"/>
      <c r="L378" s="163"/>
      <c r="M378" s="139"/>
      <c r="S378" s="145">
        <f>K378-'Order(Exhibit B)'!K378</f>
        <v>0</v>
      </c>
      <c r="T378" s="115">
        <f>M378-'Order(Exhibit B)'!M378</f>
        <v>0</v>
      </c>
    </row>
    <row r="379" spans="1:20">
      <c r="A379" s="136" t="s">
        <v>159</v>
      </c>
      <c r="C379" s="135">
        <v>9943</v>
      </c>
      <c r="D379" s="135">
        <v>454.52769812575326</v>
      </c>
      <c r="E379" s="135"/>
      <c r="F379" s="198">
        <v>28.156199999999998</v>
      </c>
      <c r="G379" s="163" t="s">
        <v>112</v>
      </c>
      <c r="H379" s="139">
        <f t="shared" ref="H379:I384" si="86">ROUND($F379*C379/100,0)</f>
        <v>2800</v>
      </c>
      <c r="I379" s="139">
        <f t="shared" si="86"/>
        <v>128</v>
      </c>
      <c r="J379" s="135"/>
      <c r="K379" s="198">
        <f>K$232</f>
        <v>28.962199999999999</v>
      </c>
      <c r="L379" s="163" t="s">
        <v>112</v>
      </c>
      <c r="M379" s="139">
        <f t="shared" ref="M379:M384" si="87">ROUND($K379*D379/100,0)</f>
        <v>132</v>
      </c>
      <c r="S379" s="145">
        <f>K379-'Order(Exhibit B)'!K379</f>
        <v>9.0099999999999625E-2</v>
      </c>
      <c r="T379" s="115">
        <f>M379-'Order(Exhibit B)'!M379</f>
        <v>1</v>
      </c>
    </row>
    <row r="380" spans="1:20">
      <c r="A380" s="136" t="s">
        <v>160</v>
      </c>
      <c r="C380" s="135">
        <v>14120</v>
      </c>
      <c r="D380" s="135">
        <v>645.4723018742468</v>
      </c>
      <c r="E380" s="135"/>
      <c r="F380" s="198">
        <v>10.309899999999999</v>
      </c>
      <c r="G380" s="163" t="s">
        <v>112</v>
      </c>
      <c r="H380" s="139">
        <f t="shared" si="86"/>
        <v>1456</v>
      </c>
      <c r="I380" s="139">
        <f t="shared" si="86"/>
        <v>67</v>
      </c>
      <c r="J380" s="135"/>
      <c r="K380" s="198">
        <f>K$233</f>
        <v>10.605</v>
      </c>
      <c r="L380" s="163" t="s">
        <v>112</v>
      </c>
      <c r="M380" s="139">
        <f t="shared" si="87"/>
        <v>68</v>
      </c>
      <c r="S380" s="145">
        <f>K380-'Order(Exhibit B)'!K380</f>
        <v>3.3000000000001251E-2</v>
      </c>
      <c r="T380" s="115">
        <f>M380-'Order(Exhibit B)'!M380</f>
        <v>0</v>
      </c>
    </row>
    <row r="381" spans="1:20">
      <c r="A381" s="136" t="s">
        <v>161</v>
      </c>
      <c r="C381" s="135">
        <v>22748</v>
      </c>
      <c r="D381" s="135">
        <f>$C381/($C379+$C380)*(D379+D380)</f>
        <v>1039.8869633877737</v>
      </c>
      <c r="E381" s="135"/>
      <c r="F381" s="198">
        <v>-8.335799999999999</v>
      </c>
      <c r="G381" s="163" t="s">
        <v>112</v>
      </c>
      <c r="H381" s="139">
        <f t="shared" si="86"/>
        <v>-1896</v>
      </c>
      <c r="I381" s="139">
        <f t="shared" si="86"/>
        <v>-87</v>
      </c>
      <c r="J381" s="135"/>
      <c r="K381" s="198">
        <f>K$234</f>
        <v>-8.5744000000000007</v>
      </c>
      <c r="L381" s="163" t="s">
        <v>112</v>
      </c>
      <c r="M381" s="139">
        <f t="shared" si="87"/>
        <v>-89</v>
      </c>
      <c r="S381" s="145">
        <f>K381-'Order(Exhibit B)'!K381</f>
        <v>-2.6699999999999946E-2</v>
      </c>
      <c r="T381" s="115">
        <f>M381-'Order(Exhibit B)'!M381</f>
        <v>0</v>
      </c>
    </row>
    <row r="382" spans="1:20">
      <c r="A382" s="136" t="s">
        <v>163</v>
      </c>
      <c r="C382" s="135">
        <v>23810</v>
      </c>
      <c r="D382" s="135">
        <v>10861.730917874396</v>
      </c>
      <c r="E382" s="135"/>
      <c r="F382" s="198">
        <v>24.916999999999998</v>
      </c>
      <c r="G382" s="163" t="s">
        <v>112</v>
      </c>
      <c r="H382" s="139">
        <f t="shared" si="86"/>
        <v>5933</v>
      </c>
      <c r="I382" s="139">
        <f t="shared" si="86"/>
        <v>2706</v>
      </c>
      <c r="J382" s="135"/>
      <c r="K382" s="198">
        <f>K$235</f>
        <v>25.630299999999998</v>
      </c>
      <c r="L382" s="163" t="s">
        <v>112</v>
      </c>
      <c r="M382" s="139">
        <f t="shared" si="87"/>
        <v>2784</v>
      </c>
      <c r="S382" s="145">
        <f>K382-'Order(Exhibit B)'!K382</f>
        <v>7.9799999999998761E-2</v>
      </c>
      <c r="T382" s="115">
        <f>M382-'Order(Exhibit B)'!M382</f>
        <v>9</v>
      </c>
    </row>
    <row r="383" spans="1:20">
      <c r="A383" s="136" t="s">
        <v>165</v>
      </c>
      <c r="C383" s="135">
        <v>93490</v>
      </c>
      <c r="D383" s="135">
        <f>D388-D386-D379-D380-D382</f>
        <v>42648.60241545894</v>
      </c>
      <c r="E383" s="135"/>
      <c r="F383" s="198">
        <v>9.1237999999999992</v>
      </c>
      <c r="G383" s="163" t="s">
        <v>112</v>
      </c>
      <c r="H383" s="139">
        <f t="shared" si="86"/>
        <v>8530</v>
      </c>
      <c r="I383" s="139">
        <f t="shared" si="86"/>
        <v>3891</v>
      </c>
      <c r="J383" s="135"/>
      <c r="K383" s="198">
        <f>K$236</f>
        <v>9.3849999999999998</v>
      </c>
      <c r="L383" s="163" t="s">
        <v>112</v>
      </c>
      <c r="M383" s="139">
        <f t="shared" si="87"/>
        <v>4003</v>
      </c>
      <c r="S383" s="145">
        <f>K383-'Order(Exhibit B)'!K383</f>
        <v>2.9199999999999449E-2</v>
      </c>
      <c r="T383" s="115">
        <f>M383-'Order(Exhibit B)'!M383</f>
        <v>13</v>
      </c>
    </row>
    <row r="384" spans="1:20">
      <c r="A384" s="136" t="s">
        <v>167</v>
      </c>
      <c r="C384" s="135">
        <v>74695</v>
      </c>
      <c r="D384" s="135">
        <f>$C384/($C382+$C383)*(D382+D383)</f>
        <v>34074.632125603865</v>
      </c>
      <c r="E384" s="135"/>
      <c r="F384" s="198">
        <v>-7.3768000000000002</v>
      </c>
      <c r="G384" s="163" t="s">
        <v>112</v>
      </c>
      <c r="H384" s="139">
        <f t="shared" si="86"/>
        <v>-5510</v>
      </c>
      <c r="I384" s="139">
        <f t="shared" si="86"/>
        <v>-2514</v>
      </c>
      <c r="J384" s="135"/>
      <c r="K384" s="198">
        <f>K$237</f>
        <v>-7.5880000000000001</v>
      </c>
      <c r="L384" s="163" t="s">
        <v>112</v>
      </c>
      <c r="M384" s="139">
        <f t="shared" si="87"/>
        <v>-2586</v>
      </c>
      <c r="S384" s="145">
        <f>K384-'Order(Exhibit B)'!K384</f>
        <v>-2.3600000000000065E-2</v>
      </c>
      <c r="T384" s="115">
        <f>M384-'Order(Exhibit B)'!M384</f>
        <v>-8</v>
      </c>
    </row>
    <row r="385" spans="1:20">
      <c r="A385" s="136" t="s">
        <v>150</v>
      </c>
      <c r="C385" s="135">
        <v>0</v>
      </c>
      <c r="D385" s="135">
        <f>ROUND($C385*D388/$C388,0)</f>
        <v>0</v>
      </c>
      <c r="E385" s="135"/>
      <c r="F385" s="138">
        <v>-0.61</v>
      </c>
      <c r="G385" s="138"/>
      <c r="H385" s="139">
        <f>ROUND($F385*C385,0)</f>
        <v>0</v>
      </c>
      <c r="I385" s="139">
        <f>ROUND($F385*D385,0)</f>
        <v>0</v>
      </c>
      <c r="J385" s="135"/>
      <c r="K385" s="138">
        <f>K$238</f>
        <v>-0.61</v>
      </c>
      <c r="L385" s="138"/>
      <c r="M385" s="139">
        <f>ROUND($K385*D385,0)</f>
        <v>0</v>
      </c>
      <c r="S385" s="145">
        <f>K385-'Order(Exhibit B)'!K385</f>
        <v>0</v>
      </c>
      <c r="T385" s="115">
        <f>M385-'Order(Exhibit B)'!M385</f>
        <v>0</v>
      </c>
    </row>
    <row r="386" spans="1:20">
      <c r="A386" s="172" t="s">
        <v>123</v>
      </c>
      <c r="C386" s="135">
        <v>0</v>
      </c>
      <c r="D386" s="135">
        <f>ROUND($C386*D388/$C388,0)</f>
        <v>0</v>
      </c>
      <c r="E386" s="135"/>
      <c r="F386" s="193">
        <v>7.125</v>
      </c>
      <c r="G386" s="199" t="s">
        <v>112</v>
      </c>
      <c r="H386" s="139">
        <f>ROUND($F386*C386/100,0)</f>
        <v>0</v>
      </c>
      <c r="I386" s="139">
        <f>ROUND($F386*D386/100,0)</f>
        <v>0</v>
      </c>
      <c r="J386" s="135"/>
      <c r="K386" s="193">
        <f>K$239</f>
        <v>7.125</v>
      </c>
      <c r="L386" s="199" t="s">
        <v>112</v>
      </c>
      <c r="M386" s="139">
        <f>ROUND($K386*D386/100,0)</f>
        <v>0</v>
      </c>
      <c r="S386" s="145">
        <f>K386-'Order(Exhibit B)'!K386</f>
        <v>0</v>
      </c>
      <c r="T386" s="115">
        <f>M386-'Order(Exhibit B)'!M386</f>
        <v>0</v>
      </c>
    </row>
    <row r="387" spans="1:20">
      <c r="A387" s="172" t="s">
        <v>125</v>
      </c>
      <c r="B387" s="173"/>
      <c r="C387" s="135">
        <v>398</v>
      </c>
      <c r="D387" s="135"/>
      <c r="E387" s="135"/>
      <c r="F387" s="174"/>
      <c r="G387" s="13"/>
      <c r="H387" s="139">
        <v>44</v>
      </c>
      <c r="I387" s="139"/>
      <c r="J387" s="135"/>
      <c r="K387" s="174"/>
      <c r="L387" s="13"/>
      <c r="M387" s="139"/>
      <c r="N387" s="164"/>
      <c r="O387" s="164"/>
      <c r="P387" s="164"/>
      <c r="S387" s="145">
        <f>K387-'Order(Exhibit B)'!K387</f>
        <v>0</v>
      </c>
      <c r="T387" s="115">
        <f>M387-'Order(Exhibit B)'!M387</f>
        <v>0</v>
      </c>
    </row>
    <row r="388" spans="1:20" ht="16.5" thickBot="1">
      <c r="A388" s="176" t="s">
        <v>127</v>
      </c>
      <c r="B388" s="177"/>
      <c r="C388" s="178">
        <f>SUM(C379:C380,C382:C383,C386:C387)</f>
        <v>141761</v>
      </c>
      <c r="D388" s="178">
        <v>54610.333333333336</v>
      </c>
      <c r="E388" s="178"/>
      <c r="F388" s="177"/>
      <c r="G388" s="177"/>
      <c r="H388" s="179">
        <f>SUM(H370:H387)</f>
        <v>13132</v>
      </c>
      <c r="I388" s="179">
        <f>SUM(I370:I387)</f>
        <v>5455</v>
      </c>
      <c r="J388" s="178"/>
      <c r="K388" s="177"/>
      <c r="L388" s="177"/>
      <c r="M388" s="179">
        <f>SUM(M370:M372,M379:M387)</f>
        <v>5600</v>
      </c>
      <c r="O388" s="132" t="s">
        <v>108</v>
      </c>
      <c r="P388" s="131">
        <f>M388/I388-1</f>
        <v>2.6581118240146751E-2</v>
      </c>
      <c r="S388" s="145">
        <f>K388-'Order(Exhibit B)'!K388</f>
        <v>0</v>
      </c>
      <c r="T388" s="115">
        <f>M388-'Order(Exhibit B)'!M388</f>
        <v>15</v>
      </c>
    </row>
    <row r="389" spans="1:20" ht="16.5" thickTop="1">
      <c r="S389" s="145">
        <f>K389-'Order(Exhibit B)'!K389</f>
        <v>0</v>
      </c>
      <c r="T389" s="115">
        <f>M389-'Order(Exhibit B)'!M389</f>
        <v>0</v>
      </c>
    </row>
    <row r="390" spans="1:20">
      <c r="A390" s="133" t="s">
        <v>172</v>
      </c>
      <c r="C390" s="135"/>
      <c r="D390" s="135"/>
      <c r="E390" s="135"/>
      <c r="J390" s="135"/>
      <c r="S390" s="145">
        <f>K390-'Order(Exhibit B)'!K390</f>
        <v>0</v>
      </c>
      <c r="T390" s="115">
        <f>M390-'Order(Exhibit B)'!M390</f>
        <v>0</v>
      </c>
    </row>
    <row r="391" spans="1:20">
      <c r="A391" s="136" t="s">
        <v>173</v>
      </c>
      <c r="C391" s="135">
        <f>C400+C409+C418</f>
        <v>6856</v>
      </c>
      <c r="D391" s="135">
        <f>D400+D409+D418</f>
        <v>6332.9657442649122</v>
      </c>
      <c r="E391" s="135"/>
      <c r="J391" s="135"/>
      <c r="O391" s="146" t="s">
        <v>101</v>
      </c>
      <c r="P391" s="147">
        <f>M397</f>
        <v>1372352</v>
      </c>
      <c r="S391" s="145">
        <f>K391-'Order(Exhibit B)'!K391</f>
        <v>0</v>
      </c>
      <c r="T391" s="115">
        <f>M391-'Order(Exhibit B)'!M391</f>
        <v>0</v>
      </c>
    </row>
    <row r="392" spans="1:20">
      <c r="A392" s="136" t="s">
        <v>174</v>
      </c>
      <c r="C392" s="137">
        <f t="shared" ref="C392:D397" si="88">C401+C410+C419</f>
        <v>9943034.2530291062</v>
      </c>
      <c r="D392" s="137">
        <f>D401+D410+D419</f>
        <v>10030592.085183039</v>
      </c>
      <c r="E392" s="137"/>
      <c r="H392" s="139"/>
      <c r="I392" s="139"/>
      <c r="J392" s="137"/>
      <c r="M392" s="139"/>
      <c r="O392" s="149" t="s">
        <v>103</v>
      </c>
      <c r="P392" s="150">
        <f>'Exhibit B(Rate Spread)'!M40*1000</f>
        <v>1372137.1351181176</v>
      </c>
      <c r="S392" s="145">
        <f>K392-'Order(Exhibit B)'!K392</f>
        <v>0</v>
      </c>
      <c r="T392" s="115">
        <f>M392-'Order(Exhibit B)'!M392</f>
        <v>0</v>
      </c>
    </row>
    <row r="393" spans="1:20">
      <c r="A393" s="200" t="s">
        <v>175</v>
      </c>
      <c r="C393" s="135">
        <f t="shared" si="88"/>
        <v>78163.737362637374</v>
      </c>
      <c r="D393" s="135">
        <f>D402+D411+D420</f>
        <v>77797</v>
      </c>
      <c r="E393" s="135"/>
      <c r="F393" s="201">
        <v>9.1</v>
      </c>
      <c r="G393" s="138"/>
      <c r="H393" s="139">
        <f t="shared" ref="H393:I395" si="89">ROUND($F393*C393,0)</f>
        <v>711290</v>
      </c>
      <c r="I393" s="139">
        <f t="shared" si="89"/>
        <v>707953</v>
      </c>
      <c r="J393" s="135"/>
      <c r="K393" s="201">
        <f>ROUND(F393*(1+$P$395),2)</f>
        <v>9.17</v>
      </c>
      <c r="L393" s="138"/>
      <c r="M393" s="139">
        <f>ROUND($K393*D393,0)</f>
        <v>713398</v>
      </c>
      <c r="N393" s="114">
        <v>19</v>
      </c>
      <c r="O393" s="152" t="s">
        <v>105</v>
      </c>
      <c r="P393" s="153">
        <f>P392-P391</f>
        <v>-214.86488188244402</v>
      </c>
      <c r="S393" s="145">
        <f>K393-'Order(Exhibit B)'!K393</f>
        <v>2.9999999999999361E-2</v>
      </c>
      <c r="T393" s="115">
        <f>M393-'Order(Exhibit B)'!M393</f>
        <v>2333</v>
      </c>
    </row>
    <row r="394" spans="1:20">
      <c r="A394" s="200" t="s">
        <v>176</v>
      </c>
      <c r="C394" s="135">
        <f t="shared" si="88"/>
        <v>22201.933081998126</v>
      </c>
      <c r="D394" s="135">
        <f>D403+D412+D421</f>
        <v>22442</v>
      </c>
      <c r="E394" s="135"/>
      <c r="F394" s="201">
        <v>10.61</v>
      </c>
      <c r="G394" s="138"/>
      <c r="H394" s="139">
        <f t="shared" si="89"/>
        <v>235563</v>
      </c>
      <c r="I394" s="139">
        <f t="shared" si="89"/>
        <v>238110</v>
      </c>
      <c r="J394" s="135"/>
      <c r="K394" s="201">
        <f>ROUND(F394*(1+$P$395),2)</f>
        <v>10.69</v>
      </c>
      <c r="L394" s="138"/>
      <c r="M394" s="139">
        <f>ROUND($K394*D394,0)</f>
        <v>239905</v>
      </c>
      <c r="N394" s="114">
        <v>34</v>
      </c>
      <c r="O394" s="146" t="s">
        <v>108</v>
      </c>
      <c r="P394" s="192">
        <f>P391/(I397)-1</f>
        <v>7.4363796796703685E-3</v>
      </c>
      <c r="S394" s="145">
        <f>K394-'Order(Exhibit B)'!K394</f>
        <v>2.9999999999999361E-2</v>
      </c>
      <c r="T394" s="115">
        <f>M394-'Order(Exhibit B)'!M394</f>
        <v>673</v>
      </c>
    </row>
    <row r="395" spans="1:20">
      <c r="A395" s="202" t="s">
        <v>177</v>
      </c>
      <c r="C395" s="135">
        <f t="shared" si="88"/>
        <v>31549.040123456769</v>
      </c>
      <c r="D395" s="135">
        <f>D404+D413+D422</f>
        <v>32111</v>
      </c>
      <c r="E395" s="135"/>
      <c r="F395" s="201">
        <v>12.96</v>
      </c>
      <c r="G395" s="138"/>
      <c r="H395" s="139">
        <f t="shared" si="89"/>
        <v>408876</v>
      </c>
      <c r="I395" s="139">
        <f t="shared" si="89"/>
        <v>416159</v>
      </c>
      <c r="J395" s="135"/>
      <c r="K395" s="201">
        <f>ROUND(F395*(1+$P$395),2)</f>
        <v>13.05</v>
      </c>
      <c r="L395" s="138"/>
      <c r="M395" s="139">
        <f>ROUND($K395*D395,0)</f>
        <v>419049</v>
      </c>
      <c r="N395" s="114">
        <v>57</v>
      </c>
      <c r="O395" s="167" t="s">
        <v>110</v>
      </c>
      <c r="P395" s="194">
        <f>P392/(I397)-1</f>
        <v>7.2786485008446977E-3</v>
      </c>
      <c r="S395" s="145">
        <f>K395-'Order(Exhibit B)'!K395</f>
        <v>3.0000000000001137E-2</v>
      </c>
      <c r="T395" s="115">
        <f>M395-'Order(Exhibit B)'!M395</f>
        <v>964</v>
      </c>
    </row>
    <row r="396" spans="1:20">
      <c r="A396" s="172" t="s">
        <v>125</v>
      </c>
      <c r="B396" s="173"/>
      <c r="C396" s="135">
        <f t="shared" si="88"/>
        <v>60180</v>
      </c>
      <c r="D396" s="135"/>
      <c r="E396" s="135"/>
      <c r="F396" s="174"/>
      <c r="G396" s="13"/>
      <c r="H396" s="139">
        <f t="shared" ref="H396" si="90">H405+H414+H423</f>
        <v>8337</v>
      </c>
      <c r="I396" s="139"/>
      <c r="J396" s="135"/>
      <c r="K396" s="174"/>
      <c r="L396" s="13"/>
      <c r="M396" s="139"/>
      <c r="N396" s="164"/>
      <c r="O396" s="164"/>
      <c r="P396" s="164"/>
      <c r="S396" s="145">
        <f>K396-'Order(Exhibit B)'!K396</f>
        <v>0</v>
      </c>
      <c r="T396" s="115">
        <f>M396-'Order(Exhibit B)'!M396</f>
        <v>0</v>
      </c>
    </row>
    <row r="397" spans="1:20" ht="16.5" thickBot="1">
      <c r="A397" s="176" t="s">
        <v>178</v>
      </c>
      <c r="B397" s="177"/>
      <c r="C397" s="203">
        <f t="shared" si="88"/>
        <v>10003214.253029106</v>
      </c>
      <c r="D397" s="203">
        <f t="shared" si="88"/>
        <v>10030592.085183039</v>
      </c>
      <c r="E397" s="203"/>
      <c r="F397" s="177"/>
      <c r="G397" s="177"/>
      <c r="H397" s="179">
        <f>SUM(H393:H396)</f>
        <v>1364066</v>
      </c>
      <c r="I397" s="179">
        <f>SUM(I393:I396)</f>
        <v>1362222</v>
      </c>
      <c r="J397" s="203"/>
      <c r="K397" s="177"/>
      <c r="L397" s="177"/>
      <c r="M397" s="179">
        <f>SUM(M393:M396)</f>
        <v>1372352</v>
      </c>
      <c r="O397" s="132" t="s">
        <v>108</v>
      </c>
      <c r="P397" s="131">
        <f>M397/I397-1</f>
        <v>7.4363796796703685E-3</v>
      </c>
      <c r="S397" s="145">
        <f>K397-'Order(Exhibit B)'!K397</f>
        <v>0</v>
      </c>
      <c r="T397" s="115">
        <f>M397-'Order(Exhibit B)'!M397</f>
        <v>3970</v>
      </c>
    </row>
    <row r="398" spans="1:20" ht="16.5" thickTop="1">
      <c r="S398" s="145">
        <f>K398-'Order(Exhibit B)'!K398</f>
        <v>0</v>
      </c>
      <c r="T398" s="115">
        <f>M398-'Order(Exhibit B)'!M398</f>
        <v>0</v>
      </c>
    </row>
    <row r="399" spans="1:20">
      <c r="A399" s="133" t="s">
        <v>466</v>
      </c>
      <c r="C399" s="135"/>
      <c r="D399" s="135"/>
      <c r="E399" s="135"/>
      <c r="J399" s="135"/>
      <c r="S399" s="145">
        <f>K399-'Order(Exhibit B)'!K399</f>
        <v>0</v>
      </c>
      <c r="T399" s="115">
        <f>M399-'Order(Exhibit B)'!M399</f>
        <v>0</v>
      </c>
    </row>
    <row r="400" spans="1:20">
      <c r="A400" s="136" t="s">
        <v>173</v>
      </c>
      <c r="C400" s="135">
        <v>4212</v>
      </c>
      <c r="D400" s="135">
        <v>3966</v>
      </c>
      <c r="E400" s="135"/>
      <c r="F400" s="201"/>
      <c r="G400" s="138"/>
      <c r="H400" s="139"/>
      <c r="I400" s="139"/>
      <c r="J400" s="135"/>
      <c r="K400" s="201"/>
      <c r="L400" s="138"/>
      <c r="M400" s="139"/>
      <c r="S400" s="145">
        <f>K400-'Order(Exhibit B)'!K400</f>
        <v>0</v>
      </c>
      <c r="T400" s="115">
        <f>M400-'Order(Exhibit B)'!M400</f>
        <v>0</v>
      </c>
    </row>
    <row r="401" spans="1:20">
      <c r="A401" s="136" t="s">
        <v>174</v>
      </c>
      <c r="C401" s="135">
        <v>7114356.6277373396</v>
      </c>
      <c r="D401" s="135">
        <f>D406</f>
        <v>7291942.8860848788</v>
      </c>
      <c r="E401" s="135"/>
      <c r="F401" s="201"/>
      <c r="G401" s="138"/>
      <c r="H401" s="139"/>
      <c r="I401" s="139"/>
      <c r="J401" s="135"/>
      <c r="K401" s="201"/>
      <c r="L401" s="138"/>
      <c r="M401" s="139"/>
      <c r="S401" s="145">
        <f>K401-'Order(Exhibit B)'!K401</f>
        <v>0</v>
      </c>
      <c r="T401" s="115">
        <f>M401-'Order(Exhibit B)'!M401</f>
        <v>0</v>
      </c>
    </row>
    <row r="402" spans="1:20">
      <c r="A402" s="200" t="s">
        <v>175</v>
      </c>
      <c r="C402" s="135">
        <v>45021.758241758202</v>
      </c>
      <c r="D402" s="135">
        <f>ROUND($C402*$D$406/($C$406-$C$405),0)</f>
        <v>46146</v>
      </c>
      <c r="E402" s="135"/>
      <c r="F402" s="201">
        <v>9.1</v>
      </c>
      <c r="G402" s="138"/>
      <c r="H402" s="139">
        <f t="shared" ref="H402:I404" si="91">ROUND($F402*C402,0)</f>
        <v>409698</v>
      </c>
      <c r="I402" s="139">
        <f t="shared" si="91"/>
        <v>419929</v>
      </c>
      <c r="J402" s="135"/>
      <c r="K402" s="201">
        <f>K$393</f>
        <v>9.17</v>
      </c>
      <c r="L402" s="138"/>
      <c r="M402" s="139">
        <f>ROUND($K402*D402,0)</f>
        <v>423159</v>
      </c>
      <c r="S402" s="145">
        <f>K402-'Order(Exhibit B)'!K402</f>
        <v>2.9999999999999361E-2</v>
      </c>
      <c r="T402" s="115">
        <f>M402-'Order(Exhibit B)'!M402</f>
        <v>1385</v>
      </c>
    </row>
    <row r="403" spans="1:20">
      <c r="A403" s="200" t="s">
        <v>176</v>
      </c>
      <c r="C403" s="137">
        <v>16172.169651272399</v>
      </c>
      <c r="D403" s="135">
        <f t="shared" ref="D403:D404" si="92">ROUND($C403*$D$406/($C$406-$C$405),0)</f>
        <v>16576</v>
      </c>
      <c r="E403" s="135"/>
      <c r="F403" s="201">
        <v>10.61</v>
      </c>
      <c r="H403" s="139">
        <f t="shared" si="91"/>
        <v>171587</v>
      </c>
      <c r="I403" s="139">
        <f t="shared" si="91"/>
        <v>175871</v>
      </c>
      <c r="J403" s="135"/>
      <c r="K403" s="201">
        <f>K$394</f>
        <v>10.69</v>
      </c>
      <c r="M403" s="139">
        <f>ROUND($K403*D403,0)</f>
        <v>177197</v>
      </c>
      <c r="S403" s="145">
        <f>K403-'Order(Exhibit B)'!K403</f>
        <v>2.9999999999999361E-2</v>
      </c>
      <c r="T403" s="115">
        <f>M403-'Order(Exhibit B)'!M403</f>
        <v>497</v>
      </c>
    </row>
    <row r="404" spans="1:20">
      <c r="A404" s="202" t="s">
        <v>177</v>
      </c>
      <c r="C404" s="135">
        <v>26119.1435185185</v>
      </c>
      <c r="D404" s="135">
        <f t="shared" si="92"/>
        <v>26771</v>
      </c>
      <c r="E404" s="135"/>
      <c r="F404" s="201">
        <v>12.96</v>
      </c>
      <c r="H404" s="139">
        <f t="shared" si="91"/>
        <v>338504</v>
      </c>
      <c r="I404" s="139">
        <f t="shared" si="91"/>
        <v>346952</v>
      </c>
      <c r="J404" s="135"/>
      <c r="K404" s="201">
        <f>K$395</f>
        <v>13.05</v>
      </c>
      <c r="M404" s="139">
        <f>ROUND($K404*D404,0)</f>
        <v>349362</v>
      </c>
      <c r="S404" s="145">
        <f>K404-'Order(Exhibit B)'!K404</f>
        <v>3.0000000000001137E-2</v>
      </c>
      <c r="T404" s="115">
        <f>M404-'Order(Exhibit B)'!M404</f>
        <v>804</v>
      </c>
    </row>
    <row r="405" spans="1:20">
      <c r="A405" s="172" t="s">
        <v>125</v>
      </c>
      <c r="B405" s="173"/>
      <c r="C405" s="135">
        <v>54250</v>
      </c>
      <c r="D405" s="135"/>
      <c r="E405" s="135"/>
      <c r="F405" s="174"/>
      <c r="G405" s="13"/>
      <c r="H405" s="139">
        <v>6973</v>
      </c>
      <c r="I405" s="139"/>
      <c r="J405" s="135"/>
      <c r="K405" s="174"/>
      <c r="L405" s="13"/>
      <c r="M405" s="139"/>
      <c r="N405" s="164"/>
      <c r="O405" s="164"/>
      <c r="P405" s="164"/>
      <c r="S405" s="145">
        <f>K405-'Order(Exhibit B)'!K405</f>
        <v>0</v>
      </c>
      <c r="T405" s="115">
        <f>M405-'Order(Exhibit B)'!M405</f>
        <v>0</v>
      </c>
    </row>
    <row r="406" spans="1:20" ht="16.5" thickBot="1">
      <c r="A406" s="176" t="s">
        <v>178</v>
      </c>
      <c r="B406" s="177"/>
      <c r="C406" s="203">
        <f>C401+C405</f>
        <v>7168606.6277373396</v>
      </c>
      <c r="D406" s="203">
        <v>7291942.8860848788</v>
      </c>
      <c r="E406" s="203"/>
      <c r="F406" s="177"/>
      <c r="G406" s="177"/>
      <c r="H406" s="179">
        <f>SUM(H402:H405)</f>
        <v>926762</v>
      </c>
      <c r="I406" s="179">
        <f>SUM(I402:I405)</f>
        <v>942752</v>
      </c>
      <c r="J406" s="203"/>
      <c r="K406" s="177"/>
      <c r="L406" s="177"/>
      <c r="M406" s="179">
        <f>SUM(M402:M405)</f>
        <v>949718</v>
      </c>
      <c r="O406" s="132" t="s">
        <v>108</v>
      </c>
      <c r="P406" s="131">
        <f>M406/I406-1</f>
        <v>7.3890058042835882E-3</v>
      </c>
      <c r="S406" s="145">
        <f>K406-'Order(Exhibit B)'!K406</f>
        <v>0</v>
      </c>
      <c r="T406" s="115">
        <f>M406-'Order(Exhibit B)'!M406</f>
        <v>2686</v>
      </c>
    </row>
    <row r="407" spans="1:20" ht="16.5" thickTop="1">
      <c r="S407" s="145">
        <f>K407-'Order(Exhibit B)'!K407</f>
        <v>0</v>
      </c>
      <c r="T407" s="115">
        <f>M407-'Order(Exhibit B)'!M407</f>
        <v>0</v>
      </c>
    </row>
    <row r="408" spans="1:20">
      <c r="A408" s="133" t="s">
        <v>467</v>
      </c>
      <c r="C408" s="135"/>
      <c r="D408" s="135"/>
      <c r="E408" s="135"/>
      <c r="J408" s="135"/>
      <c r="S408" s="145">
        <f>K408-'Order(Exhibit B)'!K408</f>
        <v>0</v>
      </c>
      <c r="T408" s="115">
        <f>M408-'Order(Exhibit B)'!M408</f>
        <v>0</v>
      </c>
    </row>
    <row r="409" spans="1:20">
      <c r="A409" s="136" t="s">
        <v>173</v>
      </c>
      <c r="C409" s="135">
        <v>397</v>
      </c>
      <c r="D409" s="135">
        <v>365</v>
      </c>
      <c r="E409" s="135"/>
      <c r="F409" s="201"/>
      <c r="G409" s="138"/>
      <c r="H409" s="139"/>
      <c r="I409" s="139"/>
      <c r="J409" s="135"/>
      <c r="K409" s="201"/>
      <c r="L409" s="138"/>
      <c r="M409" s="139"/>
      <c r="S409" s="145">
        <f>K409-'Order(Exhibit B)'!K409</f>
        <v>0</v>
      </c>
      <c r="T409" s="115">
        <f>M409-'Order(Exhibit B)'!M409</f>
        <v>0</v>
      </c>
    </row>
    <row r="410" spans="1:20">
      <c r="A410" s="136" t="s">
        <v>174</v>
      </c>
      <c r="C410" s="135">
        <v>790803.74883163697</v>
      </c>
      <c r="D410" s="135">
        <f>D415</f>
        <v>809331.09584229137</v>
      </c>
      <c r="E410" s="135"/>
      <c r="F410" s="201"/>
      <c r="G410" s="138"/>
      <c r="H410" s="139"/>
      <c r="I410" s="139"/>
      <c r="J410" s="135"/>
      <c r="K410" s="201"/>
      <c r="L410" s="138"/>
      <c r="M410" s="139"/>
      <c r="S410" s="145">
        <f>K410-'Order(Exhibit B)'!K410</f>
        <v>0</v>
      </c>
      <c r="T410" s="115">
        <f>M410-'Order(Exhibit B)'!M410</f>
        <v>0</v>
      </c>
    </row>
    <row r="411" spans="1:20">
      <c r="A411" s="200" t="s">
        <v>175</v>
      </c>
      <c r="C411" s="135">
        <v>3580.0153846153798</v>
      </c>
      <c r="D411" s="135">
        <f>ROUND($C411*$D$415/($C$415-$C$414),0)</f>
        <v>3664</v>
      </c>
      <c r="E411" s="135"/>
      <c r="F411" s="201">
        <v>9.1</v>
      </c>
      <c r="G411" s="138"/>
      <c r="H411" s="139">
        <f t="shared" ref="H411:I413" si="93">ROUND($F411*C411,0)</f>
        <v>32578</v>
      </c>
      <c r="I411" s="139">
        <f t="shared" si="93"/>
        <v>33342</v>
      </c>
      <c r="J411" s="135"/>
      <c r="K411" s="201">
        <f>K$393</f>
        <v>9.17</v>
      </c>
      <c r="L411" s="138"/>
      <c r="M411" s="139">
        <f>ROUND($K411*D411,0)</f>
        <v>33599</v>
      </c>
      <c r="S411" s="145">
        <f>K411-'Order(Exhibit B)'!K411</f>
        <v>2.9999999999999361E-2</v>
      </c>
      <c r="T411" s="115">
        <f>M411-'Order(Exhibit B)'!M411</f>
        <v>110</v>
      </c>
    </row>
    <row r="412" spans="1:20">
      <c r="A412" s="200" t="s">
        <v>176</v>
      </c>
      <c r="C412" s="137">
        <v>2047.9641847313901</v>
      </c>
      <c r="D412" s="135">
        <f t="shared" ref="D412:D413" si="94">ROUND($C412*$D$415/($C$415-$C$414),0)</f>
        <v>2096</v>
      </c>
      <c r="E412" s="135"/>
      <c r="F412" s="201">
        <v>10.61</v>
      </c>
      <c r="H412" s="139">
        <f t="shared" si="93"/>
        <v>21729</v>
      </c>
      <c r="I412" s="139">
        <f t="shared" si="93"/>
        <v>22239</v>
      </c>
      <c r="J412" s="135"/>
      <c r="K412" s="201">
        <f>K$394</f>
        <v>10.69</v>
      </c>
      <c r="M412" s="139">
        <f>ROUND($K412*D412,0)</f>
        <v>22406</v>
      </c>
      <c r="S412" s="145">
        <f>K412-'Order(Exhibit B)'!K412</f>
        <v>2.9999999999999361E-2</v>
      </c>
      <c r="T412" s="115">
        <f>M412-'Order(Exhibit B)'!M412</f>
        <v>63</v>
      </c>
    </row>
    <row r="413" spans="1:20">
      <c r="A413" s="202" t="s">
        <v>177</v>
      </c>
      <c r="C413" s="135">
        <v>2601.1975308642</v>
      </c>
      <c r="D413" s="135">
        <f t="shared" si="94"/>
        <v>2662</v>
      </c>
      <c r="E413" s="135"/>
      <c r="F413" s="201">
        <v>12.96</v>
      </c>
      <c r="H413" s="139">
        <f t="shared" si="93"/>
        <v>33712</v>
      </c>
      <c r="I413" s="139">
        <f t="shared" si="93"/>
        <v>34500</v>
      </c>
      <c r="J413" s="135"/>
      <c r="K413" s="201">
        <f>K$395</f>
        <v>13.05</v>
      </c>
      <c r="M413" s="139">
        <f>ROUND($K413*D413,0)</f>
        <v>34739</v>
      </c>
      <c r="S413" s="145">
        <f>K413-'Order(Exhibit B)'!K413</f>
        <v>3.0000000000001137E-2</v>
      </c>
      <c r="T413" s="115">
        <f>M413-'Order(Exhibit B)'!M413</f>
        <v>80</v>
      </c>
    </row>
    <row r="414" spans="1:20">
      <c r="A414" s="172" t="s">
        <v>125</v>
      </c>
      <c r="B414" s="173"/>
      <c r="C414" s="135">
        <v>191</v>
      </c>
      <c r="D414" s="135"/>
      <c r="E414" s="135"/>
      <c r="F414" s="174"/>
      <c r="G414" s="13"/>
      <c r="H414" s="139">
        <v>199</v>
      </c>
      <c r="I414" s="139"/>
      <c r="J414" s="135"/>
      <c r="K414" s="174"/>
      <c r="L414" s="13"/>
      <c r="M414" s="139"/>
      <c r="N414" s="164"/>
      <c r="O414" s="164"/>
      <c r="P414" s="164"/>
      <c r="S414" s="145">
        <f>K414-'Order(Exhibit B)'!K414</f>
        <v>0</v>
      </c>
      <c r="T414" s="115">
        <f>M414-'Order(Exhibit B)'!M414</f>
        <v>0</v>
      </c>
    </row>
    <row r="415" spans="1:20" ht="16.5" thickBot="1">
      <c r="A415" s="176" t="s">
        <v>178</v>
      </c>
      <c r="B415" s="177"/>
      <c r="C415" s="203">
        <f>C410+C414</f>
        <v>790994.74883163697</v>
      </c>
      <c r="D415" s="203">
        <v>809331.09584229137</v>
      </c>
      <c r="E415" s="203"/>
      <c r="F415" s="177"/>
      <c r="G415" s="177"/>
      <c r="H415" s="179">
        <f>SUM(H411:H414)</f>
        <v>88218</v>
      </c>
      <c r="I415" s="179">
        <f>SUM(I411:I414)</f>
        <v>90081</v>
      </c>
      <c r="J415" s="203"/>
      <c r="K415" s="177"/>
      <c r="L415" s="177"/>
      <c r="M415" s="179">
        <f>SUM(M411:M414)</f>
        <v>90744</v>
      </c>
      <c r="O415" s="132" t="s">
        <v>108</v>
      </c>
      <c r="P415" s="131">
        <f>M415/I415-1</f>
        <v>7.3600426283011444E-3</v>
      </c>
      <c r="S415" s="145">
        <f>K415-'Order(Exhibit B)'!K415</f>
        <v>0</v>
      </c>
      <c r="T415" s="115">
        <f>M415-'Order(Exhibit B)'!M415</f>
        <v>253</v>
      </c>
    </row>
    <row r="416" spans="1:20" ht="16.5" thickTop="1">
      <c r="S416" s="145">
        <f>K416-'Order(Exhibit B)'!K416</f>
        <v>0</v>
      </c>
      <c r="T416" s="115">
        <f>M416-'Order(Exhibit B)'!M416</f>
        <v>0</v>
      </c>
    </row>
    <row r="417" spans="1:20">
      <c r="A417" s="133" t="s">
        <v>468</v>
      </c>
      <c r="C417" s="135"/>
      <c r="D417" s="135"/>
      <c r="E417" s="135"/>
      <c r="J417" s="135"/>
      <c r="S417" s="145">
        <f>K417-'Order(Exhibit B)'!K417</f>
        <v>0</v>
      </c>
      <c r="T417" s="115">
        <f>M417-'Order(Exhibit B)'!M417</f>
        <v>0</v>
      </c>
    </row>
    <row r="418" spans="1:20">
      <c r="A418" s="136" t="s">
        <v>173</v>
      </c>
      <c r="C418" s="135">
        <v>2247</v>
      </c>
      <c r="D418" s="135">
        <v>2001.965744264912</v>
      </c>
      <c r="E418" s="135"/>
      <c r="F418" s="201"/>
      <c r="G418" s="138"/>
      <c r="H418" s="139"/>
      <c r="I418" s="139"/>
      <c r="J418" s="135"/>
      <c r="K418" s="201"/>
      <c r="L418" s="138"/>
      <c r="M418" s="139"/>
      <c r="S418" s="145">
        <f>K418-'Order(Exhibit B)'!K418</f>
        <v>0</v>
      </c>
      <c r="T418" s="115">
        <f>M418-'Order(Exhibit B)'!M418</f>
        <v>0</v>
      </c>
    </row>
    <row r="419" spans="1:20">
      <c r="A419" s="136" t="s">
        <v>174</v>
      </c>
      <c r="C419" s="135">
        <v>2037873.8764601301</v>
      </c>
      <c r="D419" s="135">
        <f>D424</f>
        <v>1929318.1032558689</v>
      </c>
      <c r="E419" s="135"/>
      <c r="F419" s="201"/>
      <c r="G419" s="138"/>
      <c r="H419" s="139"/>
      <c r="I419" s="139"/>
      <c r="J419" s="135"/>
      <c r="K419" s="201"/>
      <c r="L419" s="138"/>
      <c r="M419" s="139"/>
      <c r="S419" s="145">
        <f>K419-'Order(Exhibit B)'!K419</f>
        <v>0</v>
      </c>
      <c r="T419" s="115">
        <f>M419-'Order(Exhibit B)'!M419</f>
        <v>0</v>
      </c>
    </row>
    <row r="420" spans="1:20">
      <c r="A420" s="200" t="s">
        <v>175</v>
      </c>
      <c r="C420" s="135">
        <v>29561.963736263799</v>
      </c>
      <c r="D420" s="135">
        <f>ROUND($C420*$D$424/($C$424-$C$423),0)</f>
        <v>27987</v>
      </c>
      <c r="E420" s="135"/>
      <c r="F420" s="201">
        <v>9.1</v>
      </c>
      <c r="G420" s="138"/>
      <c r="H420" s="139">
        <f t="shared" ref="H420:I422" si="95">ROUND($F420*C420,0)</f>
        <v>269014</v>
      </c>
      <c r="I420" s="139">
        <f t="shared" si="95"/>
        <v>254682</v>
      </c>
      <c r="J420" s="135"/>
      <c r="K420" s="201">
        <f>K$393</f>
        <v>9.17</v>
      </c>
      <c r="L420" s="138"/>
      <c r="M420" s="139">
        <f>ROUND($K420*D420,0)</f>
        <v>256641</v>
      </c>
      <c r="S420" s="145">
        <f>K420-'Order(Exhibit B)'!K420</f>
        <v>2.9999999999999361E-2</v>
      </c>
      <c r="T420" s="115">
        <f>M420-'Order(Exhibit B)'!M420</f>
        <v>840</v>
      </c>
    </row>
    <row r="421" spans="1:20">
      <c r="A421" s="200" t="s">
        <v>176</v>
      </c>
      <c r="C421" s="137">
        <v>3981.7992459943398</v>
      </c>
      <c r="D421" s="135">
        <f t="shared" ref="D421:D422" si="96">ROUND($C421*$D$424/($C$424-$C$423),0)</f>
        <v>3770</v>
      </c>
      <c r="E421" s="135"/>
      <c r="F421" s="201">
        <v>10.61</v>
      </c>
      <c r="H421" s="139">
        <f t="shared" si="95"/>
        <v>42247</v>
      </c>
      <c r="I421" s="139">
        <f t="shared" si="95"/>
        <v>40000</v>
      </c>
      <c r="J421" s="135"/>
      <c r="K421" s="201">
        <f>K$394</f>
        <v>10.69</v>
      </c>
      <c r="M421" s="139">
        <f>ROUND($K421*D421,0)</f>
        <v>40301</v>
      </c>
      <c r="S421" s="145">
        <f>K421-'Order(Exhibit B)'!K421</f>
        <v>2.9999999999999361E-2</v>
      </c>
      <c r="T421" s="115">
        <f>M421-'Order(Exhibit B)'!M421</f>
        <v>113</v>
      </c>
    </row>
    <row r="422" spans="1:20">
      <c r="A422" s="202" t="s">
        <v>177</v>
      </c>
      <c r="C422" s="135">
        <v>2828.6990740740698</v>
      </c>
      <c r="D422" s="135">
        <f t="shared" si="96"/>
        <v>2678</v>
      </c>
      <c r="E422" s="135"/>
      <c r="F422" s="201">
        <v>12.96</v>
      </c>
      <c r="H422" s="139">
        <f t="shared" si="95"/>
        <v>36660</v>
      </c>
      <c r="I422" s="139">
        <f t="shared" si="95"/>
        <v>34707</v>
      </c>
      <c r="J422" s="135"/>
      <c r="K422" s="201">
        <f>K$395</f>
        <v>13.05</v>
      </c>
      <c r="M422" s="139">
        <f>ROUND($K422*D422,0)</f>
        <v>34948</v>
      </c>
      <c r="S422" s="145">
        <f>K422-'Order(Exhibit B)'!K422</f>
        <v>3.0000000000001137E-2</v>
      </c>
      <c r="T422" s="115">
        <f>M422-'Order(Exhibit B)'!M422</f>
        <v>80</v>
      </c>
    </row>
    <row r="423" spans="1:20">
      <c r="A423" s="172" t="s">
        <v>125</v>
      </c>
      <c r="B423" s="173"/>
      <c r="C423" s="135">
        <v>5739</v>
      </c>
      <c r="D423" s="135"/>
      <c r="E423" s="135"/>
      <c r="F423" s="174"/>
      <c r="G423" s="13"/>
      <c r="H423" s="139">
        <v>1165</v>
      </c>
      <c r="I423" s="139"/>
      <c r="J423" s="135"/>
      <c r="K423" s="174"/>
      <c r="L423" s="13"/>
      <c r="M423" s="139"/>
      <c r="N423" s="164"/>
      <c r="O423" s="164"/>
      <c r="P423" s="164"/>
      <c r="S423" s="145">
        <f>K423-'Order(Exhibit B)'!K423</f>
        <v>0</v>
      </c>
      <c r="T423" s="115">
        <f>M423-'Order(Exhibit B)'!M423</f>
        <v>0</v>
      </c>
    </row>
    <row r="424" spans="1:20" ht="16.5" thickBot="1">
      <c r="A424" s="176" t="s">
        <v>178</v>
      </c>
      <c r="B424" s="177"/>
      <c r="C424" s="203">
        <f>C419+C423</f>
        <v>2043612.8764601301</v>
      </c>
      <c r="D424" s="203">
        <v>1929318.1032558689</v>
      </c>
      <c r="E424" s="203"/>
      <c r="F424" s="177"/>
      <c r="G424" s="177"/>
      <c r="H424" s="179">
        <f>SUM(H420:H423)</f>
        <v>349086</v>
      </c>
      <c r="I424" s="179">
        <f>SUM(I420:I423)</f>
        <v>329389</v>
      </c>
      <c r="J424" s="203"/>
      <c r="K424" s="177"/>
      <c r="L424" s="177"/>
      <c r="M424" s="179">
        <f>SUM(M420:M423)</f>
        <v>331890</v>
      </c>
      <c r="O424" s="132" t="s">
        <v>108</v>
      </c>
      <c r="P424" s="131">
        <f>M424/I424-1</f>
        <v>7.5928461484748855E-3</v>
      </c>
      <c r="S424" s="145">
        <f>K424-'Order(Exhibit B)'!K424</f>
        <v>0</v>
      </c>
      <c r="T424" s="115">
        <f>M424-'Order(Exhibit B)'!M424</f>
        <v>1033</v>
      </c>
    </row>
    <row r="425" spans="1:20" ht="16.5" thickTop="1">
      <c r="C425" s="135"/>
      <c r="D425" s="135"/>
      <c r="E425" s="135"/>
      <c r="J425" s="135"/>
      <c r="S425" s="145">
        <f>K425-'Order(Exhibit B)'!K425</f>
        <v>0</v>
      </c>
      <c r="T425" s="115">
        <f>M425-'Order(Exhibit B)'!M425</f>
        <v>0</v>
      </c>
    </row>
    <row r="426" spans="1:20">
      <c r="A426" s="133" t="s">
        <v>179</v>
      </c>
      <c r="C426" s="135"/>
      <c r="D426" s="135"/>
      <c r="E426" s="135"/>
      <c r="J426" s="135"/>
      <c r="S426" s="145">
        <f>K426-'Order(Exhibit B)'!K426</f>
        <v>0</v>
      </c>
      <c r="T426" s="115">
        <f>M426-'Order(Exhibit B)'!M426</f>
        <v>0</v>
      </c>
    </row>
    <row r="427" spans="1:20">
      <c r="A427" s="136" t="s">
        <v>143</v>
      </c>
      <c r="C427" s="135">
        <f t="shared" ref="C427:D438" si="97">C441+C455+C469</f>
        <v>2505.0667605633798</v>
      </c>
      <c r="D427" s="135">
        <f t="shared" si="97"/>
        <v>2506</v>
      </c>
      <c r="E427" s="135"/>
      <c r="F427" s="138">
        <v>71</v>
      </c>
      <c r="G427" s="138"/>
      <c r="H427" s="139">
        <f t="shared" ref="H427:I431" si="98">ROUND($F427*C427,0)</f>
        <v>177860</v>
      </c>
      <c r="I427" s="139">
        <f t="shared" si="98"/>
        <v>177926</v>
      </c>
      <c r="J427" s="135"/>
      <c r="K427" s="138">
        <f>ROUND(F427*(1+$P$432),0)</f>
        <v>73</v>
      </c>
      <c r="L427" s="138"/>
      <c r="M427" s="139">
        <f>ROUND($K427*D427,0)</f>
        <v>182938</v>
      </c>
      <c r="O427" s="146" t="s">
        <v>101</v>
      </c>
      <c r="P427" s="147">
        <f>M438+M494</f>
        <v>180100288</v>
      </c>
      <c r="S427" s="145">
        <f>K427-'Order(Exhibit B)'!K427</f>
        <v>0</v>
      </c>
      <c r="T427" s="115">
        <f>M427-'Order(Exhibit B)'!M427</f>
        <v>0</v>
      </c>
    </row>
    <row r="428" spans="1:20">
      <c r="A428" s="136" t="s">
        <v>109</v>
      </c>
      <c r="C428" s="135">
        <f t="shared" si="97"/>
        <v>1542</v>
      </c>
      <c r="D428" s="135">
        <f t="shared" si="97"/>
        <v>1741.9035995628117</v>
      </c>
      <c r="E428" s="135"/>
      <c r="F428" s="138">
        <v>-0.5</v>
      </c>
      <c r="G428" s="138"/>
      <c r="H428" s="139">
        <f t="shared" si="98"/>
        <v>-771</v>
      </c>
      <c r="I428" s="139">
        <f t="shared" si="98"/>
        <v>-871</v>
      </c>
      <c r="J428" s="135"/>
      <c r="K428" s="138">
        <f>F428</f>
        <v>-0.5</v>
      </c>
      <c r="L428" s="138"/>
      <c r="M428" s="139">
        <f>ROUND($K428*D428,0)</f>
        <v>-871</v>
      </c>
      <c r="O428" s="149" t="s">
        <v>103</v>
      </c>
      <c r="P428" s="150">
        <f>'Exhibit B(Rate Spread)'!M22*1000</f>
        <v>180100645.2031455</v>
      </c>
      <c r="S428" s="145">
        <f>K428-'Order(Exhibit B)'!K428</f>
        <v>0</v>
      </c>
      <c r="T428" s="115">
        <f>M428-'Order(Exhibit B)'!M428</f>
        <v>0</v>
      </c>
    </row>
    <row r="429" spans="1:20">
      <c r="A429" s="136" t="s">
        <v>144</v>
      </c>
      <c r="C429" s="135">
        <f t="shared" si="97"/>
        <v>4023655.16632016</v>
      </c>
      <c r="D429" s="135">
        <f t="shared" si="97"/>
        <v>5174074</v>
      </c>
      <c r="E429" s="135"/>
      <c r="F429" s="138">
        <v>4.8099999999999996</v>
      </c>
      <c r="G429" s="138"/>
      <c r="H429" s="139">
        <f t="shared" si="98"/>
        <v>19353781</v>
      </c>
      <c r="I429" s="139">
        <f t="shared" si="98"/>
        <v>24887296</v>
      </c>
      <c r="J429" s="135"/>
      <c r="K429" s="138">
        <f>ROUND(F429*(1+$P$432),2)</f>
        <v>4.96</v>
      </c>
      <c r="L429" s="138"/>
      <c r="M429" s="139">
        <f>ROUND($K429*D429,0)</f>
        <v>25663407</v>
      </c>
      <c r="O429" s="152" t="s">
        <v>105</v>
      </c>
      <c r="P429" s="153">
        <f>P428-P427</f>
        <v>357.2031455039978</v>
      </c>
      <c r="S429" s="145">
        <f>K429-'Order(Exhibit B)'!K429</f>
        <v>9.9999999999997868E-3</v>
      </c>
      <c r="T429" s="115">
        <f>M429-'Order(Exhibit B)'!M429</f>
        <v>51741</v>
      </c>
    </row>
    <row r="430" spans="1:20">
      <c r="A430" s="136" t="s">
        <v>180</v>
      </c>
      <c r="C430" s="135">
        <f t="shared" si="97"/>
        <v>1315838.2676414489</v>
      </c>
      <c r="D430" s="135">
        <f t="shared" si="97"/>
        <v>1689143</v>
      </c>
      <c r="E430" s="135"/>
      <c r="F430" s="138">
        <v>15.73</v>
      </c>
      <c r="G430" s="138"/>
      <c r="H430" s="139">
        <f t="shared" si="98"/>
        <v>20698136</v>
      </c>
      <c r="I430" s="139">
        <f t="shared" si="98"/>
        <v>26570219</v>
      </c>
      <c r="J430" s="135"/>
      <c r="K430" s="138">
        <f t="shared" ref="K430:K431" si="99">ROUND(F430*(1+$P$432),2)</f>
        <v>16.23</v>
      </c>
      <c r="L430" s="138"/>
      <c r="M430" s="139">
        <f>ROUND($K430*D430,0)</f>
        <v>27414791</v>
      </c>
      <c r="O430" s="146" t="s">
        <v>108</v>
      </c>
      <c r="P430" s="192">
        <f>P427/(I438+I494)-1</f>
        <v>3.2276601127944726E-2</v>
      </c>
      <c r="S430" s="145">
        <f>K430-'Order(Exhibit B)'!K430</f>
        <v>5.0000000000000711E-2</v>
      </c>
      <c r="T430" s="115">
        <f>M430-'Order(Exhibit B)'!M430</f>
        <v>84457</v>
      </c>
    </row>
    <row r="431" spans="1:20">
      <c r="A431" s="136" t="s">
        <v>181</v>
      </c>
      <c r="C431" s="135">
        <f t="shared" si="97"/>
        <v>2409012.73706896</v>
      </c>
      <c r="D431" s="135">
        <f t="shared" si="97"/>
        <v>3076633</v>
      </c>
      <c r="E431" s="135"/>
      <c r="F431" s="138">
        <v>13.92</v>
      </c>
      <c r="G431" s="138"/>
      <c r="H431" s="139">
        <f t="shared" si="98"/>
        <v>33533457</v>
      </c>
      <c r="I431" s="139">
        <f t="shared" si="98"/>
        <v>42826731</v>
      </c>
      <c r="J431" s="135"/>
      <c r="K431" s="138">
        <f t="shared" si="99"/>
        <v>14.36</v>
      </c>
      <c r="L431" s="138"/>
      <c r="M431" s="139">
        <f>ROUND($K431*D431,0)</f>
        <v>44180450</v>
      </c>
      <c r="O431" s="149" t="s">
        <v>110</v>
      </c>
      <c r="P431" s="191">
        <f>P428/(I438+I494)-1</f>
        <v>3.2278648500844831E-2</v>
      </c>
      <c r="S431" s="145">
        <f>K431-'Order(Exhibit B)'!K431</f>
        <v>3.9999999999999147E-2</v>
      </c>
      <c r="T431" s="115">
        <f>M431-'Order(Exhibit B)'!M431</f>
        <v>123065</v>
      </c>
    </row>
    <row r="432" spans="1:20">
      <c r="A432" s="136" t="s">
        <v>111</v>
      </c>
      <c r="C432" s="135">
        <f t="shared" si="97"/>
        <v>140171429</v>
      </c>
      <c r="D432" s="135">
        <f t="shared" si="97"/>
        <v>181086619</v>
      </c>
      <c r="E432" s="135"/>
      <c r="F432" s="204">
        <v>5.8281999999999998</v>
      </c>
      <c r="G432" s="163" t="s">
        <v>112</v>
      </c>
      <c r="H432" s="139">
        <f t="shared" ref="H432:I435" si="100">ROUND($F432*C432/100,0)</f>
        <v>8169471</v>
      </c>
      <c r="I432" s="139">
        <f t="shared" si="100"/>
        <v>10554090</v>
      </c>
      <c r="J432" s="135"/>
      <c r="K432" s="204">
        <f>ROUND(F432*(1+$P$432),$P$8)</f>
        <v>6.0133000000000001</v>
      </c>
      <c r="L432" s="163" t="s">
        <v>112</v>
      </c>
      <c r="M432" s="139">
        <f>ROUND($K432*D432/100,0)</f>
        <v>10889282</v>
      </c>
      <c r="O432" s="149" t="s">
        <v>182</v>
      </c>
      <c r="P432" s="191">
        <f>(P428-SUM(M428,M436,M484,M492))/SUM(I427,I429:I435,I483,I485:I491)-1</f>
        <v>3.1752103688460487E-2</v>
      </c>
      <c r="S432" s="145">
        <f>K432-'Order(Exhibit B)'!K432</f>
        <v>1.7000000000000348E-2</v>
      </c>
      <c r="T432" s="115">
        <f>M432-'Order(Exhibit B)'!M432</f>
        <v>30785</v>
      </c>
    </row>
    <row r="433" spans="1:20">
      <c r="A433" s="136" t="s">
        <v>114</v>
      </c>
      <c r="C433" s="135">
        <f t="shared" si="97"/>
        <v>501247661.31583476</v>
      </c>
      <c r="D433" s="135">
        <f t="shared" si="97"/>
        <v>648505531</v>
      </c>
      <c r="E433" s="135"/>
      <c r="F433" s="204">
        <v>2.9624000000000001</v>
      </c>
      <c r="G433" s="163" t="s">
        <v>112</v>
      </c>
      <c r="H433" s="139">
        <f t="shared" si="100"/>
        <v>14848961</v>
      </c>
      <c r="I433" s="139">
        <f t="shared" si="100"/>
        <v>19211328</v>
      </c>
      <c r="J433" s="135"/>
      <c r="K433" s="204">
        <f>ROUND(F433*(1+$P$432),$P$8)</f>
        <v>3.0565000000000002</v>
      </c>
      <c r="L433" s="163" t="s">
        <v>112</v>
      </c>
      <c r="M433" s="139">
        <f>ROUND($K433*D433/100,0)</f>
        <v>19821572</v>
      </c>
      <c r="O433" s="167"/>
      <c r="P433" s="205"/>
      <c r="S433" s="145">
        <f>K433-'Order(Exhibit B)'!K433</f>
        <v>8.7000000000001521E-3</v>
      </c>
      <c r="T433" s="115">
        <f>M433-'Order(Exhibit B)'!M433</f>
        <v>56420</v>
      </c>
    </row>
    <row r="434" spans="1:20">
      <c r="A434" s="136" t="s">
        <v>183</v>
      </c>
      <c r="C434" s="135">
        <f t="shared" si="97"/>
        <v>256517897</v>
      </c>
      <c r="D434" s="135">
        <f t="shared" si="97"/>
        <v>330265802</v>
      </c>
      <c r="E434" s="135"/>
      <c r="F434" s="204">
        <v>5.1577000000000002</v>
      </c>
      <c r="G434" s="163" t="s">
        <v>112</v>
      </c>
      <c r="H434" s="139">
        <f t="shared" si="100"/>
        <v>13230424</v>
      </c>
      <c r="I434" s="139">
        <f t="shared" si="100"/>
        <v>17034119</v>
      </c>
      <c r="J434" s="135"/>
      <c r="K434" s="204">
        <f>ROUND(F434*(1+$P$432),$P$8)</f>
        <v>5.3215000000000003</v>
      </c>
      <c r="L434" s="163" t="s">
        <v>112</v>
      </c>
      <c r="M434" s="139">
        <f>ROUND($K434*D434/100,0)</f>
        <v>17575095</v>
      </c>
      <c r="O434" s="142" t="s">
        <v>184</v>
      </c>
      <c r="P434" s="195"/>
      <c r="S434" s="145">
        <f>K434-'Order(Exhibit B)'!K434</f>
        <v>1.5100000000000335E-2</v>
      </c>
      <c r="T434" s="115">
        <f>M434-'Order(Exhibit B)'!M434</f>
        <v>49870</v>
      </c>
    </row>
    <row r="435" spans="1:20">
      <c r="A435" s="136" t="s">
        <v>185</v>
      </c>
      <c r="C435" s="135">
        <f t="shared" si="97"/>
        <v>900559368.86344838</v>
      </c>
      <c r="D435" s="135">
        <f t="shared" si="97"/>
        <v>1160729862</v>
      </c>
      <c r="E435" s="135"/>
      <c r="F435" s="204">
        <v>2.6215999999999999</v>
      </c>
      <c r="G435" s="163" t="s">
        <v>112</v>
      </c>
      <c r="H435" s="139">
        <f t="shared" si="100"/>
        <v>23609064</v>
      </c>
      <c r="I435" s="139">
        <f t="shared" si="100"/>
        <v>30429694</v>
      </c>
      <c r="J435" s="135"/>
      <c r="K435" s="204">
        <f>ROUND((P428-SUM(M427:M434,M436,M483:M490,M492))/SUM(D435,D491)*100,$P$8)</f>
        <v>2.7065000000000001</v>
      </c>
      <c r="L435" s="163" t="s">
        <v>112</v>
      </c>
      <c r="M435" s="139">
        <f>ROUND($K435*D435/100,0)</f>
        <v>31415154</v>
      </c>
      <c r="O435" s="142" t="s">
        <v>186</v>
      </c>
      <c r="P435" s="143">
        <v>1.1299999999999999</v>
      </c>
      <c r="S435" s="145">
        <f>K435-'Order(Exhibit B)'!K435</f>
        <v>9.300000000000086E-3</v>
      </c>
      <c r="T435" s="115">
        <f>M435-'Order(Exhibit B)'!M435</f>
        <v>107948</v>
      </c>
    </row>
    <row r="436" spans="1:20">
      <c r="A436" s="136" t="s">
        <v>150</v>
      </c>
      <c r="C436" s="135">
        <f t="shared" si="97"/>
        <v>1931307.03539823</v>
      </c>
      <c r="D436" s="135">
        <f>D450+D464+D478</f>
        <v>2499571</v>
      </c>
      <c r="E436" s="135"/>
      <c r="F436" s="138">
        <v>-1.1299999999999999</v>
      </c>
      <c r="G436" s="138"/>
      <c r="H436" s="139">
        <f>ROUND($F436*C436,0)</f>
        <v>-2182377</v>
      </c>
      <c r="I436" s="139">
        <f>ROUND($F436*D436,0)</f>
        <v>-2824515</v>
      </c>
      <c r="J436" s="135"/>
      <c r="K436" s="138">
        <f>F436</f>
        <v>-1.1299999999999999</v>
      </c>
      <c r="L436" s="138"/>
      <c r="M436" s="139">
        <f>ROUND($K436*D436,0)</f>
        <v>-2824515</v>
      </c>
      <c r="O436" s="114" t="s">
        <v>187</v>
      </c>
      <c r="P436" s="164">
        <f>P431</f>
        <v>3.2278648500844831E-2</v>
      </c>
      <c r="Q436" s="145"/>
      <c r="S436" s="145">
        <f>K436-'Order(Exhibit B)'!K436</f>
        <v>0</v>
      </c>
      <c r="T436" s="115">
        <f>M436-'Order(Exhibit B)'!M436</f>
        <v>0</v>
      </c>
    </row>
    <row r="437" spans="1:20">
      <c r="A437" s="172" t="s">
        <v>125</v>
      </c>
      <c r="B437" s="173"/>
      <c r="C437" s="135">
        <f t="shared" si="97"/>
        <v>6838476</v>
      </c>
      <c r="D437" s="135"/>
      <c r="E437" s="135"/>
      <c r="F437" s="174"/>
      <c r="G437" s="13"/>
      <c r="H437" s="139">
        <f>H451+H465+H479</f>
        <v>629973</v>
      </c>
      <c r="I437" s="139"/>
      <c r="J437" s="135"/>
      <c r="K437" s="174"/>
      <c r="L437" s="13"/>
      <c r="M437" s="139"/>
      <c r="N437" s="164"/>
      <c r="O437" s="114" t="s">
        <v>188</v>
      </c>
      <c r="P437" s="164">
        <f>P431</f>
        <v>3.2278648500844831E-2</v>
      </c>
      <c r="Q437" s="145"/>
      <c r="S437" s="145">
        <f>K437-'Order(Exhibit B)'!K437</f>
        <v>0</v>
      </c>
      <c r="T437" s="115">
        <f>M437-'Order(Exhibit B)'!M437</f>
        <v>0</v>
      </c>
    </row>
    <row r="438" spans="1:20" ht="16.5" thickBot="1">
      <c r="A438" s="176" t="s">
        <v>127</v>
      </c>
      <c r="B438" s="177"/>
      <c r="C438" s="178">
        <f t="shared" si="97"/>
        <v>1805334832.1792831</v>
      </c>
      <c r="D438" s="178">
        <f t="shared" si="97"/>
        <v>2320587813.1740799</v>
      </c>
      <c r="E438" s="178"/>
      <c r="F438" s="177"/>
      <c r="G438" s="177"/>
      <c r="H438" s="179">
        <f>SUM(H427:H437)</f>
        <v>132067979</v>
      </c>
      <c r="I438" s="179">
        <f>SUM(I427:I437)</f>
        <v>168866017</v>
      </c>
      <c r="J438" s="178"/>
      <c r="K438" s="177"/>
      <c r="L438" s="177"/>
      <c r="M438" s="179">
        <f>SUM(M427:M437)</f>
        <v>174317303</v>
      </c>
      <c r="O438" s="114" t="s">
        <v>108</v>
      </c>
      <c r="P438" s="164">
        <f>M438/I438-1</f>
        <v>3.2281723089376824E-2</v>
      </c>
      <c r="S438" s="145">
        <f>K438-'Order(Exhibit B)'!K438</f>
        <v>0</v>
      </c>
      <c r="T438" s="115">
        <f>M438-'Order(Exhibit B)'!M438</f>
        <v>504286</v>
      </c>
    </row>
    <row r="439" spans="1:20" ht="16.5" thickTop="1">
      <c r="S439" s="145">
        <f>K439-'Order(Exhibit B)'!K439</f>
        <v>0</v>
      </c>
      <c r="T439" s="115">
        <f>M439-'Order(Exhibit B)'!M439</f>
        <v>0</v>
      </c>
    </row>
    <row r="440" spans="1:20">
      <c r="A440" s="133" t="s">
        <v>469</v>
      </c>
      <c r="S440" s="145">
        <f>K440-'Order(Exhibit B)'!K440</f>
        <v>0</v>
      </c>
      <c r="T440" s="115">
        <f>M440-'Order(Exhibit B)'!M440</f>
        <v>0</v>
      </c>
    </row>
    <row r="441" spans="1:20">
      <c r="A441" s="136" t="s">
        <v>143</v>
      </c>
      <c r="C441" s="135">
        <v>1392.3333802816901</v>
      </c>
      <c r="D441" s="135">
        <v>1366</v>
      </c>
      <c r="E441" s="135"/>
      <c r="F441" s="138">
        <v>71</v>
      </c>
      <c r="G441" s="138"/>
      <c r="H441" s="139">
        <f t="shared" ref="H441:I445" si="101">ROUND($F441*C441,0)</f>
        <v>98856</v>
      </c>
      <c r="I441" s="139">
        <f t="shared" si="101"/>
        <v>96986</v>
      </c>
      <c r="J441" s="135"/>
      <c r="K441" s="138">
        <f>K$427</f>
        <v>73</v>
      </c>
      <c r="L441" s="138"/>
      <c r="M441" s="139">
        <f>ROUND($K441*D441,0)</f>
        <v>99718</v>
      </c>
      <c r="S441" s="145">
        <f>K441-'Order(Exhibit B)'!K441</f>
        <v>0</v>
      </c>
      <c r="T441" s="115">
        <f>M441-'Order(Exhibit B)'!M441</f>
        <v>0</v>
      </c>
    </row>
    <row r="442" spans="1:20">
      <c r="A442" s="136" t="s">
        <v>109</v>
      </c>
      <c r="C442" s="135">
        <v>858</v>
      </c>
      <c r="D442" s="135">
        <v>949.49733320143696</v>
      </c>
      <c r="E442" s="135"/>
      <c r="F442" s="138">
        <v>-0.5</v>
      </c>
      <c r="G442" s="138"/>
      <c r="H442" s="139">
        <f t="shared" si="101"/>
        <v>-429</v>
      </c>
      <c r="I442" s="139">
        <f t="shared" si="101"/>
        <v>-475</v>
      </c>
      <c r="J442" s="135"/>
      <c r="K442" s="138">
        <f>K$428</f>
        <v>-0.5</v>
      </c>
      <c r="L442" s="138"/>
      <c r="M442" s="139">
        <f>ROUND($K442*D442,0)</f>
        <v>-475</v>
      </c>
      <c r="S442" s="145">
        <f>K442-'Order(Exhibit B)'!K442</f>
        <v>0</v>
      </c>
      <c r="T442" s="115">
        <f>M442-'Order(Exhibit B)'!M442</f>
        <v>0</v>
      </c>
    </row>
    <row r="443" spans="1:20">
      <c r="A443" s="136" t="s">
        <v>144</v>
      </c>
      <c r="C443" s="135">
        <v>1940074.86486486</v>
      </c>
      <c r="D443" s="135">
        <f t="shared" ref="D443:D450" si="102">ROUND($C443*D$452/$C$452,0)</f>
        <v>2865871</v>
      </c>
      <c r="E443" s="135"/>
      <c r="F443" s="138">
        <v>4.8099999999999996</v>
      </c>
      <c r="G443" s="138"/>
      <c r="H443" s="139">
        <f t="shared" si="101"/>
        <v>9331760</v>
      </c>
      <c r="I443" s="139">
        <f t="shared" si="101"/>
        <v>13784840</v>
      </c>
      <c r="J443" s="135"/>
      <c r="K443" s="138">
        <f>K$429</f>
        <v>4.96</v>
      </c>
      <c r="L443" s="138"/>
      <c r="M443" s="139">
        <f>ROUND($K443*D443,0)</f>
        <v>14214720</v>
      </c>
      <c r="S443" s="145">
        <f>K443-'Order(Exhibit B)'!K443</f>
        <v>9.9999999999997868E-3</v>
      </c>
      <c r="T443" s="115">
        <f>M443-'Order(Exhibit B)'!M443</f>
        <v>28659</v>
      </c>
    </row>
    <row r="444" spans="1:20">
      <c r="A444" s="136" t="s">
        <v>180</v>
      </c>
      <c r="C444" s="135">
        <v>626572.01335028606</v>
      </c>
      <c r="D444" s="135">
        <f t="shared" si="102"/>
        <v>925570</v>
      </c>
      <c r="E444" s="135"/>
      <c r="F444" s="138">
        <v>15.73</v>
      </c>
      <c r="G444" s="138"/>
      <c r="H444" s="139">
        <f t="shared" si="101"/>
        <v>9855978</v>
      </c>
      <c r="I444" s="139">
        <f t="shared" si="101"/>
        <v>14559216</v>
      </c>
      <c r="J444" s="135"/>
      <c r="K444" s="138">
        <f>K$430</f>
        <v>16.23</v>
      </c>
      <c r="L444" s="138"/>
      <c r="M444" s="139">
        <f>ROUND($K444*D444,0)</f>
        <v>15022001</v>
      </c>
      <c r="S444" s="145">
        <f>K444-'Order(Exhibit B)'!K444</f>
        <v>5.0000000000000711E-2</v>
      </c>
      <c r="T444" s="115">
        <f>M444-'Order(Exhibit B)'!M444</f>
        <v>46278</v>
      </c>
    </row>
    <row r="445" spans="1:20">
      <c r="A445" s="136" t="s">
        <v>181</v>
      </c>
      <c r="C445" s="135">
        <v>1104294.1896551701</v>
      </c>
      <c r="D445" s="135">
        <f t="shared" si="102"/>
        <v>1631259</v>
      </c>
      <c r="E445" s="135"/>
      <c r="F445" s="138">
        <v>13.92</v>
      </c>
      <c r="G445" s="138"/>
      <c r="H445" s="139">
        <f t="shared" si="101"/>
        <v>15371775</v>
      </c>
      <c r="I445" s="139">
        <f t="shared" si="101"/>
        <v>22707125</v>
      </c>
      <c r="J445" s="135"/>
      <c r="K445" s="138">
        <f>K$431</f>
        <v>14.36</v>
      </c>
      <c r="L445" s="138"/>
      <c r="M445" s="139">
        <f>ROUND($K445*D445,0)</f>
        <v>23424879</v>
      </c>
      <c r="S445" s="145">
        <f>K445-'Order(Exhibit B)'!K445</f>
        <v>3.9999999999999147E-2</v>
      </c>
      <c r="T445" s="115">
        <f>M445-'Order(Exhibit B)'!M445</f>
        <v>65250</v>
      </c>
    </row>
    <row r="446" spans="1:20">
      <c r="A446" s="136" t="s">
        <v>111</v>
      </c>
      <c r="C446" s="135">
        <v>67725035</v>
      </c>
      <c r="D446" s="135">
        <f>ROUND($C446*D$452/($C$452-$C$451),0)</f>
        <v>100810889</v>
      </c>
      <c r="E446" s="135"/>
      <c r="F446" s="204">
        <v>5.8281999999999998</v>
      </c>
      <c r="G446" s="163" t="s">
        <v>112</v>
      </c>
      <c r="H446" s="139">
        <f t="shared" ref="H446:I449" si="103">ROUND($F446*C446/100,0)</f>
        <v>3947150</v>
      </c>
      <c r="I446" s="139">
        <f t="shared" si="103"/>
        <v>5875460</v>
      </c>
      <c r="J446" s="135"/>
      <c r="K446" s="204">
        <f>K$432</f>
        <v>6.0133000000000001</v>
      </c>
      <c r="L446" s="163" t="s">
        <v>112</v>
      </c>
      <c r="M446" s="139">
        <f>ROUND($K446*D446/100,0)</f>
        <v>6062061</v>
      </c>
      <c r="S446" s="145">
        <f>K446-'Order(Exhibit B)'!K446</f>
        <v>1.7000000000000348E-2</v>
      </c>
      <c r="T446" s="115">
        <f>M446-'Order(Exhibit B)'!M446</f>
        <v>17138</v>
      </c>
    </row>
    <row r="447" spans="1:20">
      <c r="A447" s="136" t="s">
        <v>114</v>
      </c>
      <c r="C447" s="135">
        <v>244671795.31583476</v>
      </c>
      <c r="D447" s="135">
        <f t="shared" ref="D447:D449" si="104">ROUND($C447*D$452/($C$452-$C$451),0)</f>
        <v>364201822</v>
      </c>
      <c r="E447" s="135"/>
      <c r="F447" s="204">
        <v>2.9624000000000001</v>
      </c>
      <c r="G447" s="163" t="s">
        <v>112</v>
      </c>
      <c r="H447" s="139">
        <f t="shared" si="103"/>
        <v>7248157</v>
      </c>
      <c r="I447" s="139">
        <f t="shared" si="103"/>
        <v>10789115</v>
      </c>
      <c r="J447" s="135"/>
      <c r="K447" s="204">
        <f>K$433</f>
        <v>3.0565000000000002</v>
      </c>
      <c r="L447" s="163" t="s">
        <v>112</v>
      </c>
      <c r="M447" s="139">
        <f>ROUND($K447*D447/100,0)</f>
        <v>11131829</v>
      </c>
      <c r="S447" s="145">
        <f>K447-'Order(Exhibit B)'!K447</f>
        <v>8.7000000000001521E-3</v>
      </c>
      <c r="T447" s="115">
        <f>M447-'Order(Exhibit B)'!M447</f>
        <v>31686</v>
      </c>
    </row>
    <row r="448" spans="1:20">
      <c r="A448" s="136" t="s">
        <v>183</v>
      </c>
      <c r="C448" s="135">
        <v>120974122</v>
      </c>
      <c r="D448" s="135">
        <f t="shared" si="104"/>
        <v>180073864</v>
      </c>
      <c r="E448" s="135"/>
      <c r="F448" s="204">
        <v>5.1577000000000002</v>
      </c>
      <c r="G448" s="163" t="s">
        <v>112</v>
      </c>
      <c r="H448" s="139">
        <f t="shared" si="103"/>
        <v>6239482</v>
      </c>
      <c r="I448" s="139">
        <f t="shared" si="103"/>
        <v>9287670</v>
      </c>
      <c r="J448" s="135"/>
      <c r="K448" s="204">
        <f>K$434</f>
        <v>5.3215000000000003</v>
      </c>
      <c r="L448" s="163" t="s">
        <v>112</v>
      </c>
      <c r="M448" s="139">
        <f>ROUND($K448*D448/100,0)</f>
        <v>9582631</v>
      </c>
      <c r="S448" s="145">
        <f>K448-'Order(Exhibit B)'!K448</f>
        <v>1.5100000000000335E-2</v>
      </c>
      <c r="T448" s="115">
        <f>M448-'Order(Exhibit B)'!M448</f>
        <v>27191</v>
      </c>
    </row>
    <row r="449" spans="1:20">
      <c r="A449" s="136" t="s">
        <v>185</v>
      </c>
      <c r="C449" s="135">
        <v>428030030.86344844</v>
      </c>
      <c r="D449" s="135">
        <f t="shared" si="104"/>
        <v>637136441</v>
      </c>
      <c r="E449" s="135"/>
      <c r="F449" s="204">
        <v>2.6215999999999999</v>
      </c>
      <c r="G449" s="163" t="s">
        <v>112</v>
      </c>
      <c r="H449" s="139">
        <f t="shared" si="103"/>
        <v>11221235</v>
      </c>
      <c r="I449" s="139">
        <f t="shared" si="103"/>
        <v>16703169</v>
      </c>
      <c r="J449" s="135"/>
      <c r="K449" s="204">
        <f>K$435</f>
        <v>2.7065000000000001</v>
      </c>
      <c r="L449" s="163" t="s">
        <v>112</v>
      </c>
      <c r="M449" s="139">
        <f>ROUND($K449*D449/100,0)</f>
        <v>17244098</v>
      </c>
      <c r="S449" s="145">
        <f>K449-'Order(Exhibit B)'!K449</f>
        <v>9.300000000000086E-3</v>
      </c>
      <c r="T449" s="115">
        <f>M449-'Order(Exhibit B)'!M449</f>
        <v>59254</v>
      </c>
    </row>
    <row r="450" spans="1:20">
      <c r="A450" s="136" t="s">
        <v>150</v>
      </c>
      <c r="C450" s="135">
        <v>974574.37168141606</v>
      </c>
      <c r="D450" s="135">
        <f t="shared" si="102"/>
        <v>1439638</v>
      </c>
      <c r="E450" s="135"/>
      <c r="F450" s="138">
        <v>-1.1299999999999999</v>
      </c>
      <c r="G450" s="138"/>
      <c r="H450" s="139">
        <f>ROUND($F450*C450,0)</f>
        <v>-1101269</v>
      </c>
      <c r="I450" s="139">
        <f>ROUND($F450*D450,0)</f>
        <v>-1626791</v>
      </c>
      <c r="J450" s="135"/>
      <c r="K450" s="138">
        <f>K$436</f>
        <v>-1.1299999999999999</v>
      </c>
      <c r="L450" s="138"/>
      <c r="M450" s="139">
        <f>ROUND($K450*D450,0)</f>
        <v>-1626791</v>
      </c>
      <c r="S450" s="145">
        <f>K450-'Order(Exhibit B)'!K450</f>
        <v>0</v>
      </c>
      <c r="T450" s="115">
        <f>M450-'Order(Exhibit B)'!M450</f>
        <v>0</v>
      </c>
    </row>
    <row r="451" spans="1:20">
      <c r="A451" s="172" t="s">
        <v>125</v>
      </c>
      <c r="B451" s="173"/>
      <c r="C451" s="135">
        <v>6610350</v>
      </c>
      <c r="D451" s="135"/>
      <c r="E451" s="135"/>
      <c r="F451" s="174"/>
      <c r="G451" s="13"/>
      <c r="H451" s="139">
        <v>473245</v>
      </c>
      <c r="I451" s="139"/>
      <c r="J451" s="135"/>
      <c r="K451" s="174"/>
      <c r="L451" s="13"/>
      <c r="M451" s="139"/>
      <c r="N451" s="164"/>
      <c r="O451" s="164"/>
      <c r="P451" s="164"/>
      <c r="S451" s="145">
        <f>K451-'Order(Exhibit B)'!K451</f>
        <v>0</v>
      </c>
      <c r="T451" s="115">
        <f>M451-'Order(Exhibit B)'!M451</f>
        <v>0</v>
      </c>
    </row>
    <row r="452" spans="1:20" ht="16.5" thickBot="1">
      <c r="A452" s="176" t="s">
        <v>127</v>
      </c>
      <c r="B452" s="177"/>
      <c r="C452" s="178">
        <f>SUM(C446:C449,C451)</f>
        <v>868011333.17928314</v>
      </c>
      <c r="D452" s="178">
        <v>1282223015.5365267</v>
      </c>
      <c r="E452" s="178"/>
      <c r="F452" s="177"/>
      <c r="G452" s="177"/>
      <c r="H452" s="179">
        <f>SUM(H441:H451)</f>
        <v>62685940</v>
      </c>
      <c r="I452" s="179">
        <f>SUM(I441:I451)</f>
        <v>92176315</v>
      </c>
      <c r="J452" s="178"/>
      <c r="K452" s="177"/>
      <c r="L452" s="177"/>
      <c r="M452" s="179">
        <f>SUM(M441:M451)</f>
        <v>95154671</v>
      </c>
      <c r="O452" s="114" t="s">
        <v>108</v>
      </c>
      <c r="P452" s="164">
        <f>M452/I452-1</f>
        <v>3.2311510825747458E-2</v>
      </c>
      <c r="S452" s="145">
        <f>K452-'Order(Exhibit B)'!K452</f>
        <v>0</v>
      </c>
      <c r="T452" s="115">
        <f>M452-'Order(Exhibit B)'!M452</f>
        <v>275456</v>
      </c>
    </row>
    <row r="453" spans="1:20" ht="16.5" thickTop="1">
      <c r="S453" s="145">
        <f>K453-'Order(Exhibit B)'!K453</f>
        <v>0</v>
      </c>
      <c r="T453" s="115">
        <f>M453-'Order(Exhibit B)'!M453</f>
        <v>0</v>
      </c>
    </row>
    <row r="454" spans="1:20">
      <c r="A454" s="133" t="s">
        <v>317</v>
      </c>
      <c r="S454" s="145">
        <f>K454-'Order(Exhibit B)'!K454</f>
        <v>0</v>
      </c>
      <c r="T454" s="115">
        <f>M454-'Order(Exhibit B)'!M454</f>
        <v>0</v>
      </c>
    </row>
    <row r="455" spans="1:20">
      <c r="A455" s="136" t="s">
        <v>143</v>
      </c>
      <c r="C455" s="135">
        <v>1100.73338028169</v>
      </c>
      <c r="D455" s="135">
        <v>1128</v>
      </c>
      <c r="E455" s="135"/>
      <c r="F455" s="138">
        <v>71</v>
      </c>
      <c r="G455" s="138"/>
      <c r="H455" s="139">
        <f t="shared" ref="H455:I459" si="105">ROUND($F455*C455,0)</f>
        <v>78152</v>
      </c>
      <c r="I455" s="139">
        <f t="shared" si="105"/>
        <v>80088</v>
      </c>
      <c r="J455" s="135"/>
      <c r="K455" s="138">
        <f>K$427</f>
        <v>73</v>
      </c>
      <c r="L455" s="138"/>
      <c r="M455" s="139">
        <f>ROUND($K455*D455,0)</f>
        <v>82344</v>
      </c>
      <c r="S455" s="145">
        <f>K455-'Order(Exhibit B)'!K455</f>
        <v>0</v>
      </c>
      <c r="T455" s="115">
        <f>M455-'Order(Exhibit B)'!M455</f>
        <v>0</v>
      </c>
    </row>
    <row r="456" spans="1:20">
      <c r="A456" s="136" t="s">
        <v>109</v>
      </c>
      <c r="C456" s="135">
        <v>672</v>
      </c>
      <c r="D456" s="135">
        <v>784.06514776809729</v>
      </c>
      <c r="E456" s="135"/>
      <c r="F456" s="138">
        <v>-0.5</v>
      </c>
      <c r="G456" s="138"/>
      <c r="H456" s="139">
        <f t="shared" si="105"/>
        <v>-336</v>
      </c>
      <c r="I456" s="139">
        <f t="shared" si="105"/>
        <v>-392</v>
      </c>
      <c r="J456" s="135"/>
      <c r="K456" s="138">
        <f>K$428</f>
        <v>-0.5</v>
      </c>
      <c r="L456" s="138"/>
      <c r="M456" s="139">
        <f>ROUND($K456*D456,0)</f>
        <v>-392</v>
      </c>
      <c r="S456" s="145">
        <f>K456-'Order(Exhibit B)'!K456</f>
        <v>0</v>
      </c>
      <c r="T456" s="115">
        <f>M456-'Order(Exhibit B)'!M456</f>
        <v>0</v>
      </c>
    </row>
    <row r="457" spans="1:20">
      <c r="A457" s="136" t="s">
        <v>144</v>
      </c>
      <c r="C457" s="135">
        <v>2082132.3014553001</v>
      </c>
      <c r="D457" s="135">
        <f t="shared" ref="D457:D464" si="106">ROUND($C457*D$466/$C$466,0)</f>
        <v>2306727</v>
      </c>
      <c r="E457" s="135"/>
      <c r="F457" s="138">
        <v>4.8099999999999996</v>
      </c>
      <c r="G457" s="138"/>
      <c r="H457" s="139">
        <f t="shared" si="105"/>
        <v>10015056</v>
      </c>
      <c r="I457" s="139">
        <f t="shared" si="105"/>
        <v>11095357</v>
      </c>
      <c r="J457" s="135"/>
      <c r="K457" s="138">
        <f>K$429</f>
        <v>4.96</v>
      </c>
      <c r="L457" s="138"/>
      <c r="M457" s="139">
        <f>ROUND($K457*D457,0)</f>
        <v>11441366</v>
      </c>
      <c r="S457" s="145">
        <f>K457-'Order(Exhibit B)'!K457</f>
        <v>9.9999999999997868E-3</v>
      </c>
      <c r="T457" s="115">
        <f>M457-'Order(Exhibit B)'!M457</f>
        <v>23067</v>
      </c>
    </row>
    <row r="458" spans="1:20">
      <c r="A458" s="136" t="s">
        <v>180</v>
      </c>
      <c r="C458" s="135">
        <v>688789.25429116294</v>
      </c>
      <c r="D458" s="135">
        <f t="shared" si="106"/>
        <v>763087</v>
      </c>
      <c r="E458" s="135"/>
      <c r="F458" s="138">
        <v>15.73</v>
      </c>
      <c r="G458" s="138"/>
      <c r="H458" s="139">
        <f t="shared" si="105"/>
        <v>10834655</v>
      </c>
      <c r="I458" s="139">
        <f t="shared" si="105"/>
        <v>12003359</v>
      </c>
      <c r="J458" s="135"/>
      <c r="K458" s="138">
        <f>K$430</f>
        <v>16.23</v>
      </c>
      <c r="L458" s="138"/>
      <c r="M458" s="139">
        <f>ROUND($K458*D458,0)</f>
        <v>12384902</v>
      </c>
      <c r="S458" s="145">
        <f>K458-'Order(Exhibit B)'!K458</f>
        <v>5.0000000000000711E-2</v>
      </c>
      <c r="T458" s="115">
        <f>M458-'Order(Exhibit B)'!M458</f>
        <v>38154</v>
      </c>
    </row>
    <row r="459" spans="1:20">
      <c r="A459" s="136" t="s">
        <v>181</v>
      </c>
      <c r="C459" s="135">
        <v>1303796.5474137899</v>
      </c>
      <c r="D459" s="135">
        <f t="shared" si="106"/>
        <v>1444434</v>
      </c>
      <c r="E459" s="135"/>
      <c r="F459" s="138">
        <v>13.92</v>
      </c>
      <c r="G459" s="138"/>
      <c r="H459" s="139">
        <f t="shared" si="105"/>
        <v>18148848</v>
      </c>
      <c r="I459" s="139">
        <f t="shared" si="105"/>
        <v>20106521</v>
      </c>
      <c r="J459" s="135"/>
      <c r="K459" s="138">
        <f>K$431</f>
        <v>14.36</v>
      </c>
      <c r="L459" s="138"/>
      <c r="M459" s="139">
        <f>ROUND($K459*D459,0)</f>
        <v>20742072</v>
      </c>
      <c r="S459" s="145">
        <f>K459-'Order(Exhibit B)'!K459</f>
        <v>3.9999999999999147E-2</v>
      </c>
      <c r="T459" s="115">
        <f>M459-'Order(Exhibit B)'!M459</f>
        <v>57777</v>
      </c>
    </row>
    <row r="460" spans="1:20">
      <c r="A460" s="136" t="s">
        <v>111</v>
      </c>
      <c r="C460" s="135">
        <v>72392074</v>
      </c>
      <c r="D460" s="135">
        <f>ROUND($C460*D$466/($C$466-$C$465),0)</f>
        <v>80220206</v>
      </c>
      <c r="E460" s="135"/>
      <c r="F460" s="204">
        <v>5.8281999999999998</v>
      </c>
      <c r="G460" s="163" t="s">
        <v>112</v>
      </c>
      <c r="H460" s="139">
        <f t="shared" ref="H460:I463" si="107">ROUND($F460*C460/100,0)</f>
        <v>4219155</v>
      </c>
      <c r="I460" s="139">
        <f t="shared" si="107"/>
        <v>4675394</v>
      </c>
      <c r="J460" s="135"/>
      <c r="K460" s="204">
        <f>K$432</f>
        <v>6.0133000000000001</v>
      </c>
      <c r="L460" s="163" t="s">
        <v>112</v>
      </c>
      <c r="M460" s="139">
        <f>ROUND($K460*D460/100,0)</f>
        <v>4823882</v>
      </c>
      <c r="S460" s="145">
        <f>K460-'Order(Exhibit B)'!K460</f>
        <v>1.7000000000000348E-2</v>
      </c>
      <c r="T460" s="115">
        <f>M460-'Order(Exhibit B)'!M460</f>
        <v>13638</v>
      </c>
    </row>
    <row r="461" spans="1:20">
      <c r="A461" s="136" t="s">
        <v>114</v>
      </c>
      <c r="C461" s="135">
        <v>256377626</v>
      </c>
      <c r="D461" s="135">
        <f t="shared" ref="D461:D463" si="108">ROUND($C461*D$466/($C$466-$C$465),0)</f>
        <v>284101073</v>
      </c>
      <c r="E461" s="135"/>
      <c r="F461" s="204">
        <v>2.9624000000000001</v>
      </c>
      <c r="G461" s="163" t="s">
        <v>112</v>
      </c>
      <c r="H461" s="139">
        <f t="shared" si="107"/>
        <v>7594931</v>
      </c>
      <c r="I461" s="139">
        <f t="shared" si="107"/>
        <v>8416210</v>
      </c>
      <c r="J461" s="135"/>
      <c r="K461" s="204">
        <f>K$433</f>
        <v>3.0565000000000002</v>
      </c>
      <c r="L461" s="163" t="s">
        <v>112</v>
      </c>
      <c r="M461" s="139">
        <f>ROUND($K461*D461/100,0)</f>
        <v>8683549</v>
      </c>
      <c r="S461" s="145">
        <f>K461-'Order(Exhibit B)'!K461</f>
        <v>8.7000000000001521E-3</v>
      </c>
      <c r="T461" s="115">
        <f>M461-'Order(Exhibit B)'!M461</f>
        <v>24716</v>
      </c>
    </row>
    <row r="462" spans="1:20">
      <c r="A462" s="136" t="s">
        <v>183</v>
      </c>
      <c r="C462" s="135">
        <v>135440335</v>
      </c>
      <c r="D462" s="135">
        <f t="shared" si="108"/>
        <v>150086204</v>
      </c>
      <c r="E462" s="135"/>
      <c r="F462" s="204">
        <v>5.1577000000000002</v>
      </c>
      <c r="G462" s="163" t="s">
        <v>112</v>
      </c>
      <c r="H462" s="139">
        <f t="shared" si="107"/>
        <v>6985606</v>
      </c>
      <c r="I462" s="139">
        <f t="shared" si="107"/>
        <v>7740996</v>
      </c>
      <c r="J462" s="135"/>
      <c r="K462" s="204">
        <f>K$434</f>
        <v>5.3215000000000003</v>
      </c>
      <c r="L462" s="163" t="s">
        <v>112</v>
      </c>
      <c r="M462" s="139">
        <f>ROUND($K462*D462/100,0)</f>
        <v>7986837</v>
      </c>
      <c r="S462" s="145">
        <f>K462-'Order(Exhibit B)'!K462</f>
        <v>1.5100000000000335E-2</v>
      </c>
      <c r="T462" s="115">
        <f>M462-'Order(Exhibit B)'!M462</f>
        <v>22663</v>
      </c>
    </row>
    <row r="463" spans="1:20">
      <c r="A463" s="136" t="s">
        <v>185</v>
      </c>
      <c r="C463" s="135">
        <v>472145738</v>
      </c>
      <c r="D463" s="135">
        <f t="shared" si="108"/>
        <v>523201315</v>
      </c>
      <c r="E463" s="135"/>
      <c r="F463" s="204">
        <v>2.6215999999999999</v>
      </c>
      <c r="G463" s="163" t="s">
        <v>112</v>
      </c>
      <c r="H463" s="139">
        <f t="shared" si="107"/>
        <v>12377773</v>
      </c>
      <c r="I463" s="139">
        <f t="shared" si="107"/>
        <v>13716246</v>
      </c>
      <c r="J463" s="135"/>
      <c r="K463" s="204">
        <f>K$435</f>
        <v>2.7065000000000001</v>
      </c>
      <c r="L463" s="163" t="s">
        <v>112</v>
      </c>
      <c r="M463" s="139">
        <f>ROUND($K463*D463/100,0)</f>
        <v>14160444</v>
      </c>
      <c r="S463" s="145">
        <f>K463-'Order(Exhibit B)'!K463</f>
        <v>9.300000000000086E-3</v>
      </c>
      <c r="T463" s="115">
        <f>M463-'Order(Exhibit B)'!M463</f>
        <v>48658</v>
      </c>
    </row>
    <row r="464" spans="1:20">
      <c r="A464" s="136" t="s">
        <v>150</v>
      </c>
      <c r="C464" s="135">
        <v>956732.66371681402</v>
      </c>
      <c r="D464" s="135">
        <f t="shared" si="106"/>
        <v>1059933</v>
      </c>
      <c r="E464" s="135"/>
      <c r="F464" s="138">
        <v>-1.1299999999999999</v>
      </c>
      <c r="G464" s="138"/>
      <c r="H464" s="139">
        <f>ROUND($F464*C464,0)</f>
        <v>-1081108</v>
      </c>
      <c r="I464" s="139">
        <f>ROUND($F464*D464,0)</f>
        <v>-1197724</v>
      </c>
      <c r="J464" s="135"/>
      <c r="K464" s="138">
        <f>K$436</f>
        <v>-1.1299999999999999</v>
      </c>
      <c r="L464" s="138"/>
      <c r="M464" s="139">
        <f>ROUND($K464*D464,0)</f>
        <v>-1197724</v>
      </c>
      <c r="S464" s="145">
        <f>K464-'Order(Exhibit B)'!K464</f>
        <v>0</v>
      </c>
      <c r="T464" s="115">
        <f>M464-'Order(Exhibit B)'!M464</f>
        <v>0</v>
      </c>
    </row>
    <row r="465" spans="1:20">
      <c r="A465" s="172" t="s">
        <v>125</v>
      </c>
      <c r="B465" s="173"/>
      <c r="C465" s="135">
        <v>226043</v>
      </c>
      <c r="D465" s="135"/>
      <c r="E465" s="135"/>
      <c r="F465" s="174"/>
      <c r="G465" s="13"/>
      <c r="H465" s="139">
        <v>156552</v>
      </c>
      <c r="I465" s="139"/>
      <c r="J465" s="135"/>
      <c r="K465" s="174"/>
      <c r="L465" s="13"/>
      <c r="M465" s="139"/>
      <c r="N465" s="164"/>
      <c r="O465" s="164"/>
      <c r="P465" s="164"/>
      <c r="S465" s="145">
        <f>K465-'Order(Exhibit B)'!K465</f>
        <v>0</v>
      </c>
      <c r="T465" s="115">
        <f>M465-'Order(Exhibit B)'!M465</f>
        <v>0</v>
      </c>
    </row>
    <row r="466" spans="1:20" ht="16.5" thickBot="1">
      <c r="A466" s="176" t="s">
        <v>127</v>
      </c>
      <c r="B466" s="177"/>
      <c r="C466" s="178">
        <f>SUM(C460:C463,C465)</f>
        <v>936581816</v>
      </c>
      <c r="D466" s="178">
        <v>1037608797.6375532</v>
      </c>
      <c r="E466" s="178"/>
      <c r="F466" s="177"/>
      <c r="G466" s="177"/>
      <c r="H466" s="179">
        <f>SUM(H455:H465)</f>
        <v>69329284</v>
      </c>
      <c r="I466" s="179">
        <f>SUM(I455:I465)</f>
        <v>76636055</v>
      </c>
      <c r="J466" s="178"/>
      <c r="K466" s="177"/>
      <c r="L466" s="177"/>
      <c r="M466" s="179">
        <f>SUM(M455:M465)</f>
        <v>79107280</v>
      </c>
      <c r="O466" s="114" t="s">
        <v>108</v>
      </c>
      <c r="P466" s="164">
        <f>M466/I466-1</f>
        <v>3.2246244930013601E-2</v>
      </c>
      <c r="S466" s="145">
        <f>K466-'Order(Exhibit B)'!K466</f>
        <v>0</v>
      </c>
      <c r="T466" s="115">
        <f>M466-'Order(Exhibit B)'!M466</f>
        <v>228673</v>
      </c>
    </row>
    <row r="467" spans="1:20" ht="16.5" thickTop="1">
      <c r="S467" s="145">
        <f>K467-'Order(Exhibit B)'!K467</f>
        <v>0</v>
      </c>
      <c r="T467" s="115">
        <f>M467-'Order(Exhibit B)'!M467</f>
        <v>0</v>
      </c>
    </row>
    <row r="468" spans="1:20">
      <c r="A468" s="133" t="s">
        <v>470</v>
      </c>
      <c r="S468" s="145">
        <f>K468-'Order(Exhibit B)'!K468</f>
        <v>0</v>
      </c>
      <c r="T468" s="115">
        <f>M468-'Order(Exhibit B)'!M468</f>
        <v>0</v>
      </c>
    </row>
    <row r="469" spans="1:20">
      <c r="A469" s="136" t="s">
        <v>143</v>
      </c>
      <c r="C469" s="135">
        <v>12</v>
      </c>
      <c r="D469" s="135">
        <v>12</v>
      </c>
      <c r="E469" s="135"/>
      <c r="F469" s="138">
        <v>71</v>
      </c>
      <c r="G469" s="138"/>
      <c r="H469" s="139">
        <f t="shared" ref="H469:I473" si="109">ROUND($F469*C469,0)</f>
        <v>852</v>
      </c>
      <c r="I469" s="139">
        <f t="shared" si="109"/>
        <v>852</v>
      </c>
      <c r="J469" s="135"/>
      <c r="K469" s="138">
        <f>K$427</f>
        <v>73</v>
      </c>
      <c r="L469" s="138"/>
      <c r="M469" s="139">
        <f>ROUND($K469*D469,0)</f>
        <v>876</v>
      </c>
      <c r="S469" s="145">
        <f>K469-'Order(Exhibit B)'!K469</f>
        <v>0</v>
      </c>
      <c r="T469" s="115">
        <f>M469-'Order(Exhibit B)'!M469</f>
        <v>0</v>
      </c>
    </row>
    <row r="470" spans="1:20">
      <c r="A470" s="136" t="s">
        <v>109</v>
      </c>
      <c r="C470" s="135">
        <v>12</v>
      </c>
      <c r="D470" s="135">
        <v>8.3411185932776313</v>
      </c>
      <c r="E470" s="135"/>
      <c r="F470" s="138">
        <v>-0.5</v>
      </c>
      <c r="G470" s="138"/>
      <c r="H470" s="139">
        <f t="shared" si="109"/>
        <v>-6</v>
      </c>
      <c r="I470" s="139">
        <f t="shared" si="109"/>
        <v>-4</v>
      </c>
      <c r="J470" s="135"/>
      <c r="K470" s="138">
        <f>K$428</f>
        <v>-0.5</v>
      </c>
      <c r="L470" s="138"/>
      <c r="M470" s="139">
        <f>ROUND($K470*D470,0)</f>
        <v>-4</v>
      </c>
      <c r="S470" s="145">
        <f>K470-'Order(Exhibit B)'!K470</f>
        <v>0</v>
      </c>
      <c r="T470" s="115">
        <f>M470-'Order(Exhibit B)'!M470</f>
        <v>0</v>
      </c>
    </row>
    <row r="471" spans="1:20">
      <c r="A471" s="136" t="s">
        <v>144</v>
      </c>
      <c r="C471" s="135">
        <v>1448</v>
      </c>
      <c r="D471" s="135">
        <f t="shared" ref="D471:D478" si="110">ROUND($C471*D$480/$C$480,0)</f>
        <v>1476</v>
      </c>
      <c r="E471" s="135"/>
      <c r="F471" s="138">
        <v>4.8099999999999996</v>
      </c>
      <c r="G471" s="138"/>
      <c r="H471" s="139">
        <f t="shared" si="109"/>
        <v>6965</v>
      </c>
      <c r="I471" s="139">
        <f t="shared" si="109"/>
        <v>7100</v>
      </c>
      <c r="J471" s="135"/>
      <c r="K471" s="138">
        <f>K$429</f>
        <v>4.96</v>
      </c>
      <c r="L471" s="138"/>
      <c r="M471" s="139">
        <f>ROUND($K471*D471,0)</f>
        <v>7321</v>
      </c>
      <c r="S471" s="145">
        <f>K471-'Order(Exhibit B)'!K471</f>
        <v>9.9999999999997868E-3</v>
      </c>
      <c r="T471" s="115">
        <f>M471-'Order(Exhibit B)'!M471</f>
        <v>15</v>
      </c>
    </row>
    <row r="472" spans="1:20">
      <c r="A472" s="136" t="s">
        <v>180</v>
      </c>
      <c r="C472" s="135">
        <v>477</v>
      </c>
      <c r="D472" s="135">
        <f t="shared" si="110"/>
        <v>486</v>
      </c>
      <c r="E472" s="135"/>
      <c r="F472" s="138">
        <v>15.73</v>
      </c>
      <c r="G472" s="138"/>
      <c r="H472" s="139">
        <f t="shared" si="109"/>
        <v>7503</v>
      </c>
      <c r="I472" s="139">
        <f t="shared" si="109"/>
        <v>7645</v>
      </c>
      <c r="J472" s="135"/>
      <c r="K472" s="138">
        <f>K$430</f>
        <v>16.23</v>
      </c>
      <c r="L472" s="138"/>
      <c r="M472" s="139">
        <f>ROUND($K472*D472,0)</f>
        <v>7888</v>
      </c>
      <c r="S472" s="145">
        <f>K472-'Order(Exhibit B)'!K472</f>
        <v>5.0000000000000711E-2</v>
      </c>
      <c r="T472" s="115">
        <f>M472-'Order(Exhibit B)'!M472</f>
        <v>25</v>
      </c>
    </row>
    <row r="473" spans="1:20">
      <c r="A473" s="136" t="s">
        <v>181</v>
      </c>
      <c r="C473" s="135">
        <v>922</v>
      </c>
      <c r="D473" s="135">
        <f t="shared" si="110"/>
        <v>940</v>
      </c>
      <c r="E473" s="135"/>
      <c r="F473" s="138">
        <v>13.92</v>
      </c>
      <c r="G473" s="138"/>
      <c r="H473" s="139">
        <f t="shared" si="109"/>
        <v>12834</v>
      </c>
      <c r="I473" s="139">
        <f t="shared" si="109"/>
        <v>13085</v>
      </c>
      <c r="J473" s="135"/>
      <c r="K473" s="138">
        <f>K$431</f>
        <v>14.36</v>
      </c>
      <c r="L473" s="138"/>
      <c r="M473" s="139">
        <f>ROUND($K473*D473,0)</f>
        <v>13498</v>
      </c>
      <c r="S473" s="145">
        <f>K473-'Order(Exhibit B)'!K473</f>
        <v>3.9999999999999147E-2</v>
      </c>
      <c r="T473" s="115">
        <f>M473-'Order(Exhibit B)'!M473</f>
        <v>37</v>
      </c>
    </row>
    <row r="474" spans="1:20">
      <c r="A474" s="136" t="s">
        <v>111</v>
      </c>
      <c r="C474" s="135">
        <v>54320</v>
      </c>
      <c r="D474" s="135">
        <f>ROUND($C474*D$480/($C$480-$C$479),0)</f>
        <v>55524</v>
      </c>
      <c r="E474" s="135"/>
      <c r="F474" s="204">
        <v>5.8281999999999998</v>
      </c>
      <c r="G474" s="163" t="s">
        <v>112</v>
      </c>
      <c r="H474" s="139">
        <f t="shared" ref="H474:I477" si="111">ROUND($F474*C474/100,0)</f>
        <v>3166</v>
      </c>
      <c r="I474" s="139">
        <f t="shared" si="111"/>
        <v>3236</v>
      </c>
      <c r="J474" s="135"/>
      <c r="K474" s="204">
        <f>K$432</f>
        <v>6.0133000000000001</v>
      </c>
      <c r="L474" s="163" t="s">
        <v>112</v>
      </c>
      <c r="M474" s="139">
        <f>ROUND($K474*D474/100,0)</f>
        <v>3339</v>
      </c>
      <c r="S474" s="145">
        <f>K474-'Order(Exhibit B)'!K474</f>
        <v>1.7000000000000348E-2</v>
      </c>
      <c r="T474" s="115">
        <f>M474-'Order(Exhibit B)'!M474</f>
        <v>10</v>
      </c>
    </row>
    <row r="475" spans="1:20">
      <c r="A475" s="136" t="s">
        <v>114</v>
      </c>
      <c r="C475" s="135">
        <v>198240</v>
      </c>
      <c r="D475" s="135">
        <f t="shared" ref="D475:D477" si="112">ROUND($C475*D$480/($C$480-$C$479),0)</f>
        <v>202636</v>
      </c>
      <c r="E475" s="135"/>
      <c r="F475" s="204">
        <v>2.9624000000000001</v>
      </c>
      <c r="G475" s="163" t="s">
        <v>112</v>
      </c>
      <c r="H475" s="139">
        <f t="shared" si="111"/>
        <v>5873</v>
      </c>
      <c r="I475" s="139">
        <f t="shared" si="111"/>
        <v>6003</v>
      </c>
      <c r="J475" s="135"/>
      <c r="K475" s="204">
        <f>K$433</f>
        <v>3.0565000000000002</v>
      </c>
      <c r="L475" s="163" t="s">
        <v>112</v>
      </c>
      <c r="M475" s="139">
        <f>ROUND($K475*D475/100,0)</f>
        <v>6194</v>
      </c>
      <c r="S475" s="145">
        <f>K475-'Order(Exhibit B)'!K475</f>
        <v>8.7000000000001521E-3</v>
      </c>
      <c r="T475" s="115">
        <f>M475-'Order(Exhibit B)'!M475</f>
        <v>18</v>
      </c>
    </row>
    <row r="476" spans="1:20">
      <c r="A476" s="136" t="s">
        <v>183</v>
      </c>
      <c r="C476" s="135">
        <v>103440</v>
      </c>
      <c r="D476" s="135">
        <f t="shared" si="112"/>
        <v>105734</v>
      </c>
      <c r="E476" s="135"/>
      <c r="F476" s="204">
        <v>5.1577000000000002</v>
      </c>
      <c r="G476" s="163" t="s">
        <v>112</v>
      </c>
      <c r="H476" s="139">
        <f t="shared" si="111"/>
        <v>5335</v>
      </c>
      <c r="I476" s="139">
        <f t="shared" si="111"/>
        <v>5453</v>
      </c>
      <c r="J476" s="135"/>
      <c r="K476" s="204">
        <f>K$434</f>
        <v>5.3215000000000003</v>
      </c>
      <c r="L476" s="163" t="s">
        <v>112</v>
      </c>
      <c r="M476" s="139">
        <f>ROUND($K476*D476/100,0)</f>
        <v>5627</v>
      </c>
      <c r="S476" s="145">
        <f>K476-'Order(Exhibit B)'!K476</f>
        <v>1.5100000000000335E-2</v>
      </c>
      <c r="T476" s="115">
        <f>M476-'Order(Exhibit B)'!M476</f>
        <v>16</v>
      </c>
    </row>
    <row r="477" spans="1:20">
      <c r="A477" s="136" t="s">
        <v>185</v>
      </c>
      <c r="C477" s="135">
        <v>383600</v>
      </c>
      <c r="D477" s="135">
        <f t="shared" si="112"/>
        <v>392106</v>
      </c>
      <c r="E477" s="135"/>
      <c r="F477" s="204">
        <v>2.6215999999999999</v>
      </c>
      <c r="G477" s="163" t="s">
        <v>112</v>
      </c>
      <c r="H477" s="139">
        <f t="shared" si="111"/>
        <v>10056</v>
      </c>
      <c r="I477" s="139">
        <f t="shared" si="111"/>
        <v>10279</v>
      </c>
      <c r="J477" s="135"/>
      <c r="K477" s="204">
        <f>K$435</f>
        <v>2.7065000000000001</v>
      </c>
      <c r="L477" s="163" t="s">
        <v>112</v>
      </c>
      <c r="M477" s="139">
        <f>ROUND($K477*D477/100,0)</f>
        <v>10612</v>
      </c>
      <c r="S477" s="145">
        <f>K477-'Order(Exhibit B)'!K477</f>
        <v>9.300000000000086E-3</v>
      </c>
      <c r="T477" s="115">
        <f>M477-'Order(Exhibit B)'!M477</f>
        <v>36</v>
      </c>
    </row>
    <row r="478" spans="1:20">
      <c r="A478" s="136" t="s">
        <v>150</v>
      </c>
      <c r="C478" s="135">
        <v>0</v>
      </c>
      <c r="D478" s="135">
        <f t="shared" si="110"/>
        <v>0</v>
      </c>
      <c r="E478" s="135"/>
      <c r="F478" s="138">
        <v>-1.1299999999999999</v>
      </c>
      <c r="G478" s="138"/>
      <c r="H478" s="139">
        <f>ROUND($F478*C478,0)</f>
        <v>0</v>
      </c>
      <c r="I478" s="139">
        <f>ROUND($F478*D478,0)</f>
        <v>0</v>
      </c>
      <c r="J478" s="135"/>
      <c r="K478" s="138">
        <f>K$436</f>
        <v>-1.1299999999999999</v>
      </c>
      <c r="L478" s="138"/>
      <c r="M478" s="139">
        <f>ROUND($K478*D478,0)</f>
        <v>0</v>
      </c>
      <c r="S478" s="145">
        <f>K478-'Order(Exhibit B)'!K478</f>
        <v>0</v>
      </c>
      <c r="T478" s="115">
        <f>M478-'Order(Exhibit B)'!M478</f>
        <v>0</v>
      </c>
    </row>
    <row r="479" spans="1:20">
      <c r="A479" s="172" t="s">
        <v>125</v>
      </c>
      <c r="B479" s="173"/>
      <c r="C479" s="135">
        <v>2083</v>
      </c>
      <c r="D479" s="135"/>
      <c r="E479" s="135"/>
      <c r="F479" s="174"/>
      <c r="G479" s="13"/>
      <c r="H479" s="139">
        <v>176</v>
      </c>
      <c r="I479" s="139"/>
      <c r="J479" s="135"/>
      <c r="K479" s="174"/>
      <c r="L479" s="13"/>
      <c r="M479" s="139"/>
      <c r="N479" s="164"/>
      <c r="O479" s="164"/>
      <c r="P479" s="164"/>
      <c r="S479" s="145">
        <f>K479-'Order(Exhibit B)'!K479</f>
        <v>0</v>
      </c>
      <c r="T479" s="115">
        <f>M479-'Order(Exhibit B)'!M479</f>
        <v>0</v>
      </c>
    </row>
    <row r="480" spans="1:20" ht="16.5" thickBot="1">
      <c r="A480" s="176" t="s">
        <v>127</v>
      </c>
      <c r="B480" s="177"/>
      <c r="C480" s="178">
        <f>SUM(C474:C477,C479)</f>
        <v>741683</v>
      </c>
      <c r="D480" s="178">
        <v>756000</v>
      </c>
      <c r="E480" s="178"/>
      <c r="F480" s="177"/>
      <c r="G480" s="177"/>
      <c r="H480" s="179">
        <f>SUM(H469:H479)</f>
        <v>52754</v>
      </c>
      <c r="I480" s="179">
        <f>SUM(I469:I479)</f>
        <v>53649</v>
      </c>
      <c r="J480" s="178"/>
      <c r="K480" s="177"/>
      <c r="L480" s="177"/>
      <c r="M480" s="179">
        <f>SUM(M469:M479)</f>
        <v>55351</v>
      </c>
      <c r="O480" s="114" t="s">
        <v>108</v>
      </c>
      <c r="P480" s="164">
        <f>M480/I480-1</f>
        <v>3.1724729258700179E-2</v>
      </c>
      <c r="S480" s="145">
        <f>K480-'Order(Exhibit B)'!K480</f>
        <v>0</v>
      </c>
      <c r="T480" s="115">
        <f>M480-'Order(Exhibit B)'!M480</f>
        <v>157</v>
      </c>
    </row>
    <row r="481" spans="1:20" ht="16.5" thickTop="1">
      <c r="S481" s="145">
        <f>K481-'Order(Exhibit B)'!K481</f>
        <v>0</v>
      </c>
      <c r="T481" s="115">
        <f>M481-'Order(Exhibit B)'!M481</f>
        <v>0</v>
      </c>
    </row>
    <row r="482" spans="1:20">
      <c r="A482" s="133" t="s">
        <v>471</v>
      </c>
      <c r="S482" s="145">
        <f>K482-'Order(Exhibit B)'!K482</f>
        <v>0</v>
      </c>
      <c r="T482" s="115">
        <f>M482-'Order(Exhibit B)'!M482</f>
        <v>0</v>
      </c>
    </row>
    <row r="483" spans="1:20">
      <c r="A483" s="136" t="s">
        <v>143</v>
      </c>
      <c r="C483" s="135">
        <v>185.16661971830999</v>
      </c>
      <c r="D483" s="135">
        <v>168</v>
      </c>
      <c r="E483" s="135"/>
      <c r="F483" s="138">
        <v>71</v>
      </c>
      <c r="G483" s="138"/>
      <c r="H483" s="139">
        <f t="shared" ref="H483:I487" si="113">ROUND($F483*C483,0)</f>
        <v>13147</v>
      </c>
      <c r="I483" s="139">
        <f t="shared" si="113"/>
        <v>11928</v>
      </c>
      <c r="J483" s="135"/>
      <c r="K483" s="138">
        <f>K$427</f>
        <v>73</v>
      </c>
      <c r="L483" s="138"/>
      <c r="M483" s="139">
        <f>ROUND($K483*D483,0)</f>
        <v>12264</v>
      </c>
      <c r="S483" s="145">
        <f>K483-'Order(Exhibit B)'!K483</f>
        <v>0</v>
      </c>
      <c r="T483" s="115">
        <f>M483-'Order(Exhibit B)'!M483</f>
        <v>0</v>
      </c>
    </row>
    <row r="484" spans="1:20">
      <c r="A484" s="136" t="s">
        <v>109</v>
      </c>
      <c r="C484" s="135">
        <v>71</v>
      </c>
      <c r="D484" s="135">
        <v>116.77566030588683</v>
      </c>
      <c r="E484" s="135"/>
      <c r="F484" s="138">
        <v>-0.5</v>
      </c>
      <c r="G484" s="138"/>
      <c r="H484" s="139">
        <f t="shared" si="113"/>
        <v>-36</v>
      </c>
      <c r="I484" s="139">
        <f t="shared" si="113"/>
        <v>-58</v>
      </c>
      <c r="J484" s="135"/>
      <c r="K484" s="138">
        <f>K$428</f>
        <v>-0.5</v>
      </c>
      <c r="L484" s="138"/>
      <c r="M484" s="139">
        <f>ROUND($K484*D484,0)</f>
        <v>-58</v>
      </c>
      <c r="S484" s="145">
        <f>K484-'Order(Exhibit B)'!K484</f>
        <v>0</v>
      </c>
      <c r="T484" s="115">
        <f>M484-'Order(Exhibit B)'!M484</f>
        <v>0</v>
      </c>
    </row>
    <row r="485" spans="1:20">
      <c r="A485" s="136" t="s">
        <v>144</v>
      </c>
      <c r="C485" s="135">
        <v>182962.19750519699</v>
      </c>
      <c r="D485" s="135">
        <f t="shared" ref="D485:D492" si="114">ROUND($C485*D$494/$C$494,0)</f>
        <v>174942</v>
      </c>
      <c r="E485" s="135"/>
      <c r="F485" s="138">
        <v>4.8099999999999996</v>
      </c>
      <c r="G485" s="138"/>
      <c r="H485" s="139">
        <f t="shared" si="113"/>
        <v>880048</v>
      </c>
      <c r="I485" s="139">
        <f t="shared" si="113"/>
        <v>841471</v>
      </c>
      <c r="J485" s="135"/>
      <c r="K485" s="138">
        <f>K$429</f>
        <v>4.96</v>
      </c>
      <c r="L485" s="138"/>
      <c r="M485" s="139">
        <f>ROUND($K485*D485,0)</f>
        <v>867712</v>
      </c>
      <c r="S485" s="145">
        <f>K485-'Order(Exhibit B)'!K485</f>
        <v>9.9999999999997868E-3</v>
      </c>
      <c r="T485" s="115">
        <f>M485-'Order(Exhibit B)'!M485</f>
        <v>1749</v>
      </c>
    </row>
    <row r="486" spans="1:20">
      <c r="A486" s="136" t="s">
        <v>180</v>
      </c>
      <c r="C486" s="135">
        <v>61963.671964399196</v>
      </c>
      <c r="D486" s="135">
        <f t="shared" si="114"/>
        <v>59248</v>
      </c>
      <c r="E486" s="135"/>
      <c r="F486" s="138">
        <v>15.73</v>
      </c>
      <c r="G486" s="138"/>
      <c r="H486" s="139">
        <f t="shared" si="113"/>
        <v>974689</v>
      </c>
      <c r="I486" s="139">
        <f t="shared" si="113"/>
        <v>931971</v>
      </c>
      <c r="J486" s="135"/>
      <c r="K486" s="138">
        <f>K$430</f>
        <v>16.23</v>
      </c>
      <c r="L486" s="138"/>
      <c r="M486" s="139">
        <f>ROUND($K486*D486,0)</f>
        <v>961595</v>
      </c>
      <c r="S486" s="145">
        <f>K486-'Order(Exhibit B)'!K486</f>
        <v>5.0000000000000711E-2</v>
      </c>
      <c r="T486" s="115">
        <f>M486-'Order(Exhibit B)'!M486</f>
        <v>2962</v>
      </c>
    </row>
    <row r="487" spans="1:20">
      <c r="A487" s="136" t="s">
        <v>181</v>
      </c>
      <c r="C487" s="135">
        <v>110273.32902298799</v>
      </c>
      <c r="D487" s="135">
        <f t="shared" si="114"/>
        <v>105440</v>
      </c>
      <c r="E487" s="135"/>
      <c r="F487" s="138">
        <v>13.92</v>
      </c>
      <c r="G487" s="138"/>
      <c r="H487" s="139">
        <f t="shared" si="113"/>
        <v>1535005</v>
      </c>
      <c r="I487" s="139">
        <f t="shared" si="113"/>
        <v>1467725</v>
      </c>
      <c r="J487" s="135"/>
      <c r="K487" s="138">
        <f>K$431</f>
        <v>14.36</v>
      </c>
      <c r="L487" s="138"/>
      <c r="M487" s="139">
        <f>ROUND($K487*D487,0)</f>
        <v>1514118</v>
      </c>
      <c r="S487" s="145">
        <f>K487-'Order(Exhibit B)'!K487</f>
        <v>3.9999999999999147E-2</v>
      </c>
      <c r="T487" s="115">
        <f>M487-'Order(Exhibit B)'!M487</f>
        <v>4217</v>
      </c>
    </row>
    <row r="488" spans="1:20">
      <c r="A488" s="136" t="s">
        <v>111</v>
      </c>
      <c r="C488" s="135">
        <v>5909249</v>
      </c>
      <c r="D488" s="135">
        <f>ROUND($C488*D$494/($C$494-$C$493),0)</f>
        <v>5693310</v>
      </c>
      <c r="E488" s="135"/>
      <c r="F488" s="204">
        <v>5.8281999999999998</v>
      </c>
      <c r="G488" s="163" t="s">
        <v>112</v>
      </c>
      <c r="H488" s="139">
        <f t="shared" ref="H488:I491" si="115">ROUND($F488*C488/100,0)</f>
        <v>344403</v>
      </c>
      <c r="I488" s="139">
        <f t="shared" si="115"/>
        <v>331817</v>
      </c>
      <c r="J488" s="135"/>
      <c r="K488" s="204">
        <f>K$432</f>
        <v>6.0133000000000001</v>
      </c>
      <c r="L488" s="163" t="s">
        <v>112</v>
      </c>
      <c r="M488" s="139">
        <f>ROUND($K488*D488/100,0)</f>
        <v>342356</v>
      </c>
      <c r="S488" s="145">
        <f>K488-'Order(Exhibit B)'!K488</f>
        <v>1.7000000000000348E-2</v>
      </c>
      <c r="T488" s="115">
        <f>M488-'Order(Exhibit B)'!M488</f>
        <v>968</v>
      </c>
    </row>
    <row r="489" spans="1:20">
      <c r="A489" s="136" t="s">
        <v>114</v>
      </c>
      <c r="C489" s="135">
        <v>20432968</v>
      </c>
      <c r="D489" s="135">
        <f t="shared" ref="D489:D491" si="116">ROUND($C489*D$494/($C$494-$C$493),0)</f>
        <v>19686295</v>
      </c>
      <c r="E489" s="135"/>
      <c r="F489" s="204">
        <v>2.9624000000000001</v>
      </c>
      <c r="G489" s="163" t="s">
        <v>112</v>
      </c>
      <c r="H489" s="139">
        <f t="shared" si="115"/>
        <v>605306</v>
      </c>
      <c r="I489" s="139">
        <f t="shared" si="115"/>
        <v>583187</v>
      </c>
      <c r="J489" s="135"/>
      <c r="K489" s="204">
        <f>K$433</f>
        <v>3.0565000000000002</v>
      </c>
      <c r="L489" s="163" t="s">
        <v>112</v>
      </c>
      <c r="M489" s="139">
        <f>ROUND($K489*D489/100,0)</f>
        <v>601712</v>
      </c>
      <c r="S489" s="145">
        <f>K489-'Order(Exhibit B)'!K489</f>
        <v>8.7000000000001521E-3</v>
      </c>
      <c r="T489" s="115">
        <f>M489-'Order(Exhibit B)'!M489</f>
        <v>1713</v>
      </c>
    </row>
    <row r="490" spans="1:20">
      <c r="A490" s="136" t="s">
        <v>183</v>
      </c>
      <c r="C490" s="135">
        <v>11023699</v>
      </c>
      <c r="D490" s="135">
        <f t="shared" si="116"/>
        <v>10620865</v>
      </c>
      <c r="E490" s="135"/>
      <c r="F490" s="204">
        <v>5.1577000000000002</v>
      </c>
      <c r="G490" s="163" t="s">
        <v>112</v>
      </c>
      <c r="H490" s="139">
        <f t="shared" si="115"/>
        <v>568569</v>
      </c>
      <c r="I490" s="139">
        <f t="shared" si="115"/>
        <v>547792</v>
      </c>
      <c r="J490" s="135"/>
      <c r="K490" s="204">
        <f>K$434</f>
        <v>5.3215000000000003</v>
      </c>
      <c r="L490" s="163" t="s">
        <v>112</v>
      </c>
      <c r="M490" s="139">
        <f>ROUND($K490*D490/100,0)</f>
        <v>565189</v>
      </c>
      <c r="S490" s="145">
        <f>K490-'Order(Exhibit B)'!K490</f>
        <v>1.5100000000000335E-2</v>
      </c>
      <c r="T490" s="115">
        <f>M490-'Order(Exhibit B)'!M490</f>
        <v>1603</v>
      </c>
    </row>
    <row r="491" spans="1:20">
      <c r="A491" s="136" t="s">
        <v>185</v>
      </c>
      <c r="C491" s="135">
        <v>37807624</v>
      </c>
      <c r="D491" s="135">
        <f t="shared" si="116"/>
        <v>36426036</v>
      </c>
      <c r="E491" s="135"/>
      <c r="F491" s="204">
        <v>2.6215999999999999</v>
      </c>
      <c r="G491" s="163" t="s">
        <v>112</v>
      </c>
      <c r="H491" s="139">
        <f t="shared" si="115"/>
        <v>991165</v>
      </c>
      <c r="I491" s="139">
        <f t="shared" si="115"/>
        <v>954945</v>
      </c>
      <c r="J491" s="135"/>
      <c r="K491" s="204">
        <f>K$435</f>
        <v>2.7065000000000001</v>
      </c>
      <c r="L491" s="163" t="s">
        <v>112</v>
      </c>
      <c r="M491" s="139">
        <f>ROUND($K491*D491/100,0)</f>
        <v>985871</v>
      </c>
      <c r="S491" s="145">
        <f>K491-'Order(Exhibit B)'!K491</f>
        <v>9.300000000000086E-3</v>
      </c>
      <c r="T491" s="115">
        <f>M491-'Order(Exhibit B)'!M491</f>
        <v>3388</v>
      </c>
    </row>
    <row r="492" spans="1:20">
      <c r="A492" s="136" t="s">
        <v>150</v>
      </c>
      <c r="C492" s="135">
        <v>62727</v>
      </c>
      <c r="D492" s="135">
        <f t="shared" si="114"/>
        <v>59977</v>
      </c>
      <c r="E492" s="135"/>
      <c r="F492" s="138">
        <v>-1.1299999999999999</v>
      </c>
      <c r="G492" s="138"/>
      <c r="H492" s="139">
        <f>ROUND($F492*C492,0)</f>
        <v>-70882</v>
      </c>
      <c r="I492" s="139">
        <f>ROUND($F492*D492,0)</f>
        <v>-67774</v>
      </c>
      <c r="J492" s="135"/>
      <c r="K492" s="138">
        <f>K$436</f>
        <v>-1.1299999999999999</v>
      </c>
      <c r="L492" s="138"/>
      <c r="M492" s="139">
        <f>ROUND($K492*D492,0)</f>
        <v>-67774</v>
      </c>
      <c r="S492" s="145">
        <f>K492-'Order(Exhibit B)'!K492</f>
        <v>0</v>
      </c>
      <c r="T492" s="115">
        <f>M492-'Order(Exhibit B)'!M492</f>
        <v>0</v>
      </c>
    </row>
    <row r="493" spans="1:20">
      <c r="A493" s="172" t="s">
        <v>125</v>
      </c>
      <c r="B493" s="173"/>
      <c r="C493" s="135">
        <v>573217</v>
      </c>
      <c r="D493" s="135"/>
      <c r="E493" s="135"/>
      <c r="F493" s="174"/>
      <c r="G493" s="13"/>
      <c r="H493" s="139">
        <v>44274</v>
      </c>
      <c r="I493" s="139"/>
      <c r="J493" s="135"/>
      <c r="K493" s="174"/>
      <c r="L493" s="13"/>
      <c r="M493" s="139"/>
      <c r="N493" s="164"/>
      <c r="O493" s="164"/>
      <c r="P493" s="164"/>
      <c r="S493" s="145">
        <f>K493-'Order(Exhibit B)'!K493</f>
        <v>0</v>
      </c>
      <c r="T493" s="115">
        <f>M493-'Order(Exhibit B)'!M493</f>
        <v>0</v>
      </c>
    </row>
    <row r="494" spans="1:20" ht="16.5" thickBot="1">
      <c r="A494" s="176" t="s">
        <v>127</v>
      </c>
      <c r="B494" s="177"/>
      <c r="C494" s="178">
        <f>SUM(C488:C491,C493)</f>
        <v>75746757</v>
      </c>
      <c r="D494" s="178">
        <v>72426505</v>
      </c>
      <c r="E494" s="178"/>
      <c r="F494" s="177"/>
      <c r="G494" s="177"/>
      <c r="H494" s="179">
        <f>SUM(H483:H493)</f>
        <v>5885688</v>
      </c>
      <c r="I494" s="179">
        <f>SUM(I483:I493)</f>
        <v>5603004</v>
      </c>
      <c r="J494" s="178"/>
      <c r="K494" s="177"/>
      <c r="L494" s="177"/>
      <c r="M494" s="179">
        <f>SUM(M483:M493)</f>
        <v>5782985</v>
      </c>
      <c r="O494" s="114" t="s">
        <v>108</v>
      </c>
      <c r="P494" s="164">
        <f>M494/I494-1</f>
        <v>3.2122233002153777E-2</v>
      </c>
      <c r="S494" s="145">
        <f>K494-'Order(Exhibit B)'!K494</f>
        <v>0</v>
      </c>
      <c r="T494" s="115">
        <f>M494-'Order(Exhibit B)'!M494</f>
        <v>16600</v>
      </c>
    </row>
    <row r="495" spans="1:20" ht="16.5" thickTop="1">
      <c r="A495" s="206"/>
      <c r="B495" s="206"/>
      <c r="C495" s="206"/>
      <c r="D495" s="206"/>
      <c r="E495" s="206"/>
      <c r="F495" s="206"/>
      <c r="G495" s="206"/>
      <c r="H495" s="206"/>
      <c r="I495" s="206"/>
      <c r="J495" s="206"/>
      <c r="K495" s="206"/>
      <c r="L495" s="206"/>
      <c r="M495" s="206"/>
      <c r="S495" s="145">
        <f>K495-'Order(Exhibit B)'!K495</f>
        <v>0</v>
      </c>
      <c r="T495" s="115">
        <f>M495-'Order(Exhibit B)'!M495</f>
        <v>0</v>
      </c>
    </row>
    <row r="496" spans="1:20">
      <c r="A496" s="133" t="s">
        <v>189</v>
      </c>
      <c r="C496" s="135"/>
      <c r="D496" s="135"/>
      <c r="E496" s="135"/>
      <c r="J496" s="135"/>
      <c r="S496" s="145">
        <f>K496-'Order(Exhibit B)'!K496</f>
        <v>0</v>
      </c>
      <c r="T496" s="115">
        <f>M496-'Order(Exhibit B)'!M496</f>
        <v>0</v>
      </c>
    </row>
    <row r="497" spans="1:20">
      <c r="A497" s="136" t="s">
        <v>143</v>
      </c>
      <c r="C497" s="135">
        <f>C511+C525</f>
        <v>1924.5112406015069</v>
      </c>
      <c r="D497" s="135">
        <f>D511+D525</f>
        <v>1971</v>
      </c>
      <c r="E497" s="135"/>
      <c r="F497" s="138">
        <v>266</v>
      </c>
      <c r="G497" s="138"/>
      <c r="H497" s="139">
        <f t="shared" ref="H497:I502" si="117">ROUND($F497*C497,0)</f>
        <v>511920</v>
      </c>
      <c r="I497" s="139">
        <f t="shared" si="117"/>
        <v>524286</v>
      </c>
      <c r="J497" s="135"/>
      <c r="K497" s="138">
        <f>ROUND(F497*(1+$P$503),0)</f>
        <v>399</v>
      </c>
      <c r="L497" s="138"/>
      <c r="M497" s="139">
        <f t="shared" ref="M497:M502" si="118">ROUND($K497*D497,0)</f>
        <v>786429</v>
      </c>
      <c r="O497" s="132" t="s">
        <v>190</v>
      </c>
      <c r="P497" s="132"/>
      <c r="S497" s="145">
        <f>K497-'Order(Exhibit B)'!K497</f>
        <v>0</v>
      </c>
      <c r="T497" s="115">
        <f>M497-'Order(Exhibit B)'!M497</f>
        <v>0</v>
      </c>
    </row>
    <row r="498" spans="1:20">
      <c r="A498" s="136" t="s">
        <v>109</v>
      </c>
      <c r="C498" s="135">
        <f t="shared" ref="C498:D508" si="119">C512+C526</f>
        <v>1100.3600000000001</v>
      </c>
      <c r="D498" s="135">
        <f t="shared" si="119"/>
        <v>1370.0287289458508</v>
      </c>
      <c r="E498" s="135"/>
      <c r="F498" s="138">
        <v>-0.5</v>
      </c>
      <c r="G498" s="138"/>
      <c r="H498" s="139">
        <f t="shared" si="117"/>
        <v>-550</v>
      </c>
      <c r="I498" s="139">
        <f t="shared" si="117"/>
        <v>-685</v>
      </c>
      <c r="J498" s="135"/>
      <c r="K498" s="138">
        <f>F498</f>
        <v>-0.5</v>
      </c>
      <c r="L498" s="138"/>
      <c r="M498" s="139">
        <f t="shared" si="118"/>
        <v>-685</v>
      </c>
      <c r="O498" s="146" t="s">
        <v>101</v>
      </c>
      <c r="P498" s="147">
        <f>M508+M549+M983+M1162+M1208+M1255+M1280</f>
        <v>343888254</v>
      </c>
      <c r="S498" s="145">
        <f>K498-'Order(Exhibit B)'!K498</f>
        <v>0</v>
      </c>
      <c r="T498" s="115">
        <f>M498-'Order(Exhibit B)'!M498</f>
        <v>0</v>
      </c>
    </row>
    <row r="499" spans="1:20">
      <c r="A499" s="136" t="s">
        <v>191</v>
      </c>
      <c r="C499" s="135">
        <f t="shared" si="119"/>
        <v>96</v>
      </c>
      <c r="D499" s="135">
        <f t="shared" si="119"/>
        <v>96</v>
      </c>
      <c r="E499" s="135"/>
      <c r="F499" s="138">
        <v>-150</v>
      </c>
      <c r="G499" s="138"/>
      <c r="H499" s="139">
        <f t="shared" si="117"/>
        <v>-14400</v>
      </c>
      <c r="I499" s="139">
        <f t="shared" si="117"/>
        <v>-14400</v>
      </c>
      <c r="J499" s="135"/>
      <c r="K499" s="138">
        <f>F499</f>
        <v>-150</v>
      </c>
      <c r="L499" s="138"/>
      <c r="M499" s="139">
        <f t="shared" si="118"/>
        <v>-14400</v>
      </c>
      <c r="O499" s="149" t="s">
        <v>103</v>
      </c>
      <c r="P499" s="150">
        <f>SUM('Exhibit B(Rate Spread)'!M26,'Exhibit B(Rate Spread)'!M29:M32)*1000</f>
        <v>343869935.2319752</v>
      </c>
      <c r="S499" s="145">
        <f>K499-'Order(Exhibit B)'!K499</f>
        <v>0</v>
      </c>
      <c r="T499" s="115">
        <f>M499-'Order(Exhibit B)'!M499</f>
        <v>0</v>
      </c>
    </row>
    <row r="500" spans="1:20">
      <c r="A500" s="136" t="s">
        <v>144</v>
      </c>
      <c r="C500" s="135">
        <f t="shared" si="119"/>
        <v>8308196.10087719</v>
      </c>
      <c r="D500" s="135">
        <f t="shared" si="119"/>
        <v>9024652</v>
      </c>
      <c r="E500" s="135"/>
      <c r="F500" s="138">
        <v>2.2799999999999998</v>
      </c>
      <c r="G500" s="138"/>
      <c r="H500" s="139">
        <f t="shared" si="117"/>
        <v>18942687</v>
      </c>
      <c r="I500" s="139">
        <f t="shared" si="117"/>
        <v>20576207</v>
      </c>
      <c r="J500" s="135"/>
      <c r="K500" s="138">
        <f>ROUND(F500*(1+$P$505),2)</f>
        <v>2.37</v>
      </c>
      <c r="L500" s="138"/>
      <c r="M500" s="139">
        <f t="shared" si="118"/>
        <v>21388425</v>
      </c>
      <c r="O500" s="207" t="s">
        <v>105</v>
      </c>
      <c r="P500" s="150">
        <f>P499-P498</f>
        <v>-18318.768024802208</v>
      </c>
      <c r="S500" s="145">
        <f>K500-'Order(Exhibit B)'!K500</f>
        <v>0</v>
      </c>
      <c r="T500" s="115">
        <f>M500-'Order(Exhibit B)'!M500</f>
        <v>0</v>
      </c>
    </row>
    <row r="501" spans="1:20">
      <c r="A501" s="136" t="s">
        <v>180</v>
      </c>
      <c r="C501" s="135">
        <f t="shared" si="119"/>
        <v>2686882.441730632</v>
      </c>
      <c r="D501" s="135">
        <f t="shared" si="119"/>
        <v>2920309</v>
      </c>
      <c r="E501" s="135"/>
      <c r="F501" s="138">
        <v>14.33</v>
      </c>
      <c r="G501" s="138"/>
      <c r="H501" s="139">
        <f t="shared" si="117"/>
        <v>38503025</v>
      </c>
      <c r="I501" s="139">
        <f t="shared" si="117"/>
        <v>41848028</v>
      </c>
      <c r="J501" s="135"/>
      <c r="K501" s="138">
        <f t="shared" ref="K501:K502" si="120">ROUND(F501*(1+$P$505),2)</f>
        <v>14.92</v>
      </c>
      <c r="L501" s="138"/>
      <c r="M501" s="139">
        <f t="shared" si="118"/>
        <v>43571010</v>
      </c>
      <c r="O501" s="149" t="s">
        <v>108</v>
      </c>
      <c r="P501" s="191">
        <f>P498/(I508+I549+I983+I1162+I1208+I1255+I1280)-1</f>
        <v>4.7396071788231575E-2</v>
      </c>
      <c r="S501" s="145">
        <f>K501-'Order(Exhibit B)'!K501</f>
        <v>5.0000000000000711E-2</v>
      </c>
      <c r="T501" s="115">
        <f>M501-'Order(Exhibit B)'!M501</f>
        <v>146015</v>
      </c>
    </row>
    <row r="502" spans="1:20">
      <c r="A502" s="136" t="s">
        <v>181</v>
      </c>
      <c r="C502" s="135">
        <f t="shared" si="119"/>
        <v>5246261.2326498497</v>
      </c>
      <c r="D502" s="135">
        <f t="shared" si="119"/>
        <v>5697768</v>
      </c>
      <c r="E502" s="135"/>
      <c r="F502" s="138">
        <v>12.68</v>
      </c>
      <c r="G502" s="138"/>
      <c r="H502" s="139">
        <f t="shared" si="117"/>
        <v>66522592</v>
      </c>
      <c r="I502" s="139">
        <f t="shared" si="117"/>
        <v>72247698</v>
      </c>
      <c r="J502" s="135"/>
      <c r="K502" s="138">
        <f t="shared" si="120"/>
        <v>13.21</v>
      </c>
      <c r="L502" s="138"/>
      <c r="M502" s="139">
        <f t="shared" si="118"/>
        <v>75267515</v>
      </c>
      <c r="O502" s="149" t="s">
        <v>110</v>
      </c>
      <c r="P502" s="191">
        <f>P499/(I508+I549+I983+I1162+I1208+I1255+I1280)-1</f>
        <v>4.734027748457037E-2</v>
      </c>
      <c r="S502" s="145">
        <f>K502-'Order(Exhibit B)'!K502</f>
        <v>5.0000000000000711E-2</v>
      </c>
      <c r="T502" s="115">
        <f>M502-'Order(Exhibit B)'!M502</f>
        <v>284888</v>
      </c>
    </row>
    <row r="503" spans="1:20">
      <c r="A503" s="136" t="s">
        <v>111</v>
      </c>
      <c r="C503" s="135">
        <f t="shared" si="119"/>
        <v>321453510</v>
      </c>
      <c r="D503" s="135">
        <f t="shared" si="119"/>
        <v>349878336</v>
      </c>
      <c r="E503" s="135"/>
      <c r="F503" s="208">
        <v>5.1477000000000004</v>
      </c>
      <c r="G503" s="163" t="s">
        <v>112</v>
      </c>
      <c r="H503" s="139">
        <f t="shared" ref="H503:I506" si="121">ROUND($F503*C503/100,0)</f>
        <v>16547462</v>
      </c>
      <c r="I503" s="139">
        <f t="shared" si="121"/>
        <v>18010687</v>
      </c>
      <c r="J503" s="135"/>
      <c r="K503" s="209">
        <f t="shared" ref="K503:K506" si="122">ROUND(F503*(1+$P$505),$P$8)</f>
        <v>5.3608000000000002</v>
      </c>
      <c r="L503" s="163" t="s">
        <v>112</v>
      </c>
      <c r="M503" s="139">
        <f>ROUND($K503*D503/100,0)</f>
        <v>18756278</v>
      </c>
      <c r="O503" s="149" t="s">
        <v>119</v>
      </c>
      <c r="P503" s="191">
        <v>0.5</v>
      </c>
      <c r="S503" s="145">
        <f>K503-'Order(Exhibit B)'!K503</f>
        <v>1.9400000000000084E-2</v>
      </c>
      <c r="T503" s="115">
        <f>M503-'Order(Exhibit B)'!M503</f>
        <v>67877</v>
      </c>
    </row>
    <row r="504" spans="1:20">
      <c r="A504" s="136" t="s">
        <v>114</v>
      </c>
      <c r="C504" s="135">
        <f t="shared" si="119"/>
        <v>1257182680</v>
      </c>
      <c r="D504" s="135">
        <f t="shared" si="119"/>
        <v>1367431769</v>
      </c>
      <c r="E504" s="135"/>
      <c r="F504" s="208">
        <v>2.6164999999999998</v>
      </c>
      <c r="G504" s="163" t="s">
        <v>112</v>
      </c>
      <c r="H504" s="139">
        <f t="shared" si="121"/>
        <v>32894185</v>
      </c>
      <c r="I504" s="139">
        <f t="shared" si="121"/>
        <v>35778852</v>
      </c>
      <c r="J504" s="135"/>
      <c r="K504" s="209">
        <f t="shared" si="122"/>
        <v>2.7248000000000001</v>
      </c>
      <c r="L504" s="163" t="s">
        <v>112</v>
      </c>
      <c r="M504" s="139">
        <f>ROUND($K504*D504/100,0)</f>
        <v>37259781</v>
      </c>
      <c r="O504" s="149" t="s">
        <v>192</v>
      </c>
      <c r="P504" s="191">
        <f>(P498-SUM(M965:M972,M1148,M1149,M1195,M1206,M1241,M1253))/SUM(I508,I549,I962,I974:I980,I1119:I1147,I1160,I1166:I1194,I1212:I1240,I1280)-1</f>
        <v>4.7626334240342905E-2</v>
      </c>
      <c r="S504" s="145">
        <f>K504-'Order(Exhibit B)'!K504</f>
        <v>9.9000000000000199E-3</v>
      </c>
      <c r="T504" s="115">
        <f>M504-'Order(Exhibit B)'!M504</f>
        <v>135376</v>
      </c>
    </row>
    <row r="505" spans="1:20">
      <c r="A505" s="136" t="s">
        <v>183</v>
      </c>
      <c r="C505" s="135">
        <f t="shared" si="119"/>
        <v>630314641</v>
      </c>
      <c r="D505" s="135">
        <f t="shared" si="119"/>
        <v>685783120</v>
      </c>
      <c r="E505" s="135"/>
      <c r="F505" s="208">
        <v>4.5555000000000003</v>
      </c>
      <c r="G505" s="163" t="s">
        <v>112</v>
      </c>
      <c r="H505" s="139">
        <f t="shared" si="121"/>
        <v>28713983</v>
      </c>
      <c r="I505" s="139">
        <f t="shared" si="121"/>
        <v>31240850</v>
      </c>
      <c r="J505" s="135"/>
      <c r="K505" s="209">
        <f t="shared" si="122"/>
        <v>4.7441000000000004</v>
      </c>
      <c r="L505" s="163" t="s">
        <v>112</v>
      </c>
      <c r="M505" s="139">
        <f>ROUND($K505*D505/100,0)</f>
        <v>32534237</v>
      </c>
      <c r="O505" s="149" t="s">
        <v>193</v>
      </c>
      <c r="P505" s="191">
        <f>P506+P507</f>
        <v>4.1405853434923583E-2</v>
      </c>
      <c r="S505" s="145">
        <f>K505-'Order(Exhibit B)'!K505</f>
        <v>1.720000000000077E-2</v>
      </c>
      <c r="T505" s="115">
        <f>M505-'Order(Exhibit B)'!M505</f>
        <v>117955</v>
      </c>
    </row>
    <row r="506" spans="1:20">
      <c r="A506" s="136" t="s">
        <v>185</v>
      </c>
      <c r="C506" s="135">
        <f t="shared" si="119"/>
        <v>2443300051</v>
      </c>
      <c r="D506" s="135">
        <f t="shared" si="119"/>
        <v>2657431148</v>
      </c>
      <c r="E506" s="135"/>
      <c r="F506" s="209">
        <v>2.3155000000000001</v>
      </c>
      <c r="G506" s="163" t="s">
        <v>112</v>
      </c>
      <c r="H506" s="139">
        <f t="shared" si="121"/>
        <v>56574613</v>
      </c>
      <c r="I506" s="139">
        <f t="shared" si="121"/>
        <v>61532818</v>
      </c>
      <c r="J506" s="135"/>
      <c r="K506" s="209">
        <f t="shared" si="122"/>
        <v>2.4114</v>
      </c>
      <c r="L506" s="163" t="s">
        <v>112</v>
      </c>
      <c r="M506" s="139">
        <f>ROUND($K506*D506/100,0)</f>
        <v>64081295</v>
      </c>
      <c r="O506" s="149" t="s">
        <v>193</v>
      </c>
      <c r="P506" s="191">
        <f>(P499-SUM(M497:M499,M539:M540,M921:M922,M935:M936,M949:M950,M1119:M1121,M1125,M1166:M1168,M1172,M1212:M1214,M1218,M965:M972,M1148,M1149,M1195,M1206,M1241,M1253,M1272))/SUM(I500:I506,I541:I547,I923:I933,I937:I947,I951:I961,I974:I980,I1123:I1124,I1127:I1147,I1153:I1159,I1170:I1171,I1174:I1194,I1216:I1217,I1220:I1240,I1273:I1279)-1</f>
        <v>4.679341253619973E-2</v>
      </c>
      <c r="Q506" s="145"/>
      <c r="S506" s="145">
        <f>K506-'Order(Exhibit B)'!K506</f>
        <v>8.799999999999919E-3</v>
      </c>
      <c r="T506" s="115">
        <f>M506-'Order(Exhibit B)'!M506</f>
        <v>233854</v>
      </c>
    </row>
    <row r="507" spans="1:20">
      <c r="A507" s="172" t="s">
        <v>125</v>
      </c>
      <c r="B507" s="173"/>
      <c r="C507" s="135">
        <f t="shared" si="119"/>
        <v>9779848</v>
      </c>
      <c r="D507" s="135"/>
      <c r="E507" s="135"/>
      <c r="F507" s="174"/>
      <c r="G507" s="13"/>
      <c r="H507" s="139">
        <f>H521+H535</f>
        <v>941225</v>
      </c>
      <c r="I507" s="139"/>
      <c r="J507" s="135"/>
      <c r="K507" s="174"/>
      <c r="L507" s="13"/>
      <c r="M507" s="139"/>
      <c r="N507" s="164"/>
      <c r="O507" s="149" t="s">
        <v>194</v>
      </c>
      <c r="P507" s="329">
        <v>-5.3875591012761464E-3</v>
      </c>
      <c r="Q507" s="145"/>
      <c r="S507" s="145">
        <f>K507-'Order(Exhibit B)'!K507</f>
        <v>0</v>
      </c>
      <c r="T507" s="115">
        <f>M507-'Order(Exhibit B)'!M507</f>
        <v>0</v>
      </c>
    </row>
    <row r="508" spans="1:20" ht="16.5" thickBot="1">
      <c r="A508" s="176" t="s">
        <v>127</v>
      </c>
      <c r="B508" s="177"/>
      <c r="C508" s="178">
        <f t="shared" si="119"/>
        <v>4662030730</v>
      </c>
      <c r="D508" s="178">
        <f t="shared" si="119"/>
        <v>5060524373.6956453</v>
      </c>
      <c r="E508" s="178"/>
      <c r="F508" s="177"/>
      <c r="G508" s="177"/>
      <c r="H508" s="179">
        <f>SUM(H497:H507)</f>
        <v>260136742</v>
      </c>
      <c r="I508" s="179">
        <f>SUM(I497:I507)</f>
        <v>281744341</v>
      </c>
      <c r="J508" s="178"/>
      <c r="K508" s="177"/>
      <c r="L508" s="177"/>
      <c r="M508" s="179">
        <f>SUM(M497:M507)</f>
        <v>293629885</v>
      </c>
      <c r="O508" s="167" t="s">
        <v>195</v>
      </c>
      <c r="P508" s="210">
        <v>1.1299999999999999</v>
      </c>
      <c r="S508" s="145">
        <f>K508-'Order(Exhibit B)'!K508</f>
        <v>0</v>
      </c>
      <c r="T508" s="115">
        <f>M508-'Order(Exhibit B)'!M508</f>
        <v>985965</v>
      </c>
    </row>
    <row r="509" spans="1:20" ht="16.5" thickTop="1">
      <c r="C509" s="135"/>
      <c r="D509" s="135"/>
      <c r="E509" s="135"/>
      <c r="J509" s="135"/>
      <c r="O509" s="132" t="s">
        <v>196</v>
      </c>
      <c r="P509" s="131">
        <f>M508/I508-1</f>
        <v>4.218556425238007E-2</v>
      </c>
      <c r="S509" s="145">
        <f>K509-'Order(Exhibit B)'!K509</f>
        <v>0</v>
      </c>
      <c r="T509" s="115">
        <f>M509-'Order(Exhibit B)'!M509</f>
        <v>0</v>
      </c>
    </row>
    <row r="510" spans="1:20">
      <c r="A510" s="133" t="s">
        <v>472</v>
      </c>
      <c r="C510" s="135"/>
      <c r="D510" s="135"/>
      <c r="E510" s="135"/>
      <c r="J510" s="135"/>
      <c r="S510" s="145">
        <f>K510-'Order(Exhibit B)'!K510</f>
        <v>0</v>
      </c>
      <c r="T510" s="115">
        <f>M510-'Order(Exhibit B)'!M510</f>
        <v>0</v>
      </c>
    </row>
    <row r="511" spans="1:20">
      <c r="A511" s="136" t="s">
        <v>143</v>
      </c>
      <c r="C511" s="135">
        <v>644.33338345864695</v>
      </c>
      <c r="D511" s="135">
        <v>639</v>
      </c>
      <c r="E511" s="135"/>
      <c r="F511" s="190">
        <v>266</v>
      </c>
      <c r="G511" s="190"/>
      <c r="H511" s="139">
        <f t="shared" ref="H511:I516" si="123">ROUND($F511*C511,0)</f>
        <v>171393</v>
      </c>
      <c r="I511" s="139">
        <f t="shared" si="123"/>
        <v>169974</v>
      </c>
      <c r="J511" s="135"/>
      <c r="K511" s="190">
        <f>K$497</f>
        <v>399</v>
      </c>
      <c r="L511" s="190"/>
      <c r="M511" s="139">
        <f t="shared" ref="M511:M516" si="124">ROUND($K511*D511,0)</f>
        <v>254961</v>
      </c>
      <c r="O511" s="149" t="s">
        <v>192</v>
      </c>
      <c r="P511" s="191">
        <f>(P498-SUM(M965:M972,M1148,M1149,M1195,M1206,M1241,M1253))/SUM(I508,I549,I962,I974:I980,I1119:I1147,I1160,I1166:I1194,I1212:I1240,I1280)-1</f>
        <v>4.7626334240342905E-2</v>
      </c>
      <c r="S511" s="145">
        <f>K511-'Order(Exhibit B)'!K511</f>
        <v>0</v>
      </c>
      <c r="T511" s="115">
        <f>M511-'Order(Exhibit B)'!M511</f>
        <v>0</v>
      </c>
    </row>
    <row r="512" spans="1:20">
      <c r="A512" s="136" t="s">
        <v>109</v>
      </c>
      <c r="C512" s="135">
        <v>357</v>
      </c>
      <c r="D512" s="135">
        <v>444.16456509203385</v>
      </c>
      <c r="E512" s="135"/>
      <c r="F512" s="138">
        <v>-0.5</v>
      </c>
      <c r="G512" s="138"/>
      <c r="H512" s="139">
        <f t="shared" si="123"/>
        <v>-179</v>
      </c>
      <c r="I512" s="139">
        <f t="shared" si="123"/>
        <v>-222</v>
      </c>
      <c r="J512" s="135"/>
      <c r="K512" s="138">
        <f>K$498</f>
        <v>-0.5</v>
      </c>
      <c r="L512" s="138"/>
      <c r="M512" s="139">
        <f t="shared" si="124"/>
        <v>-222</v>
      </c>
      <c r="O512" s="149" t="s">
        <v>193</v>
      </c>
      <c r="P512" s="191">
        <f>(P499-SUM(M965:M972,M1148,M1149,M1195,M1206,M1241,M1253))/SUM(I508,I549,I962,I974:I980,I1119:I1147,I1160,I1166:I1194,I1212:I1240,I1280)-1</f>
        <v>4.7569738701788156E-2</v>
      </c>
      <c r="S512" s="145">
        <f>K512-'Order(Exhibit B)'!K512</f>
        <v>0</v>
      </c>
      <c r="T512" s="115">
        <f>M512-'Order(Exhibit B)'!M512</f>
        <v>0</v>
      </c>
    </row>
    <row r="513" spans="1:20">
      <c r="A513" s="136" t="s">
        <v>191</v>
      </c>
      <c r="C513" s="135">
        <v>0</v>
      </c>
      <c r="D513" s="135">
        <f>$C513</f>
        <v>0</v>
      </c>
      <c r="E513" s="135"/>
      <c r="F513" s="138">
        <v>-150</v>
      </c>
      <c r="G513" s="138"/>
      <c r="H513" s="139">
        <f t="shared" si="123"/>
        <v>0</v>
      </c>
      <c r="I513" s="139">
        <f t="shared" si="123"/>
        <v>0</v>
      </c>
      <c r="J513" s="135"/>
      <c r="K513" s="138">
        <f>K$499</f>
        <v>-150</v>
      </c>
      <c r="L513" s="138"/>
      <c r="M513" s="139">
        <f t="shared" si="124"/>
        <v>0</v>
      </c>
      <c r="S513" s="145">
        <f>K513-'Order(Exhibit B)'!K513</f>
        <v>0</v>
      </c>
      <c r="T513" s="115">
        <f>M513-'Order(Exhibit B)'!M513</f>
        <v>0</v>
      </c>
    </row>
    <row r="514" spans="1:20">
      <c r="A514" s="136" t="s">
        <v>144</v>
      </c>
      <c r="C514" s="135">
        <v>2170537.1973684202</v>
      </c>
      <c r="D514" s="135">
        <f t="shared" ref="D514:D516" si="125">ROUND($C514*D$522/$C$522,0)</f>
        <v>2512471</v>
      </c>
      <c r="E514" s="135"/>
      <c r="F514" s="190">
        <v>2.2799999999999998</v>
      </c>
      <c r="G514" s="190"/>
      <c r="H514" s="139">
        <f t="shared" si="123"/>
        <v>4948825</v>
      </c>
      <c r="I514" s="139">
        <f t="shared" si="123"/>
        <v>5728434</v>
      </c>
      <c r="J514" s="135"/>
      <c r="K514" s="190">
        <f>K$500</f>
        <v>2.37</v>
      </c>
      <c r="L514" s="190"/>
      <c r="M514" s="139">
        <f t="shared" si="124"/>
        <v>5954556</v>
      </c>
      <c r="S514" s="145">
        <f>K514-'Order(Exhibit B)'!K514</f>
        <v>0</v>
      </c>
      <c r="T514" s="115">
        <f>M514-'Order(Exhibit B)'!M514</f>
        <v>0</v>
      </c>
    </row>
    <row r="515" spans="1:20">
      <c r="A515" s="136" t="s">
        <v>180</v>
      </c>
      <c r="C515" s="135">
        <v>719806.49755757197</v>
      </c>
      <c r="D515" s="135">
        <f t="shared" si="125"/>
        <v>833201</v>
      </c>
      <c r="E515" s="135"/>
      <c r="F515" s="190">
        <v>14.33</v>
      </c>
      <c r="G515" s="190"/>
      <c r="H515" s="139">
        <f t="shared" si="123"/>
        <v>10314827</v>
      </c>
      <c r="I515" s="139">
        <f t="shared" si="123"/>
        <v>11939770</v>
      </c>
      <c r="J515" s="135"/>
      <c r="K515" s="190">
        <f>K$501</f>
        <v>14.92</v>
      </c>
      <c r="L515" s="190"/>
      <c r="M515" s="139">
        <f t="shared" si="124"/>
        <v>12431359</v>
      </c>
      <c r="S515" s="145">
        <f>K515-'Order(Exhibit B)'!K515</f>
        <v>5.0000000000000711E-2</v>
      </c>
      <c r="T515" s="115">
        <f>M515-'Order(Exhibit B)'!M515</f>
        <v>41660</v>
      </c>
    </row>
    <row r="516" spans="1:20">
      <c r="A516" s="136" t="s">
        <v>181</v>
      </c>
      <c r="C516" s="135">
        <v>1361236.2042586801</v>
      </c>
      <c r="D516" s="135">
        <f t="shared" si="125"/>
        <v>1575678</v>
      </c>
      <c r="E516" s="135"/>
      <c r="F516" s="190">
        <v>12.68</v>
      </c>
      <c r="G516" s="190"/>
      <c r="H516" s="139">
        <f t="shared" si="123"/>
        <v>17260475</v>
      </c>
      <c r="I516" s="139">
        <f t="shared" si="123"/>
        <v>19979597</v>
      </c>
      <c r="J516" s="135"/>
      <c r="K516" s="190">
        <f>K$502</f>
        <v>13.21</v>
      </c>
      <c r="L516" s="190"/>
      <c r="M516" s="139">
        <f t="shared" si="124"/>
        <v>20814706</v>
      </c>
      <c r="S516" s="145">
        <f>K516-'Order(Exhibit B)'!K516</f>
        <v>5.0000000000000711E-2</v>
      </c>
      <c r="T516" s="115">
        <f>M516-'Order(Exhibit B)'!M516</f>
        <v>78784</v>
      </c>
    </row>
    <row r="517" spans="1:20">
      <c r="A517" s="136" t="s">
        <v>111</v>
      </c>
      <c r="C517" s="135">
        <v>83050407</v>
      </c>
      <c r="D517" s="135">
        <f>ROUND($C517*D$522/($C$522-$C$521),0)</f>
        <v>96866736</v>
      </c>
      <c r="E517" s="135"/>
      <c r="F517" s="198">
        <v>5.1477000000000004</v>
      </c>
      <c r="G517" s="163" t="s">
        <v>112</v>
      </c>
      <c r="H517" s="139">
        <f t="shared" ref="H517:I520" si="126">ROUND($F517*C517/100,0)</f>
        <v>4275186</v>
      </c>
      <c r="I517" s="139">
        <f t="shared" si="126"/>
        <v>4986409</v>
      </c>
      <c r="J517" s="135"/>
      <c r="K517" s="198">
        <f>K$503</f>
        <v>5.3608000000000002</v>
      </c>
      <c r="L517" s="163" t="s">
        <v>112</v>
      </c>
      <c r="M517" s="139">
        <f>ROUND($K517*D517/100,0)</f>
        <v>5192832</v>
      </c>
      <c r="S517" s="145">
        <f>K517-'Order(Exhibit B)'!K517</f>
        <v>1.9400000000000084E-2</v>
      </c>
      <c r="T517" s="115">
        <f>M517-'Order(Exhibit B)'!M517</f>
        <v>18792</v>
      </c>
    </row>
    <row r="518" spans="1:20">
      <c r="A518" s="136" t="s">
        <v>114</v>
      </c>
      <c r="C518" s="135">
        <v>316064211</v>
      </c>
      <c r="D518" s="135">
        <f t="shared" ref="D518:D520" si="127">ROUND($C518*D$522/($C$522-$C$521),0)</f>
        <v>368644895</v>
      </c>
      <c r="E518" s="135"/>
      <c r="F518" s="198">
        <v>2.6164999999999998</v>
      </c>
      <c r="G518" s="163" t="s">
        <v>112</v>
      </c>
      <c r="H518" s="139">
        <f t="shared" si="126"/>
        <v>8269820</v>
      </c>
      <c r="I518" s="139">
        <f t="shared" si="126"/>
        <v>9645594</v>
      </c>
      <c r="J518" s="135"/>
      <c r="K518" s="198">
        <f>K$504</f>
        <v>2.7248000000000001</v>
      </c>
      <c r="L518" s="163" t="s">
        <v>112</v>
      </c>
      <c r="M518" s="139">
        <f>ROUND($K518*D518/100,0)</f>
        <v>10044836</v>
      </c>
      <c r="S518" s="145">
        <f>K518-'Order(Exhibit B)'!K518</f>
        <v>9.9000000000000199E-3</v>
      </c>
      <c r="T518" s="115">
        <f>M518-'Order(Exhibit B)'!M518</f>
        <v>36496</v>
      </c>
    </row>
    <row r="519" spans="1:20">
      <c r="A519" s="136" t="s">
        <v>183</v>
      </c>
      <c r="C519" s="135">
        <v>160300155</v>
      </c>
      <c r="D519" s="135">
        <f t="shared" si="127"/>
        <v>186967812</v>
      </c>
      <c r="E519" s="135"/>
      <c r="F519" s="198">
        <v>4.5555000000000003</v>
      </c>
      <c r="G519" s="163" t="s">
        <v>112</v>
      </c>
      <c r="H519" s="139">
        <f t="shared" si="126"/>
        <v>7302474</v>
      </c>
      <c r="I519" s="139">
        <f t="shared" si="126"/>
        <v>8517319</v>
      </c>
      <c r="J519" s="135"/>
      <c r="K519" s="198">
        <f>K$505</f>
        <v>4.7441000000000004</v>
      </c>
      <c r="L519" s="163" t="s">
        <v>112</v>
      </c>
      <c r="M519" s="139">
        <f>ROUND($K519*D519/100,0)</f>
        <v>8869940</v>
      </c>
      <c r="S519" s="145">
        <f>K519-'Order(Exhibit B)'!K519</f>
        <v>1.720000000000077E-2</v>
      </c>
      <c r="T519" s="115">
        <f>M519-'Order(Exhibit B)'!M519</f>
        <v>32158</v>
      </c>
    </row>
    <row r="520" spans="1:20">
      <c r="A520" s="136" t="s">
        <v>185</v>
      </c>
      <c r="C520" s="135">
        <v>612977587</v>
      </c>
      <c r="D520" s="135">
        <f t="shared" si="127"/>
        <v>714953008</v>
      </c>
      <c r="E520" s="135"/>
      <c r="F520" s="198">
        <v>2.3155000000000001</v>
      </c>
      <c r="G520" s="163" t="s">
        <v>112</v>
      </c>
      <c r="H520" s="139">
        <f t="shared" si="126"/>
        <v>14193496</v>
      </c>
      <c r="I520" s="139">
        <f t="shared" si="126"/>
        <v>16554737</v>
      </c>
      <c r="J520" s="135"/>
      <c r="K520" s="198">
        <f>K$506</f>
        <v>2.4114</v>
      </c>
      <c r="L520" s="163" t="s">
        <v>112</v>
      </c>
      <c r="M520" s="139">
        <f>ROUND($K520*D520/100,0)</f>
        <v>17240377</v>
      </c>
      <c r="S520" s="145">
        <f>K520-'Order(Exhibit B)'!K520</f>
        <v>8.799999999999919E-3</v>
      </c>
      <c r="T520" s="115">
        <f>M520-'Order(Exhibit B)'!M520</f>
        <v>62916</v>
      </c>
    </row>
    <row r="521" spans="1:20">
      <c r="A521" s="172" t="s">
        <v>125</v>
      </c>
      <c r="B521" s="173"/>
      <c r="C521" s="135">
        <v>8939785</v>
      </c>
      <c r="D521" s="135"/>
      <c r="E521" s="135"/>
      <c r="F521" s="174"/>
      <c r="G521" s="13"/>
      <c r="H521" s="139">
        <v>505707</v>
      </c>
      <c r="I521" s="139"/>
      <c r="J521" s="135"/>
      <c r="K521" s="174"/>
      <c r="L521" s="13"/>
      <c r="M521" s="139"/>
      <c r="N521" s="164"/>
      <c r="O521" s="164"/>
      <c r="P521" s="164"/>
      <c r="S521" s="145">
        <f>K521-'Order(Exhibit B)'!K521</f>
        <v>0</v>
      </c>
      <c r="T521" s="115">
        <f>M521-'Order(Exhibit B)'!M521</f>
        <v>0</v>
      </c>
    </row>
    <row r="522" spans="1:20" ht="16.5" thickBot="1">
      <c r="A522" s="176" t="s">
        <v>127</v>
      </c>
      <c r="B522" s="177"/>
      <c r="C522" s="178">
        <f>SUM(C517:C521)</f>
        <v>1181332145</v>
      </c>
      <c r="D522" s="178">
        <v>1367432450.784467</v>
      </c>
      <c r="E522" s="178"/>
      <c r="F522" s="177"/>
      <c r="G522" s="177"/>
      <c r="H522" s="179">
        <f>SUM(H511:H521)</f>
        <v>67242024</v>
      </c>
      <c r="I522" s="179">
        <f>SUM(I511:I521)</f>
        <v>77521612</v>
      </c>
      <c r="J522" s="178"/>
      <c r="K522" s="177"/>
      <c r="L522" s="177"/>
      <c r="M522" s="179">
        <f>SUM(M511:M521)</f>
        <v>80803345</v>
      </c>
      <c r="O522" s="114" t="s">
        <v>108</v>
      </c>
      <c r="P522" s="164">
        <f>M522/I522-1</f>
        <v>4.233313672579464E-2</v>
      </c>
      <c r="S522" s="145">
        <f>K522-'Order(Exhibit B)'!K522</f>
        <v>0</v>
      </c>
      <c r="T522" s="115">
        <f>M522-'Order(Exhibit B)'!M522</f>
        <v>270806</v>
      </c>
    </row>
    <row r="523" spans="1:20" ht="16.5" thickTop="1">
      <c r="C523" s="135"/>
      <c r="D523" s="135"/>
      <c r="E523" s="135"/>
      <c r="J523" s="135"/>
      <c r="S523" s="145">
        <f>K523-'Order(Exhibit B)'!K523</f>
        <v>0</v>
      </c>
      <c r="T523" s="115">
        <f>M523-'Order(Exhibit B)'!M523</f>
        <v>0</v>
      </c>
    </row>
    <row r="524" spans="1:20">
      <c r="A524" s="133" t="s">
        <v>473</v>
      </c>
      <c r="C524" s="135"/>
      <c r="D524" s="135"/>
      <c r="E524" s="135"/>
      <c r="J524" s="135"/>
      <c r="S524" s="145">
        <f>K524-'Order(Exhibit B)'!K524</f>
        <v>0</v>
      </c>
      <c r="T524" s="115">
        <f>M524-'Order(Exhibit B)'!M524</f>
        <v>0</v>
      </c>
    </row>
    <row r="525" spans="1:20">
      <c r="A525" s="136" t="s">
        <v>143</v>
      </c>
      <c r="C525" s="135">
        <v>1280.1778571428599</v>
      </c>
      <c r="D525" s="135">
        <v>1332</v>
      </c>
      <c r="E525" s="135"/>
      <c r="F525" s="190">
        <v>266</v>
      </c>
      <c r="G525" s="190"/>
      <c r="H525" s="139">
        <f t="shared" ref="H525:I530" si="128">ROUND($F525*C525,0)</f>
        <v>340527</v>
      </c>
      <c r="I525" s="139">
        <f t="shared" si="128"/>
        <v>354312</v>
      </c>
      <c r="J525" s="135"/>
      <c r="K525" s="190">
        <f>K$497</f>
        <v>399</v>
      </c>
      <c r="L525" s="190"/>
      <c r="M525" s="139">
        <f t="shared" ref="M525:M530" si="129">ROUND($K525*D525,0)</f>
        <v>531468</v>
      </c>
      <c r="S525" s="145">
        <f>K525-'Order(Exhibit B)'!K525</f>
        <v>0</v>
      </c>
      <c r="T525" s="115">
        <f>M525-'Order(Exhibit B)'!M525</f>
        <v>0</v>
      </c>
    </row>
    <row r="526" spans="1:20">
      <c r="A526" s="136" t="s">
        <v>109</v>
      </c>
      <c r="C526" s="135">
        <v>743.36</v>
      </c>
      <c r="D526" s="135">
        <v>925.86416385381699</v>
      </c>
      <c r="E526" s="135"/>
      <c r="F526" s="138">
        <v>-0.5</v>
      </c>
      <c r="G526" s="138"/>
      <c r="H526" s="139">
        <f t="shared" si="128"/>
        <v>-372</v>
      </c>
      <c r="I526" s="139">
        <f t="shared" si="128"/>
        <v>-463</v>
      </c>
      <c r="J526" s="135"/>
      <c r="K526" s="138">
        <f>K$498</f>
        <v>-0.5</v>
      </c>
      <c r="L526" s="138"/>
      <c r="M526" s="139">
        <f t="shared" si="129"/>
        <v>-463</v>
      </c>
      <c r="S526" s="145">
        <f>K526-'Order(Exhibit B)'!K526</f>
        <v>0</v>
      </c>
      <c r="T526" s="115">
        <f>M526-'Order(Exhibit B)'!M526</f>
        <v>0</v>
      </c>
    </row>
    <row r="527" spans="1:20">
      <c r="A527" s="136" t="s">
        <v>191</v>
      </c>
      <c r="C527" s="135">
        <v>96</v>
      </c>
      <c r="D527" s="135">
        <f>$C527</f>
        <v>96</v>
      </c>
      <c r="E527" s="135"/>
      <c r="F527" s="138">
        <v>-150</v>
      </c>
      <c r="G527" s="138"/>
      <c r="H527" s="139">
        <f>ROUND($F527*C527,0)</f>
        <v>-14400</v>
      </c>
      <c r="I527" s="139">
        <f t="shared" si="128"/>
        <v>-14400</v>
      </c>
      <c r="J527" s="135"/>
      <c r="K527" s="138">
        <f>K$499</f>
        <v>-150</v>
      </c>
      <c r="L527" s="138"/>
      <c r="M527" s="139">
        <f t="shared" si="129"/>
        <v>-14400</v>
      </c>
      <c r="S527" s="145">
        <f>K527-'Order(Exhibit B)'!K527</f>
        <v>0</v>
      </c>
      <c r="T527" s="115">
        <f>M527-'Order(Exhibit B)'!M527</f>
        <v>0</v>
      </c>
    </row>
    <row r="528" spans="1:20">
      <c r="A528" s="136" t="s">
        <v>144</v>
      </c>
      <c r="C528" s="135">
        <v>6137658.9035087703</v>
      </c>
      <c r="D528" s="135">
        <f t="shared" ref="D528:D530" si="130">ROUND($C528*D$536/$C$536,0)</f>
        <v>6512181</v>
      </c>
      <c r="E528" s="135"/>
      <c r="F528" s="190">
        <v>2.2799999999999998</v>
      </c>
      <c r="G528" s="190"/>
      <c r="H528" s="139">
        <f t="shared" si="128"/>
        <v>13993862</v>
      </c>
      <c r="I528" s="139">
        <f t="shared" si="128"/>
        <v>14847773</v>
      </c>
      <c r="J528" s="135"/>
      <c r="K528" s="190">
        <f>K$500</f>
        <v>2.37</v>
      </c>
      <c r="L528" s="190"/>
      <c r="M528" s="139">
        <f t="shared" si="129"/>
        <v>15433869</v>
      </c>
      <c r="S528" s="145">
        <f>K528-'Order(Exhibit B)'!K528</f>
        <v>0</v>
      </c>
      <c r="T528" s="115">
        <f>M528-'Order(Exhibit B)'!M528</f>
        <v>0</v>
      </c>
    </row>
    <row r="529" spans="1:20">
      <c r="A529" s="136" t="s">
        <v>180</v>
      </c>
      <c r="C529" s="135">
        <v>1967075.9441730599</v>
      </c>
      <c r="D529" s="135">
        <f t="shared" si="130"/>
        <v>2087108</v>
      </c>
      <c r="E529" s="135"/>
      <c r="F529" s="190">
        <v>14.33</v>
      </c>
      <c r="G529" s="190"/>
      <c r="H529" s="139">
        <f t="shared" si="128"/>
        <v>28188198</v>
      </c>
      <c r="I529" s="139">
        <f t="shared" si="128"/>
        <v>29908258</v>
      </c>
      <c r="J529" s="135"/>
      <c r="K529" s="190">
        <f>K$501</f>
        <v>14.92</v>
      </c>
      <c r="L529" s="190"/>
      <c r="M529" s="139">
        <f t="shared" si="129"/>
        <v>31139651</v>
      </c>
      <c r="S529" s="145">
        <f>K529-'Order(Exhibit B)'!K529</f>
        <v>5.0000000000000711E-2</v>
      </c>
      <c r="T529" s="115">
        <f>M529-'Order(Exhibit B)'!M529</f>
        <v>104355</v>
      </c>
    </row>
    <row r="530" spans="1:20">
      <c r="A530" s="136" t="s">
        <v>181</v>
      </c>
      <c r="C530" s="135">
        <v>3885025.0283911698</v>
      </c>
      <c r="D530" s="135">
        <f t="shared" si="130"/>
        <v>4122090</v>
      </c>
      <c r="E530" s="135"/>
      <c r="F530" s="190">
        <v>12.68</v>
      </c>
      <c r="G530" s="190"/>
      <c r="H530" s="139">
        <f t="shared" si="128"/>
        <v>49262117</v>
      </c>
      <c r="I530" s="139">
        <f t="shared" si="128"/>
        <v>52268101</v>
      </c>
      <c r="J530" s="135"/>
      <c r="K530" s="190">
        <f>K$502</f>
        <v>13.21</v>
      </c>
      <c r="L530" s="190"/>
      <c r="M530" s="139">
        <f t="shared" si="129"/>
        <v>54452809</v>
      </c>
      <c r="S530" s="145">
        <f>K530-'Order(Exhibit B)'!K530</f>
        <v>5.0000000000000711E-2</v>
      </c>
      <c r="T530" s="115">
        <f>M530-'Order(Exhibit B)'!M530</f>
        <v>206105</v>
      </c>
    </row>
    <row r="531" spans="1:20">
      <c r="A531" s="136" t="s">
        <v>111</v>
      </c>
      <c r="C531" s="135">
        <v>238403103</v>
      </c>
      <c r="D531" s="135">
        <f>ROUND($C531*D$536/($C$536-$C$535),0)</f>
        <v>253011600</v>
      </c>
      <c r="E531" s="135"/>
      <c r="F531" s="198">
        <v>5.1477000000000004</v>
      </c>
      <c r="G531" s="163" t="s">
        <v>112</v>
      </c>
      <c r="H531" s="139">
        <f t="shared" ref="H531:I534" si="131">ROUND($F531*C531/100,0)</f>
        <v>12272277</v>
      </c>
      <c r="I531" s="139">
        <f t="shared" si="131"/>
        <v>13024278</v>
      </c>
      <c r="J531" s="135"/>
      <c r="K531" s="198">
        <f>K$503</f>
        <v>5.3608000000000002</v>
      </c>
      <c r="L531" s="163" t="s">
        <v>112</v>
      </c>
      <c r="M531" s="139">
        <f>ROUND($K531*D531/100,0)</f>
        <v>13563446</v>
      </c>
      <c r="S531" s="145">
        <f>K531-'Order(Exhibit B)'!K531</f>
        <v>1.9400000000000084E-2</v>
      </c>
      <c r="T531" s="115">
        <f>M531-'Order(Exhibit B)'!M531</f>
        <v>49084</v>
      </c>
    </row>
    <row r="532" spans="1:20">
      <c r="A532" s="136" t="s">
        <v>114</v>
      </c>
      <c r="C532" s="135">
        <v>941118469</v>
      </c>
      <c r="D532" s="135">
        <f t="shared" ref="D532:D534" si="132">ROUND($C532*D$536/($C$536-$C$535),0)</f>
        <v>998786874</v>
      </c>
      <c r="E532" s="135"/>
      <c r="F532" s="198">
        <v>2.6164999999999998</v>
      </c>
      <c r="G532" s="163" t="s">
        <v>112</v>
      </c>
      <c r="H532" s="139">
        <f t="shared" si="131"/>
        <v>24624365</v>
      </c>
      <c r="I532" s="139">
        <f t="shared" si="131"/>
        <v>26133259</v>
      </c>
      <c r="J532" s="135"/>
      <c r="K532" s="198">
        <f>K$504</f>
        <v>2.7248000000000001</v>
      </c>
      <c r="L532" s="163" t="s">
        <v>112</v>
      </c>
      <c r="M532" s="139">
        <f>ROUND($K532*D532/100,0)</f>
        <v>27214945</v>
      </c>
      <c r="S532" s="145">
        <f>K532-'Order(Exhibit B)'!K532</f>
        <v>9.9000000000000199E-3</v>
      </c>
      <c r="T532" s="115">
        <f>M532-'Order(Exhibit B)'!M532</f>
        <v>98880</v>
      </c>
    </row>
    <row r="533" spans="1:20">
      <c r="A533" s="136" t="s">
        <v>183</v>
      </c>
      <c r="C533" s="135">
        <v>470014486</v>
      </c>
      <c r="D533" s="135">
        <f t="shared" si="132"/>
        <v>498815308</v>
      </c>
      <c r="E533" s="135"/>
      <c r="F533" s="198">
        <v>4.5555000000000003</v>
      </c>
      <c r="G533" s="163" t="s">
        <v>112</v>
      </c>
      <c r="H533" s="139">
        <f t="shared" si="131"/>
        <v>21411510</v>
      </c>
      <c r="I533" s="139">
        <f t="shared" si="131"/>
        <v>22723531</v>
      </c>
      <c r="J533" s="135"/>
      <c r="K533" s="198">
        <f>K$505</f>
        <v>4.7441000000000004</v>
      </c>
      <c r="L533" s="163" t="s">
        <v>112</v>
      </c>
      <c r="M533" s="139">
        <f>ROUND($K533*D533/100,0)</f>
        <v>23664297</v>
      </c>
      <c r="S533" s="145">
        <f>K533-'Order(Exhibit B)'!K533</f>
        <v>1.720000000000077E-2</v>
      </c>
      <c r="T533" s="115">
        <f>M533-'Order(Exhibit B)'!M533</f>
        <v>85796</v>
      </c>
    </row>
    <row r="534" spans="1:20">
      <c r="A534" s="136" t="s">
        <v>185</v>
      </c>
      <c r="C534" s="135">
        <v>1830322464</v>
      </c>
      <c r="D534" s="135">
        <f t="shared" si="132"/>
        <v>1942478140</v>
      </c>
      <c r="E534" s="135"/>
      <c r="F534" s="198">
        <v>2.3155000000000001</v>
      </c>
      <c r="G534" s="163" t="s">
        <v>112</v>
      </c>
      <c r="H534" s="139">
        <f t="shared" si="131"/>
        <v>42381117</v>
      </c>
      <c r="I534" s="139">
        <f t="shared" si="131"/>
        <v>44978081</v>
      </c>
      <c r="J534" s="135"/>
      <c r="K534" s="198">
        <f>K$506</f>
        <v>2.4114</v>
      </c>
      <c r="L534" s="163" t="s">
        <v>112</v>
      </c>
      <c r="M534" s="139">
        <f>ROUND($K534*D534/100,0)</f>
        <v>46840918</v>
      </c>
      <c r="S534" s="145">
        <f>K534-'Order(Exhibit B)'!K534</f>
        <v>8.799999999999919E-3</v>
      </c>
      <c r="T534" s="115">
        <f>M534-'Order(Exhibit B)'!M534</f>
        <v>170938</v>
      </c>
    </row>
    <row r="535" spans="1:20">
      <c r="A535" s="172" t="s">
        <v>125</v>
      </c>
      <c r="B535" s="173"/>
      <c r="C535" s="135">
        <v>840063</v>
      </c>
      <c r="D535" s="135"/>
      <c r="E535" s="135"/>
      <c r="F535" s="174"/>
      <c r="G535" s="13"/>
      <c r="H535" s="139">
        <v>435518</v>
      </c>
      <c r="I535" s="139"/>
      <c r="J535" s="135"/>
      <c r="K535" s="174"/>
      <c r="L535" s="13"/>
      <c r="M535" s="139"/>
      <c r="N535" s="164"/>
      <c r="O535" s="164"/>
      <c r="P535" s="164"/>
      <c r="S535" s="145">
        <f>K535-'Order(Exhibit B)'!K535</f>
        <v>0</v>
      </c>
      <c r="T535" s="115">
        <f>M535-'Order(Exhibit B)'!M535</f>
        <v>0</v>
      </c>
    </row>
    <row r="536" spans="1:20" ht="16.5" thickBot="1">
      <c r="A536" s="176" t="s">
        <v>127</v>
      </c>
      <c r="B536" s="177"/>
      <c r="C536" s="178">
        <f>SUM(C531:C535)</f>
        <v>3480698585</v>
      </c>
      <c r="D536" s="178">
        <v>3693091922.9111786</v>
      </c>
      <c r="E536" s="178"/>
      <c r="F536" s="177"/>
      <c r="G536" s="177"/>
      <c r="H536" s="179">
        <f>SUM(H525:H535)</f>
        <v>192894719</v>
      </c>
      <c r="I536" s="179">
        <f>SUM(I525:I535)</f>
        <v>204222730</v>
      </c>
      <c r="J536" s="178"/>
      <c r="K536" s="177"/>
      <c r="L536" s="177"/>
      <c r="M536" s="179">
        <f>SUM(M525:M535)</f>
        <v>212826540</v>
      </c>
      <c r="O536" s="114" t="s">
        <v>108</v>
      </c>
      <c r="P536" s="164">
        <f>M536/I536-1</f>
        <v>4.2129541603914467E-2</v>
      </c>
      <c r="S536" s="145">
        <f>K536-'Order(Exhibit B)'!K536</f>
        <v>0</v>
      </c>
      <c r="T536" s="115">
        <f>M536-'Order(Exhibit B)'!M536</f>
        <v>715158</v>
      </c>
    </row>
    <row r="537" spans="1:20" ht="16.5" thickTop="1">
      <c r="C537" s="135"/>
      <c r="D537" s="135"/>
      <c r="E537" s="135"/>
      <c r="J537" s="135"/>
      <c r="S537" s="145">
        <f>K537-'Order(Exhibit B)'!K537</f>
        <v>0</v>
      </c>
      <c r="T537" s="115">
        <f>M537-'Order(Exhibit B)'!M537</f>
        <v>0</v>
      </c>
    </row>
    <row r="538" spans="1:20">
      <c r="A538" s="133" t="s">
        <v>197</v>
      </c>
      <c r="C538" s="135"/>
      <c r="D538" s="135"/>
      <c r="E538" s="135"/>
      <c r="F538" s="193"/>
      <c r="G538" s="193"/>
      <c r="J538" s="135"/>
      <c r="K538" s="193"/>
      <c r="L538" s="193"/>
      <c r="P538" s="114">
        <v>-5.6174700000000003E-3</v>
      </c>
      <c r="S538" s="145">
        <f>K538-'Order(Exhibit B)'!K538</f>
        <v>0</v>
      </c>
      <c r="T538" s="115">
        <f>M538-'Order(Exhibit B)'!M538</f>
        <v>0</v>
      </c>
    </row>
    <row r="539" spans="1:20">
      <c r="A539" s="136" t="s">
        <v>143</v>
      </c>
      <c r="C539" s="135">
        <f>C552+C565</f>
        <v>96</v>
      </c>
      <c r="D539" s="135">
        <f>D552+D565</f>
        <v>96</v>
      </c>
      <c r="E539" s="135"/>
      <c r="F539" s="138">
        <v>266</v>
      </c>
      <c r="G539" s="138"/>
      <c r="H539" s="139">
        <f t="shared" ref="H539:I543" si="133">ROUND($F539*C539,0)</f>
        <v>25536</v>
      </c>
      <c r="I539" s="139">
        <f t="shared" si="133"/>
        <v>25536</v>
      </c>
      <c r="J539" s="135"/>
      <c r="K539" s="190">
        <f>K$497</f>
        <v>399</v>
      </c>
      <c r="L539" s="138"/>
      <c r="M539" s="139">
        <f>ROUND($K539*D539,0)</f>
        <v>38304</v>
      </c>
      <c r="S539" s="145">
        <f>K539-'Order(Exhibit B)'!K539</f>
        <v>0</v>
      </c>
      <c r="T539" s="115">
        <f>M539-'Order(Exhibit B)'!M539</f>
        <v>0</v>
      </c>
    </row>
    <row r="540" spans="1:20">
      <c r="A540" s="136" t="s">
        <v>109</v>
      </c>
      <c r="C540" s="135">
        <f t="shared" ref="C540:D549" si="134">C553+C566</f>
        <v>68</v>
      </c>
      <c r="D540" s="135">
        <f t="shared" si="134"/>
        <v>66.72894874622105</v>
      </c>
      <c r="E540" s="135"/>
      <c r="F540" s="138">
        <v>-0.5</v>
      </c>
      <c r="G540" s="138"/>
      <c r="H540" s="139">
        <f t="shared" si="133"/>
        <v>-34</v>
      </c>
      <c r="I540" s="139">
        <f t="shared" si="133"/>
        <v>-33</v>
      </c>
      <c r="J540" s="135"/>
      <c r="K540" s="138">
        <f>K$498</f>
        <v>-0.5</v>
      </c>
      <c r="L540" s="138"/>
      <c r="M540" s="139">
        <f>ROUND($K540*D540,0)</f>
        <v>-33</v>
      </c>
      <c r="S540" s="145">
        <f>K540-'Order(Exhibit B)'!K540</f>
        <v>0</v>
      </c>
      <c r="T540" s="115">
        <f>M540-'Order(Exhibit B)'!M540</f>
        <v>0</v>
      </c>
    </row>
    <row r="541" spans="1:20">
      <c r="A541" s="136" t="s">
        <v>144</v>
      </c>
      <c r="C541" s="135">
        <f t="shared" si="134"/>
        <v>239817</v>
      </c>
      <c r="D541" s="135">
        <f t="shared" si="134"/>
        <v>242076</v>
      </c>
      <c r="E541" s="135"/>
      <c r="F541" s="138">
        <v>2.2799999999999998</v>
      </c>
      <c r="G541" s="138"/>
      <c r="H541" s="139">
        <f t="shared" si="133"/>
        <v>546783</v>
      </c>
      <c r="I541" s="139">
        <f t="shared" si="133"/>
        <v>551933</v>
      </c>
      <c r="J541" s="135"/>
      <c r="K541" s="190">
        <f>K$500</f>
        <v>2.37</v>
      </c>
      <c r="L541" s="138"/>
      <c r="M541" s="139">
        <f>ROUND($K541*D541,0)</f>
        <v>573720</v>
      </c>
      <c r="O541" s="164"/>
      <c r="S541" s="145">
        <f>K541-'Order(Exhibit B)'!K541</f>
        <v>0</v>
      </c>
      <c r="T541" s="115">
        <f>M541-'Order(Exhibit B)'!M541</f>
        <v>0</v>
      </c>
    </row>
    <row r="542" spans="1:20">
      <c r="A542" s="136" t="s">
        <v>180</v>
      </c>
      <c r="C542" s="135">
        <f t="shared" si="134"/>
        <v>64724.492600422796</v>
      </c>
      <c r="D542" s="135">
        <f t="shared" si="134"/>
        <v>64871</v>
      </c>
      <c r="E542" s="135"/>
      <c r="F542" s="211">
        <v>4.7300000000000004</v>
      </c>
      <c r="G542" s="163"/>
      <c r="H542" s="139">
        <f t="shared" si="133"/>
        <v>306147</v>
      </c>
      <c r="I542" s="139">
        <f t="shared" si="133"/>
        <v>306840</v>
      </c>
      <c r="J542" s="135"/>
      <c r="K542" s="190">
        <f>ROUND(K$501*O542,2)</f>
        <v>7.46</v>
      </c>
      <c r="L542" s="163"/>
      <c r="M542" s="139">
        <f>ROUND($K542*D542,0)</f>
        <v>483938</v>
      </c>
      <c r="O542" s="164">
        <v>0.5</v>
      </c>
      <c r="S542" s="145">
        <f>K542-'Order(Exhibit B)'!K542</f>
        <v>1.9999999999999574E-2</v>
      </c>
      <c r="T542" s="115">
        <f>M542-'Order(Exhibit B)'!M542</f>
        <v>1298</v>
      </c>
    </row>
    <row r="543" spans="1:20">
      <c r="A543" s="136" t="s">
        <v>181</v>
      </c>
      <c r="C543" s="135">
        <f t="shared" si="134"/>
        <v>148023.50478468891</v>
      </c>
      <c r="D543" s="135">
        <f t="shared" si="134"/>
        <v>149808</v>
      </c>
      <c r="E543" s="135"/>
      <c r="F543" s="211">
        <v>4.18</v>
      </c>
      <c r="G543" s="163"/>
      <c r="H543" s="139">
        <f t="shared" si="133"/>
        <v>618738</v>
      </c>
      <c r="I543" s="139">
        <f t="shared" si="133"/>
        <v>626197</v>
      </c>
      <c r="J543" s="135"/>
      <c r="K543" s="190">
        <f>ROUND(K$502*O543,2)</f>
        <v>6.61</v>
      </c>
      <c r="L543" s="163"/>
      <c r="M543" s="139">
        <f>ROUND($K543*D543,0)</f>
        <v>990231</v>
      </c>
      <c r="O543" s="164">
        <v>0.5</v>
      </c>
      <c r="S543" s="145">
        <f>K543-'Order(Exhibit B)'!K543</f>
        <v>3.0000000000000249E-2</v>
      </c>
      <c r="T543" s="115">
        <f>M543-'Order(Exhibit B)'!M543</f>
        <v>4494</v>
      </c>
    </row>
    <row r="544" spans="1:20">
      <c r="A544" s="136" t="s">
        <v>111</v>
      </c>
      <c r="C544" s="135">
        <f t="shared" si="134"/>
        <v>2933690</v>
      </c>
      <c r="D544" s="135">
        <f t="shared" si="134"/>
        <v>3215599</v>
      </c>
      <c r="E544" s="135"/>
      <c r="F544" s="211">
        <v>5.1477000000000004</v>
      </c>
      <c r="G544" s="163" t="s">
        <v>112</v>
      </c>
      <c r="H544" s="139">
        <f t="shared" ref="H544:I547" si="135">ROUND($F544*C544/100,0)</f>
        <v>151018</v>
      </c>
      <c r="I544" s="139">
        <f t="shared" si="135"/>
        <v>165529</v>
      </c>
      <c r="J544" s="135"/>
      <c r="K544" s="198">
        <f>K$503</f>
        <v>5.3608000000000002</v>
      </c>
      <c r="L544" s="163" t="s">
        <v>112</v>
      </c>
      <c r="M544" s="139">
        <f>ROUND($K544*D544/100,0)</f>
        <v>172382</v>
      </c>
      <c r="S544" s="145">
        <f>K544-'Order(Exhibit B)'!K544</f>
        <v>1.9400000000000084E-2</v>
      </c>
      <c r="T544" s="115">
        <f>M544-'Order(Exhibit B)'!M544</f>
        <v>624</v>
      </c>
    </row>
    <row r="545" spans="1:20">
      <c r="A545" s="136" t="s">
        <v>114</v>
      </c>
      <c r="C545" s="135">
        <f t="shared" si="134"/>
        <v>10499144</v>
      </c>
      <c r="D545" s="135">
        <f t="shared" si="134"/>
        <v>11286493</v>
      </c>
      <c r="E545" s="135"/>
      <c r="F545" s="211">
        <v>2.6164999999999998</v>
      </c>
      <c r="G545" s="163" t="s">
        <v>112</v>
      </c>
      <c r="H545" s="139">
        <f t="shared" si="135"/>
        <v>274710</v>
      </c>
      <c r="I545" s="139">
        <f t="shared" si="135"/>
        <v>295311</v>
      </c>
      <c r="J545" s="135"/>
      <c r="K545" s="198">
        <f>K$504</f>
        <v>2.7248000000000001</v>
      </c>
      <c r="L545" s="163" t="s">
        <v>112</v>
      </c>
      <c r="M545" s="139">
        <f>ROUND($K545*D545/100,0)</f>
        <v>307534</v>
      </c>
      <c r="S545" s="145">
        <f>K545-'Order(Exhibit B)'!K545</f>
        <v>9.9000000000000199E-3</v>
      </c>
      <c r="T545" s="115">
        <f>M545-'Order(Exhibit B)'!M545</f>
        <v>1117</v>
      </c>
    </row>
    <row r="546" spans="1:20">
      <c r="A546" s="136" t="s">
        <v>183</v>
      </c>
      <c r="C546" s="135">
        <f t="shared" si="134"/>
        <v>5250295</v>
      </c>
      <c r="D546" s="135">
        <f t="shared" si="134"/>
        <v>5801457</v>
      </c>
      <c r="E546" s="135"/>
      <c r="F546" s="211">
        <v>4.5555000000000003</v>
      </c>
      <c r="G546" s="163" t="s">
        <v>112</v>
      </c>
      <c r="H546" s="139">
        <f t="shared" si="135"/>
        <v>239177</v>
      </c>
      <c r="I546" s="139">
        <f t="shared" si="135"/>
        <v>264285</v>
      </c>
      <c r="J546" s="135"/>
      <c r="K546" s="198">
        <f>K$505</f>
        <v>4.7441000000000004</v>
      </c>
      <c r="L546" s="163" t="s">
        <v>112</v>
      </c>
      <c r="M546" s="139">
        <f>ROUND($K546*D546/100,0)</f>
        <v>275227</v>
      </c>
      <c r="S546" s="145">
        <f>K546-'Order(Exhibit B)'!K546</f>
        <v>1.720000000000077E-2</v>
      </c>
      <c r="T546" s="115">
        <f>M546-'Order(Exhibit B)'!M546</f>
        <v>998</v>
      </c>
    </row>
    <row r="547" spans="1:20">
      <c r="A547" s="136" t="s">
        <v>185</v>
      </c>
      <c r="C547" s="135">
        <f t="shared" si="134"/>
        <v>22609899</v>
      </c>
      <c r="D547" s="135">
        <f t="shared" si="134"/>
        <v>25145182</v>
      </c>
      <c r="E547" s="135"/>
      <c r="F547" s="211">
        <v>2.3155000000000001</v>
      </c>
      <c r="G547" s="163" t="s">
        <v>112</v>
      </c>
      <c r="H547" s="139">
        <f t="shared" si="135"/>
        <v>523532</v>
      </c>
      <c r="I547" s="139">
        <f t="shared" si="135"/>
        <v>582237</v>
      </c>
      <c r="J547" s="135"/>
      <c r="K547" s="198">
        <f>K$506</f>
        <v>2.4114</v>
      </c>
      <c r="L547" s="163" t="s">
        <v>112</v>
      </c>
      <c r="M547" s="139">
        <f>ROUND($K547*D547/100,0)</f>
        <v>606351</v>
      </c>
      <c r="S547" s="145">
        <f>K547-'Order(Exhibit B)'!K547</f>
        <v>8.799999999999919E-3</v>
      </c>
      <c r="T547" s="115">
        <f>M547-'Order(Exhibit B)'!M547</f>
        <v>2213</v>
      </c>
    </row>
    <row r="548" spans="1:20">
      <c r="A548" s="172" t="s">
        <v>125</v>
      </c>
      <c r="B548" s="173"/>
      <c r="C548" s="135">
        <f t="shared" si="134"/>
        <v>188253</v>
      </c>
      <c r="D548" s="135">
        <f t="shared" si="134"/>
        <v>0</v>
      </c>
      <c r="E548" s="135"/>
      <c r="F548" s="174"/>
      <c r="G548" s="13"/>
      <c r="H548" s="139">
        <f>H561+H574</f>
        <v>12266</v>
      </c>
      <c r="I548" s="139"/>
      <c r="J548" s="135"/>
      <c r="K548" s="174"/>
      <c r="L548" s="13"/>
      <c r="M548" s="139"/>
      <c r="N548" s="164"/>
      <c r="O548" s="164"/>
      <c r="P548" s="164"/>
      <c r="S548" s="145">
        <f>K548-'Order(Exhibit B)'!K548</f>
        <v>0</v>
      </c>
      <c r="T548" s="115">
        <f>M548-'Order(Exhibit B)'!M548</f>
        <v>0</v>
      </c>
    </row>
    <row r="549" spans="1:20" ht="16.5" thickBot="1">
      <c r="A549" s="176" t="s">
        <v>127</v>
      </c>
      <c r="B549" s="177"/>
      <c r="C549" s="178">
        <f t="shared" si="134"/>
        <v>41481281</v>
      </c>
      <c r="D549" s="178">
        <f t="shared" si="134"/>
        <v>45448731.5</v>
      </c>
      <c r="E549" s="178"/>
      <c r="F549" s="177"/>
      <c r="G549" s="177"/>
      <c r="H549" s="179">
        <f>SUM(H539:H548)</f>
        <v>2697873</v>
      </c>
      <c r="I549" s="179">
        <f>SUM(I539:I548)</f>
        <v>2817835</v>
      </c>
      <c r="J549" s="178"/>
      <c r="K549" s="177"/>
      <c r="L549" s="177"/>
      <c r="M549" s="179">
        <f>SUM(M539:M548)</f>
        <v>3447654</v>
      </c>
      <c r="O549" s="114" t="s">
        <v>108</v>
      </c>
      <c r="P549" s="164">
        <f>M549/I549-1</f>
        <v>0.22351166764555064</v>
      </c>
      <c r="S549" s="145">
        <f>K549-'Order(Exhibit B)'!K549</f>
        <v>0</v>
      </c>
      <c r="T549" s="115">
        <f>M549-'Order(Exhibit B)'!M549</f>
        <v>10744</v>
      </c>
    </row>
    <row r="550" spans="1:20" ht="16.5" thickTop="1">
      <c r="C550" s="135"/>
      <c r="D550" s="135"/>
      <c r="E550" s="135"/>
      <c r="J550" s="135"/>
      <c r="S550" s="145">
        <f>K550-'Order(Exhibit B)'!K550</f>
        <v>0</v>
      </c>
      <c r="T550" s="115">
        <f>M550-'Order(Exhibit B)'!M550</f>
        <v>0</v>
      </c>
    </row>
    <row r="551" spans="1:20">
      <c r="A551" s="133" t="s">
        <v>474</v>
      </c>
      <c r="C551" s="135"/>
      <c r="D551" s="135"/>
      <c r="E551" s="135"/>
      <c r="F551" s="193"/>
      <c r="G551" s="193"/>
      <c r="J551" s="135"/>
      <c r="K551" s="193"/>
      <c r="L551" s="193"/>
      <c r="S551" s="145">
        <f>K551-'Order(Exhibit B)'!K551</f>
        <v>0</v>
      </c>
      <c r="T551" s="115">
        <f>M551-'Order(Exhibit B)'!M551</f>
        <v>0</v>
      </c>
    </row>
    <row r="552" spans="1:20">
      <c r="A552" s="136" t="s">
        <v>143</v>
      </c>
      <c r="C552" s="135">
        <v>24</v>
      </c>
      <c r="D552" s="135">
        <v>24</v>
      </c>
      <c r="E552" s="135"/>
      <c r="F552" s="138">
        <v>266</v>
      </c>
      <c r="G552" s="138"/>
      <c r="H552" s="139">
        <f t="shared" ref="H552:I556" si="136">ROUND($F552*C552,0)</f>
        <v>6384</v>
      </c>
      <c r="I552" s="139">
        <f t="shared" si="136"/>
        <v>6384</v>
      </c>
      <c r="J552" s="135"/>
      <c r="K552" s="138">
        <f>K$539</f>
        <v>399</v>
      </c>
      <c r="L552" s="138"/>
      <c r="M552" s="139">
        <f>ROUND($K552*D552,0)</f>
        <v>9576</v>
      </c>
      <c r="S552" s="145">
        <f>K552-'Order(Exhibit B)'!K552</f>
        <v>0</v>
      </c>
      <c r="T552" s="115">
        <f>M552-'Order(Exhibit B)'!M552</f>
        <v>0</v>
      </c>
    </row>
    <row r="553" spans="1:20">
      <c r="A553" s="136" t="s">
        <v>109</v>
      </c>
      <c r="C553" s="135">
        <v>12</v>
      </c>
      <c r="D553" s="135">
        <v>16.682237186555263</v>
      </c>
      <c r="E553" s="135"/>
      <c r="F553" s="138">
        <v>-0.5</v>
      </c>
      <c r="G553" s="138"/>
      <c r="H553" s="139">
        <f t="shared" si="136"/>
        <v>-6</v>
      </c>
      <c r="I553" s="139">
        <f t="shared" si="136"/>
        <v>-8</v>
      </c>
      <c r="J553" s="135"/>
      <c r="K553" s="138">
        <f>K$540</f>
        <v>-0.5</v>
      </c>
      <c r="L553" s="138"/>
      <c r="M553" s="139">
        <f>ROUND($K553*D553,0)</f>
        <v>-8</v>
      </c>
      <c r="S553" s="145">
        <f>K553-'Order(Exhibit B)'!K553</f>
        <v>0</v>
      </c>
      <c r="T553" s="115">
        <f>M553-'Order(Exhibit B)'!M553</f>
        <v>0</v>
      </c>
    </row>
    <row r="554" spans="1:20">
      <c r="A554" s="136" t="s">
        <v>144</v>
      </c>
      <c r="C554" s="135">
        <v>75938</v>
      </c>
      <c r="D554" s="135">
        <f t="shared" ref="D554:D556" si="137">ROUND($C554*D$562/$C$562,0)</f>
        <v>93233</v>
      </c>
      <c r="E554" s="135"/>
      <c r="F554" s="138">
        <v>2.2799999999999998</v>
      </c>
      <c r="G554" s="138"/>
      <c r="H554" s="139">
        <f t="shared" si="136"/>
        <v>173139</v>
      </c>
      <c r="I554" s="139">
        <f t="shared" si="136"/>
        <v>212571</v>
      </c>
      <c r="J554" s="135"/>
      <c r="K554" s="138">
        <f>K$541</f>
        <v>2.37</v>
      </c>
      <c r="L554" s="138"/>
      <c r="M554" s="139">
        <f>ROUND($K554*D554,0)</f>
        <v>220962</v>
      </c>
      <c r="S554" s="145">
        <f>K554-'Order(Exhibit B)'!K554</f>
        <v>0</v>
      </c>
      <c r="T554" s="115">
        <f>M554-'Order(Exhibit B)'!M554</f>
        <v>0</v>
      </c>
    </row>
    <row r="555" spans="1:20">
      <c r="A555" s="136" t="s">
        <v>180</v>
      </c>
      <c r="C555" s="135">
        <v>19047.137420718798</v>
      </c>
      <c r="D555" s="135">
        <f t="shared" si="137"/>
        <v>23385</v>
      </c>
      <c r="E555" s="135"/>
      <c r="F555" s="211">
        <v>4.7300000000000004</v>
      </c>
      <c r="G555" s="163"/>
      <c r="H555" s="139">
        <f t="shared" si="136"/>
        <v>90093</v>
      </c>
      <c r="I555" s="139">
        <f t="shared" si="136"/>
        <v>110611</v>
      </c>
      <c r="J555" s="135"/>
      <c r="K555" s="211">
        <f>K$542</f>
        <v>7.46</v>
      </c>
      <c r="L555" s="163"/>
      <c r="M555" s="139">
        <f>ROUND($K555*D555,0)</f>
        <v>174452</v>
      </c>
      <c r="S555" s="145">
        <f>K555-'Order(Exhibit B)'!K555</f>
        <v>1.9999999999999574E-2</v>
      </c>
      <c r="T555" s="115">
        <f>M555-'Order(Exhibit B)'!M555</f>
        <v>468</v>
      </c>
    </row>
    <row r="556" spans="1:20">
      <c r="A556" s="136" t="s">
        <v>181</v>
      </c>
      <c r="C556" s="135">
        <v>48092.861244019099</v>
      </c>
      <c r="D556" s="135">
        <f t="shared" si="137"/>
        <v>59046</v>
      </c>
      <c r="E556" s="135"/>
      <c r="F556" s="211">
        <v>4.18</v>
      </c>
      <c r="G556" s="163"/>
      <c r="H556" s="139">
        <f t="shared" si="136"/>
        <v>201028</v>
      </c>
      <c r="I556" s="139">
        <f t="shared" si="136"/>
        <v>246812</v>
      </c>
      <c r="J556" s="135"/>
      <c r="K556" s="211">
        <f>K$543</f>
        <v>6.61</v>
      </c>
      <c r="L556" s="163"/>
      <c r="M556" s="139">
        <f>ROUND($K556*D556,0)</f>
        <v>390294</v>
      </c>
      <c r="S556" s="145">
        <f>K556-'Order(Exhibit B)'!K556</f>
        <v>3.0000000000000249E-2</v>
      </c>
      <c r="T556" s="115">
        <f>M556-'Order(Exhibit B)'!M556</f>
        <v>1771</v>
      </c>
    </row>
    <row r="557" spans="1:20">
      <c r="A557" s="136" t="s">
        <v>111</v>
      </c>
      <c r="C557" s="135">
        <v>1674832</v>
      </c>
      <c r="D557" s="135">
        <f>ROUND($C557*D$562/($C$562-$C$561),0)</f>
        <v>2071968</v>
      </c>
      <c r="E557" s="135"/>
      <c r="F557" s="211">
        <v>5.1477000000000004</v>
      </c>
      <c r="G557" s="163" t="s">
        <v>112</v>
      </c>
      <c r="H557" s="139">
        <f t="shared" ref="H557:I560" si="138">ROUND($F557*C557/100,0)</f>
        <v>86215</v>
      </c>
      <c r="I557" s="139">
        <f t="shared" si="138"/>
        <v>106659</v>
      </c>
      <c r="J557" s="135"/>
      <c r="K557" s="211">
        <f>K$544</f>
        <v>5.3608000000000002</v>
      </c>
      <c r="L557" s="163" t="s">
        <v>112</v>
      </c>
      <c r="M557" s="139">
        <f>ROUND($K557*D557/100,0)</f>
        <v>111074</v>
      </c>
      <c r="S557" s="145">
        <f>K557-'Order(Exhibit B)'!K557</f>
        <v>1.9400000000000084E-2</v>
      </c>
      <c r="T557" s="115">
        <f>M557-'Order(Exhibit B)'!M557</f>
        <v>402</v>
      </c>
    </row>
    <row r="558" spans="1:20">
      <c r="A558" s="136" t="s">
        <v>114</v>
      </c>
      <c r="C558" s="135">
        <v>5319801</v>
      </c>
      <c r="D558" s="135">
        <f t="shared" ref="D558:D560" si="139">ROUND($C558*D$562/($C$562-$C$561),0)</f>
        <v>6581233</v>
      </c>
      <c r="E558" s="135"/>
      <c r="F558" s="211">
        <v>2.6164999999999998</v>
      </c>
      <c r="G558" s="163" t="s">
        <v>112</v>
      </c>
      <c r="H558" s="139">
        <f t="shared" si="138"/>
        <v>139193</v>
      </c>
      <c r="I558" s="139">
        <f t="shared" si="138"/>
        <v>172198</v>
      </c>
      <c r="J558" s="135"/>
      <c r="K558" s="211">
        <f>K$545</f>
        <v>2.7248000000000001</v>
      </c>
      <c r="L558" s="163" t="s">
        <v>112</v>
      </c>
      <c r="M558" s="139">
        <f>ROUND($K558*D558/100,0)</f>
        <v>179325</v>
      </c>
      <c r="S558" s="145">
        <f>K558-'Order(Exhibit B)'!K558</f>
        <v>9.9000000000000199E-3</v>
      </c>
      <c r="T558" s="115">
        <f>M558-'Order(Exhibit B)'!M558</f>
        <v>651</v>
      </c>
    </row>
    <row r="559" spans="1:20">
      <c r="A559" s="136" t="s">
        <v>183</v>
      </c>
      <c r="C559" s="135">
        <v>3139292</v>
      </c>
      <c r="D559" s="135">
        <f t="shared" si="139"/>
        <v>3883681</v>
      </c>
      <c r="E559" s="135"/>
      <c r="F559" s="211">
        <v>4.5555000000000003</v>
      </c>
      <c r="G559" s="163" t="s">
        <v>112</v>
      </c>
      <c r="H559" s="139">
        <f t="shared" si="138"/>
        <v>143010</v>
      </c>
      <c r="I559" s="139">
        <f t="shared" si="138"/>
        <v>176921</v>
      </c>
      <c r="J559" s="135"/>
      <c r="K559" s="211">
        <f>K$546</f>
        <v>4.7441000000000004</v>
      </c>
      <c r="L559" s="163" t="s">
        <v>112</v>
      </c>
      <c r="M559" s="139">
        <f>ROUND($K559*D559/100,0)</f>
        <v>184246</v>
      </c>
      <c r="S559" s="145">
        <f>K559-'Order(Exhibit B)'!K559</f>
        <v>1.720000000000077E-2</v>
      </c>
      <c r="T559" s="115">
        <f>M559-'Order(Exhibit B)'!M559</f>
        <v>668</v>
      </c>
    </row>
    <row r="560" spans="1:20">
      <c r="A560" s="136" t="s">
        <v>185</v>
      </c>
      <c r="C560" s="135">
        <v>14011241</v>
      </c>
      <c r="D560" s="135">
        <f t="shared" si="139"/>
        <v>17333588</v>
      </c>
      <c r="E560" s="135"/>
      <c r="F560" s="211">
        <v>2.3155000000000001</v>
      </c>
      <c r="G560" s="163" t="s">
        <v>112</v>
      </c>
      <c r="H560" s="139">
        <f t="shared" si="138"/>
        <v>324430</v>
      </c>
      <c r="I560" s="139">
        <f t="shared" si="138"/>
        <v>401359</v>
      </c>
      <c r="J560" s="135"/>
      <c r="K560" s="211">
        <f>K$547</f>
        <v>2.4114</v>
      </c>
      <c r="L560" s="163" t="s">
        <v>112</v>
      </c>
      <c r="M560" s="139">
        <f>ROUND($K560*D560/100,0)</f>
        <v>417982</v>
      </c>
      <c r="S560" s="145">
        <f>K560-'Order(Exhibit B)'!K560</f>
        <v>8.799999999999919E-3</v>
      </c>
      <c r="T560" s="115">
        <f>M560-'Order(Exhibit B)'!M560</f>
        <v>1525</v>
      </c>
    </row>
    <row r="561" spans="1:20">
      <c r="A561" s="172" t="s">
        <v>125</v>
      </c>
      <c r="B561" s="173"/>
      <c r="C561" s="135">
        <v>184113</v>
      </c>
      <c r="D561" s="135"/>
      <c r="E561" s="135"/>
      <c r="F561" s="174"/>
      <c r="G561" s="13"/>
      <c r="H561" s="139">
        <v>8821</v>
      </c>
      <c r="I561" s="139"/>
      <c r="J561" s="135"/>
      <c r="K561" s="174"/>
      <c r="L561" s="13"/>
      <c r="M561" s="139"/>
      <c r="N561" s="164"/>
      <c r="O561" s="164"/>
      <c r="P561" s="164"/>
      <c r="S561" s="145">
        <f>K561-'Order(Exhibit B)'!K561</f>
        <v>0</v>
      </c>
      <c r="T561" s="115">
        <f>M561-'Order(Exhibit B)'!M561</f>
        <v>0</v>
      </c>
    </row>
    <row r="562" spans="1:20" ht="16.5" thickBot="1">
      <c r="A562" s="176" t="s">
        <v>127</v>
      </c>
      <c r="B562" s="177"/>
      <c r="C562" s="178">
        <f>SUM(C557:C561)</f>
        <v>24329279</v>
      </c>
      <c r="D562" s="178">
        <v>29870470.5</v>
      </c>
      <c r="E562" s="178"/>
      <c r="F562" s="177"/>
      <c r="G562" s="177"/>
      <c r="H562" s="179">
        <f>SUM(H552:H561)</f>
        <v>1172307</v>
      </c>
      <c r="I562" s="179">
        <f>SUM(I552:I561)</f>
        <v>1433507</v>
      </c>
      <c r="J562" s="178"/>
      <c r="K562" s="177"/>
      <c r="L562" s="177"/>
      <c r="M562" s="179">
        <f>SUM(M552:M561)</f>
        <v>1687903</v>
      </c>
      <c r="O562" s="114" t="s">
        <v>108</v>
      </c>
      <c r="P562" s="164">
        <f>M562/I562-1</f>
        <v>0.17746407935224595</v>
      </c>
      <c r="S562" s="145">
        <f>K562-'Order(Exhibit B)'!K562</f>
        <v>0</v>
      </c>
      <c r="T562" s="115">
        <f>M562-'Order(Exhibit B)'!M562</f>
        <v>5485</v>
      </c>
    </row>
    <row r="563" spans="1:20" ht="16.5" thickTop="1">
      <c r="C563" s="135"/>
      <c r="D563" s="135"/>
      <c r="E563" s="135"/>
      <c r="J563" s="135"/>
      <c r="S563" s="145">
        <f>K563-'Order(Exhibit B)'!K563</f>
        <v>0</v>
      </c>
      <c r="T563" s="115">
        <f>M563-'Order(Exhibit B)'!M563</f>
        <v>0</v>
      </c>
    </row>
    <row r="564" spans="1:20">
      <c r="A564" s="133" t="s">
        <v>475</v>
      </c>
      <c r="C564" s="135"/>
      <c r="D564" s="135"/>
      <c r="E564" s="135"/>
      <c r="F564" s="193"/>
      <c r="G564" s="193"/>
      <c r="J564" s="135"/>
      <c r="K564" s="193"/>
      <c r="L564" s="193"/>
      <c r="S564" s="145">
        <f>K564-'Order(Exhibit B)'!K564</f>
        <v>0</v>
      </c>
      <c r="T564" s="115">
        <f>M564-'Order(Exhibit B)'!M564</f>
        <v>0</v>
      </c>
    </row>
    <row r="565" spans="1:20">
      <c r="A565" s="136" t="s">
        <v>143</v>
      </c>
      <c r="C565" s="135">
        <v>72</v>
      </c>
      <c r="D565" s="135">
        <v>72</v>
      </c>
      <c r="E565" s="135"/>
      <c r="F565" s="138">
        <v>266</v>
      </c>
      <c r="G565" s="190"/>
      <c r="H565" s="139">
        <f t="shared" ref="H565:I569" si="140">ROUND($F565*C565,0)</f>
        <v>19152</v>
      </c>
      <c r="I565" s="139">
        <f t="shared" si="140"/>
        <v>19152</v>
      </c>
      <c r="J565" s="135"/>
      <c r="K565" s="138">
        <f>K$539</f>
        <v>399</v>
      </c>
      <c r="L565" s="190"/>
      <c r="M565" s="139">
        <f>ROUND($K565*D565,0)</f>
        <v>28728</v>
      </c>
      <c r="S565" s="145">
        <f>K565-'Order(Exhibit B)'!K565</f>
        <v>0</v>
      </c>
      <c r="T565" s="115">
        <f>M565-'Order(Exhibit B)'!M565</f>
        <v>0</v>
      </c>
    </row>
    <row r="566" spans="1:20">
      <c r="A566" s="136" t="s">
        <v>109</v>
      </c>
      <c r="C566" s="135">
        <v>56</v>
      </c>
      <c r="D566" s="135">
        <v>50.046711559665788</v>
      </c>
      <c r="E566" s="135"/>
      <c r="F566" s="138">
        <v>-0.5</v>
      </c>
      <c r="G566" s="138"/>
      <c r="H566" s="139">
        <f t="shared" si="140"/>
        <v>-28</v>
      </c>
      <c r="I566" s="139">
        <f t="shared" si="140"/>
        <v>-25</v>
      </c>
      <c r="J566" s="135"/>
      <c r="K566" s="138">
        <f>K$540</f>
        <v>-0.5</v>
      </c>
      <c r="L566" s="138"/>
      <c r="M566" s="139">
        <f>ROUND($K566*D566,0)</f>
        <v>-25</v>
      </c>
      <c r="S566" s="145">
        <f>K566-'Order(Exhibit B)'!K566</f>
        <v>0</v>
      </c>
      <c r="T566" s="115">
        <f>M566-'Order(Exhibit B)'!M566</f>
        <v>0</v>
      </c>
    </row>
    <row r="567" spans="1:20">
      <c r="A567" s="136" t="s">
        <v>144</v>
      </c>
      <c r="C567" s="135">
        <v>163879</v>
      </c>
      <c r="D567" s="135">
        <f t="shared" ref="D567:D569" si="141">ROUND($C567*D$575/$C$575,0)</f>
        <v>148843</v>
      </c>
      <c r="E567" s="135"/>
      <c r="F567" s="138">
        <v>2.2799999999999998</v>
      </c>
      <c r="G567" s="190"/>
      <c r="H567" s="139">
        <f t="shared" si="140"/>
        <v>373644</v>
      </c>
      <c r="I567" s="139">
        <f t="shared" si="140"/>
        <v>339362</v>
      </c>
      <c r="J567" s="135"/>
      <c r="K567" s="138">
        <f>K$541</f>
        <v>2.37</v>
      </c>
      <c r="L567" s="190"/>
      <c r="M567" s="139">
        <f>ROUND($K567*D567,0)</f>
        <v>352758</v>
      </c>
      <c r="S567" s="145">
        <f>K567-'Order(Exhibit B)'!K567</f>
        <v>0</v>
      </c>
      <c r="T567" s="115">
        <f>M567-'Order(Exhibit B)'!M567</f>
        <v>0</v>
      </c>
    </row>
    <row r="568" spans="1:20">
      <c r="A568" s="136" t="s">
        <v>180</v>
      </c>
      <c r="C568" s="135">
        <v>45677.355179703998</v>
      </c>
      <c r="D568" s="135">
        <f t="shared" si="141"/>
        <v>41486</v>
      </c>
      <c r="E568" s="135"/>
      <c r="F568" s="211">
        <v>4.7300000000000004</v>
      </c>
      <c r="G568" s="163"/>
      <c r="H568" s="139">
        <f t="shared" si="140"/>
        <v>216054</v>
      </c>
      <c r="I568" s="139">
        <f t="shared" si="140"/>
        <v>196229</v>
      </c>
      <c r="J568" s="135"/>
      <c r="K568" s="211">
        <f>K$542</f>
        <v>7.46</v>
      </c>
      <c r="L568" s="163"/>
      <c r="M568" s="139">
        <f>ROUND($K568*D568,0)</f>
        <v>309486</v>
      </c>
      <c r="S568" s="145">
        <f>K568-'Order(Exhibit B)'!K568</f>
        <v>1.9999999999999574E-2</v>
      </c>
      <c r="T568" s="115">
        <f>M568-'Order(Exhibit B)'!M568</f>
        <v>830</v>
      </c>
    </row>
    <row r="569" spans="1:20">
      <c r="A569" s="136" t="s">
        <v>181</v>
      </c>
      <c r="C569" s="135">
        <v>99930.6435406698</v>
      </c>
      <c r="D569" s="135">
        <f t="shared" si="141"/>
        <v>90762</v>
      </c>
      <c r="E569" s="135"/>
      <c r="F569" s="211">
        <v>4.18</v>
      </c>
      <c r="G569" s="163"/>
      <c r="H569" s="139">
        <f t="shared" si="140"/>
        <v>417710</v>
      </c>
      <c r="I569" s="139">
        <f t="shared" si="140"/>
        <v>379385</v>
      </c>
      <c r="J569" s="135"/>
      <c r="K569" s="211">
        <f>K$543</f>
        <v>6.61</v>
      </c>
      <c r="L569" s="163"/>
      <c r="M569" s="139">
        <f>ROUND($K569*D569,0)</f>
        <v>599937</v>
      </c>
      <c r="S569" s="145">
        <f>K569-'Order(Exhibit B)'!K569</f>
        <v>3.0000000000000249E-2</v>
      </c>
      <c r="T569" s="115">
        <f>M569-'Order(Exhibit B)'!M569</f>
        <v>2723</v>
      </c>
    </row>
    <row r="570" spans="1:20">
      <c r="A570" s="136" t="s">
        <v>111</v>
      </c>
      <c r="C570" s="135">
        <v>1258858</v>
      </c>
      <c r="D570" s="135">
        <f>ROUND($C570*D$575/($C$575-$C$574),0)</f>
        <v>1143631</v>
      </c>
      <c r="E570" s="135"/>
      <c r="F570" s="211">
        <v>5.1477000000000004</v>
      </c>
      <c r="G570" s="163" t="s">
        <v>112</v>
      </c>
      <c r="H570" s="139">
        <f t="shared" ref="H570:I573" si="142">ROUND($F570*C570/100,0)</f>
        <v>64802</v>
      </c>
      <c r="I570" s="139">
        <f t="shared" si="142"/>
        <v>58871</v>
      </c>
      <c r="J570" s="135"/>
      <c r="K570" s="211">
        <f>K$544</f>
        <v>5.3608000000000002</v>
      </c>
      <c r="L570" s="163" t="s">
        <v>112</v>
      </c>
      <c r="M570" s="139">
        <f>ROUND($K570*D570/100,0)</f>
        <v>61308</v>
      </c>
      <c r="S570" s="145">
        <f>K570-'Order(Exhibit B)'!K570</f>
        <v>1.9400000000000084E-2</v>
      </c>
      <c r="T570" s="115">
        <f>M570-'Order(Exhibit B)'!M570</f>
        <v>222</v>
      </c>
    </row>
    <row r="571" spans="1:20">
      <c r="A571" s="136" t="s">
        <v>114</v>
      </c>
      <c r="C571" s="135">
        <v>5179343</v>
      </c>
      <c r="D571" s="135">
        <f t="shared" ref="D571:D573" si="143">ROUND($C571*D$575/($C$575-$C$574),0)</f>
        <v>4705260</v>
      </c>
      <c r="E571" s="135"/>
      <c r="F571" s="211">
        <v>2.6164999999999998</v>
      </c>
      <c r="G571" s="163" t="s">
        <v>112</v>
      </c>
      <c r="H571" s="139">
        <f t="shared" si="142"/>
        <v>135518</v>
      </c>
      <c r="I571" s="139">
        <f t="shared" si="142"/>
        <v>123113</v>
      </c>
      <c r="J571" s="135"/>
      <c r="K571" s="211">
        <f>K$545</f>
        <v>2.7248000000000001</v>
      </c>
      <c r="L571" s="163" t="s">
        <v>112</v>
      </c>
      <c r="M571" s="139">
        <f>ROUND($K571*D571/100,0)</f>
        <v>128209</v>
      </c>
      <c r="S571" s="145">
        <f>K571-'Order(Exhibit B)'!K571</f>
        <v>9.9000000000000199E-3</v>
      </c>
      <c r="T571" s="115">
        <f>M571-'Order(Exhibit B)'!M571</f>
        <v>466</v>
      </c>
    </row>
    <row r="572" spans="1:20">
      <c r="A572" s="136" t="s">
        <v>183</v>
      </c>
      <c r="C572" s="135">
        <v>2111003</v>
      </c>
      <c r="D572" s="135">
        <f t="shared" si="143"/>
        <v>1917776</v>
      </c>
      <c r="E572" s="135"/>
      <c r="F572" s="211">
        <v>4.5555000000000003</v>
      </c>
      <c r="G572" s="163" t="s">
        <v>112</v>
      </c>
      <c r="H572" s="139">
        <f t="shared" si="142"/>
        <v>96167</v>
      </c>
      <c r="I572" s="139">
        <f t="shared" si="142"/>
        <v>87364</v>
      </c>
      <c r="J572" s="135"/>
      <c r="K572" s="211">
        <f>K$546</f>
        <v>4.7441000000000004</v>
      </c>
      <c r="L572" s="163" t="s">
        <v>112</v>
      </c>
      <c r="M572" s="139">
        <f>ROUND($K572*D572/100,0)</f>
        <v>90981</v>
      </c>
      <c r="S572" s="145">
        <f>K572-'Order(Exhibit B)'!K572</f>
        <v>1.720000000000077E-2</v>
      </c>
      <c r="T572" s="115">
        <f>M572-'Order(Exhibit B)'!M572</f>
        <v>330</v>
      </c>
    </row>
    <row r="573" spans="1:20">
      <c r="A573" s="136" t="s">
        <v>185</v>
      </c>
      <c r="C573" s="135">
        <v>8598658</v>
      </c>
      <c r="D573" s="135">
        <f t="shared" si="143"/>
        <v>7811594</v>
      </c>
      <c r="E573" s="135"/>
      <c r="F573" s="211">
        <v>2.3155000000000001</v>
      </c>
      <c r="G573" s="163" t="s">
        <v>112</v>
      </c>
      <c r="H573" s="139">
        <f t="shared" si="142"/>
        <v>199102</v>
      </c>
      <c r="I573" s="139">
        <f t="shared" si="142"/>
        <v>180877</v>
      </c>
      <c r="J573" s="135"/>
      <c r="K573" s="211">
        <f>K$547</f>
        <v>2.4114</v>
      </c>
      <c r="L573" s="163" t="s">
        <v>112</v>
      </c>
      <c r="M573" s="139">
        <f>ROUND($K573*D573/100,0)</f>
        <v>188369</v>
      </c>
      <c r="S573" s="145">
        <f>K573-'Order(Exhibit B)'!K573</f>
        <v>8.799999999999919E-3</v>
      </c>
      <c r="T573" s="115">
        <f>M573-'Order(Exhibit B)'!M573</f>
        <v>688</v>
      </c>
    </row>
    <row r="574" spans="1:20">
      <c r="A574" s="172" t="s">
        <v>125</v>
      </c>
      <c r="B574" s="173"/>
      <c r="C574" s="135">
        <v>4140</v>
      </c>
      <c r="D574" s="135"/>
      <c r="E574" s="135"/>
      <c r="F574" s="174"/>
      <c r="G574" s="13"/>
      <c r="H574" s="139">
        <v>3445</v>
      </c>
      <c r="I574" s="139"/>
      <c r="J574" s="135"/>
      <c r="K574" s="174"/>
      <c r="L574" s="13"/>
      <c r="M574" s="139"/>
      <c r="N574" s="164"/>
      <c r="O574" s="164"/>
      <c r="P574" s="164"/>
      <c r="S574" s="145">
        <f>K574-'Order(Exhibit B)'!K574</f>
        <v>0</v>
      </c>
      <c r="T574" s="115">
        <f>M574-'Order(Exhibit B)'!M574</f>
        <v>0</v>
      </c>
    </row>
    <row r="575" spans="1:20" ht="16.5" thickBot="1">
      <c r="A575" s="176" t="s">
        <v>127</v>
      </c>
      <c r="B575" s="177"/>
      <c r="C575" s="178">
        <f>SUM(C570:C574)</f>
        <v>17152002</v>
      </c>
      <c r="D575" s="178">
        <v>15578261</v>
      </c>
      <c r="E575" s="178"/>
      <c r="F575" s="177"/>
      <c r="G575" s="177"/>
      <c r="H575" s="179">
        <f>SUM(H565:H574)</f>
        <v>1525566</v>
      </c>
      <c r="I575" s="179">
        <f>SUM(I565:I574)</f>
        <v>1384328</v>
      </c>
      <c r="J575" s="178"/>
      <c r="K575" s="177"/>
      <c r="L575" s="177"/>
      <c r="M575" s="179">
        <f>SUM(M565:M574)</f>
        <v>1759751</v>
      </c>
      <c r="O575" s="114" t="s">
        <v>108</v>
      </c>
      <c r="P575" s="164">
        <f>M575/I575-1</f>
        <v>0.27119512138741686</v>
      </c>
      <c r="S575" s="145">
        <f>K575-'Order(Exhibit B)'!K575</f>
        <v>0</v>
      </c>
      <c r="T575" s="115">
        <f>M575-'Order(Exhibit B)'!M575</f>
        <v>5259</v>
      </c>
    </row>
    <row r="576" spans="1:20" ht="16.5" thickTop="1">
      <c r="C576" s="135"/>
      <c r="D576" s="135"/>
      <c r="E576" s="135"/>
      <c r="J576" s="135"/>
      <c r="S576" s="145">
        <f>K576-'Order(Exhibit B)'!K576</f>
        <v>0</v>
      </c>
      <c r="T576" s="115">
        <f>M576-'Order(Exhibit B)'!M576</f>
        <v>0</v>
      </c>
    </row>
    <row r="577" spans="1:20">
      <c r="A577" s="133" t="s">
        <v>476</v>
      </c>
      <c r="S577" s="145">
        <f>K577-'Order(Exhibit B)'!K577</f>
        <v>0</v>
      </c>
      <c r="T577" s="115">
        <f>M577-'Order(Exhibit B)'!M577</f>
        <v>0</v>
      </c>
    </row>
    <row r="578" spans="1:20">
      <c r="A578" s="136" t="s">
        <v>198</v>
      </c>
      <c r="C578" s="135">
        <v>3455.6275675675702</v>
      </c>
      <c r="D578" s="135">
        <v>3429.4209820080723</v>
      </c>
      <c r="E578" s="135"/>
      <c r="F578" s="190">
        <v>37</v>
      </c>
      <c r="G578" s="190"/>
      <c r="H578" s="139">
        <f t="shared" ref="H578:I584" si="144">ROUND($F578*C578,0)</f>
        <v>127858</v>
      </c>
      <c r="I578" s="139">
        <f t="shared" si="144"/>
        <v>126889</v>
      </c>
      <c r="J578" s="135"/>
      <c r="K578" s="190">
        <f>ROUND(F578*(1+$P$583),0)</f>
        <v>38</v>
      </c>
      <c r="L578" s="190"/>
      <c r="M578" s="139">
        <f t="shared" ref="M578:M584" si="145">ROUND($K578*D578,0)</f>
        <v>130318</v>
      </c>
      <c r="O578" s="132" t="s">
        <v>199</v>
      </c>
      <c r="P578" s="132"/>
      <c r="S578" s="145">
        <f>K578-'Order(Exhibit B)'!K578</f>
        <v>0</v>
      </c>
      <c r="T578" s="115">
        <f>M578-'Order(Exhibit B)'!M578</f>
        <v>0</v>
      </c>
    </row>
    <row r="579" spans="1:20">
      <c r="A579" s="136" t="s">
        <v>200</v>
      </c>
      <c r="C579" s="135">
        <v>15.079508196721299</v>
      </c>
      <c r="D579" s="135">
        <v>15</v>
      </c>
      <c r="E579" s="135"/>
      <c r="F579" s="190">
        <v>122</v>
      </c>
      <c r="G579" s="190"/>
      <c r="H579" s="139">
        <f>ROUND($F579*C579,0)</f>
        <v>1840</v>
      </c>
      <c r="I579" s="139">
        <f>ROUND($F579*D579,0)</f>
        <v>1830</v>
      </c>
      <c r="J579" s="135"/>
      <c r="K579" s="190">
        <f>ROUND(F579*(1+$P$583),0)</f>
        <v>126</v>
      </c>
      <c r="L579" s="190"/>
      <c r="M579" s="139">
        <f t="shared" si="145"/>
        <v>1890</v>
      </c>
      <c r="O579" s="146" t="s">
        <v>101</v>
      </c>
      <c r="P579" s="147">
        <f>M597+M619</f>
        <v>19702608</v>
      </c>
      <c r="S579" s="145">
        <f>K579-'Order(Exhibit B)'!K579</f>
        <v>0</v>
      </c>
      <c r="T579" s="115">
        <f>M579-'Order(Exhibit B)'!M579</f>
        <v>0</v>
      </c>
    </row>
    <row r="580" spans="1:20">
      <c r="A580" s="136" t="s">
        <v>201</v>
      </c>
      <c r="C580" s="135">
        <v>13900.7314285714</v>
      </c>
      <c r="D580" s="135">
        <f>ROUND($C580*(D$579+D$578)/($C$579+$C$578),0)</f>
        <v>13795</v>
      </c>
      <c r="E580" s="135"/>
      <c r="F580" s="190">
        <v>14</v>
      </c>
      <c r="G580" s="190"/>
      <c r="H580" s="139">
        <f t="shared" si="144"/>
        <v>194610</v>
      </c>
      <c r="I580" s="139">
        <f t="shared" si="144"/>
        <v>193130</v>
      </c>
      <c r="J580" s="135"/>
      <c r="K580" s="190">
        <f>ROUND(F580*(1+$P$583),0)</f>
        <v>14</v>
      </c>
      <c r="L580" s="190"/>
      <c r="M580" s="139">
        <f t="shared" si="145"/>
        <v>193130</v>
      </c>
      <c r="O580" s="149" t="s">
        <v>103</v>
      </c>
      <c r="P580" s="150">
        <f>'Exhibit B(Rate Spread)'!M27*1000</f>
        <v>19702624.432726257</v>
      </c>
      <c r="S580" s="145">
        <f>K580-'Order(Exhibit B)'!K580</f>
        <v>0</v>
      </c>
      <c r="T580" s="115">
        <f>M580-'Order(Exhibit B)'!M580</f>
        <v>0</v>
      </c>
    </row>
    <row r="581" spans="1:20">
      <c r="A581" s="136" t="s">
        <v>202</v>
      </c>
      <c r="C581" s="135">
        <v>0</v>
      </c>
      <c r="D581" s="135">
        <f>ROUND($C581*(D$579+D$578)/($C$579+$C$578),0)</f>
        <v>0</v>
      </c>
      <c r="E581" s="135"/>
      <c r="F581" s="190">
        <v>2</v>
      </c>
      <c r="G581" s="190"/>
      <c r="H581" s="139">
        <f t="shared" si="144"/>
        <v>0</v>
      </c>
      <c r="I581" s="139">
        <f t="shared" si="144"/>
        <v>0</v>
      </c>
      <c r="J581" s="135"/>
      <c r="K581" s="190">
        <f>F581</f>
        <v>2</v>
      </c>
      <c r="L581" s="190"/>
      <c r="M581" s="139">
        <f t="shared" si="145"/>
        <v>0</v>
      </c>
      <c r="O581" s="152" t="s">
        <v>105</v>
      </c>
      <c r="P581" s="212">
        <f>P580-P579</f>
        <v>16.432726256549358</v>
      </c>
      <c r="S581" s="145">
        <f>K581-'Order(Exhibit B)'!K581</f>
        <v>0</v>
      </c>
      <c r="T581" s="115">
        <f>M581-'Order(Exhibit B)'!M581</f>
        <v>0</v>
      </c>
    </row>
    <row r="582" spans="1:20">
      <c r="A582" s="136" t="s">
        <v>203</v>
      </c>
      <c r="C582" s="135">
        <v>3893</v>
      </c>
      <c r="D582" s="135">
        <v>9588.8109161887423</v>
      </c>
      <c r="E582" s="135"/>
      <c r="F582" s="138">
        <v>-0.5</v>
      </c>
      <c r="G582" s="138"/>
      <c r="H582" s="139">
        <f t="shared" si="144"/>
        <v>-1947</v>
      </c>
      <c r="I582" s="139">
        <f t="shared" si="144"/>
        <v>-4794</v>
      </c>
      <c r="J582" s="135"/>
      <c r="K582" s="138">
        <f>F582</f>
        <v>-0.5</v>
      </c>
      <c r="L582" s="138"/>
      <c r="M582" s="139">
        <f t="shared" si="145"/>
        <v>-4794</v>
      </c>
      <c r="O582" s="146" t="s">
        <v>108</v>
      </c>
      <c r="P582" s="192">
        <f>P579/(I597+I619)-1</f>
        <v>3.3277786707775592E-2</v>
      </c>
      <c r="S582" s="145">
        <f>K582-'Order(Exhibit B)'!K582</f>
        <v>0</v>
      </c>
      <c r="T582" s="115">
        <f>M582-'Order(Exhibit B)'!M582</f>
        <v>0</v>
      </c>
    </row>
    <row r="583" spans="1:20">
      <c r="A583" s="136" t="s">
        <v>204</v>
      </c>
      <c r="C583" s="135">
        <v>414903.948179272</v>
      </c>
      <c r="D583" s="135">
        <f t="shared" ref="D583:D584" si="146">ROUND($C583*D$597/$C$597,0)</f>
        <v>528097</v>
      </c>
      <c r="E583" s="135"/>
      <c r="F583" s="190">
        <v>7.14</v>
      </c>
      <c r="G583" s="190"/>
      <c r="H583" s="139">
        <f t="shared" si="144"/>
        <v>2962414</v>
      </c>
      <c r="I583" s="139">
        <f t="shared" si="144"/>
        <v>3770613</v>
      </c>
      <c r="J583" s="135"/>
      <c r="K583" s="190">
        <f>ROUND(F583*(1+$P$583),2)</f>
        <v>7.38</v>
      </c>
      <c r="L583" s="190"/>
      <c r="M583" s="139">
        <f t="shared" si="145"/>
        <v>3897356</v>
      </c>
      <c r="O583" s="167" t="s">
        <v>110</v>
      </c>
      <c r="P583" s="194">
        <f>P580/(I597+I619)-1</f>
        <v>3.3278648500844499E-2</v>
      </c>
      <c r="S583" s="145">
        <f>K583-'Order(Exhibit B)'!K583</f>
        <v>1.9999999999999574E-2</v>
      </c>
      <c r="T583" s="115">
        <f>M583-'Order(Exhibit B)'!M583</f>
        <v>10562</v>
      </c>
    </row>
    <row r="584" spans="1:20">
      <c r="A584" s="136" t="s">
        <v>150</v>
      </c>
      <c r="C584" s="135">
        <v>6928.53170731707</v>
      </c>
      <c r="D584" s="135">
        <f t="shared" si="146"/>
        <v>8819</v>
      </c>
      <c r="E584" s="135"/>
      <c r="F584" s="190">
        <v>-2.0499999999999998</v>
      </c>
      <c r="G584" s="190"/>
      <c r="H584" s="139">
        <f t="shared" si="144"/>
        <v>-14203</v>
      </c>
      <c r="I584" s="139">
        <f t="shared" si="144"/>
        <v>-18079</v>
      </c>
      <c r="J584" s="135"/>
      <c r="K584" s="190">
        <f>F584</f>
        <v>-2.0499999999999998</v>
      </c>
      <c r="L584" s="190"/>
      <c r="M584" s="139">
        <f t="shared" si="145"/>
        <v>-18079</v>
      </c>
      <c r="O584" s="149" t="s">
        <v>162</v>
      </c>
      <c r="P584" s="191">
        <f>(P580-SUM(M578:M582,M591:M593,M600:M604,M613:M615))/SUM(I583:I588,I594,I605:I610,I616)-1</f>
        <v>3.3901869010349195E-2</v>
      </c>
      <c r="S584" s="145">
        <f>K584-'Order(Exhibit B)'!K584</f>
        <v>0</v>
      </c>
      <c r="T584" s="115">
        <f>M584-'Order(Exhibit B)'!M584</f>
        <v>0</v>
      </c>
    </row>
    <row r="585" spans="1:20">
      <c r="A585" s="136" t="s">
        <v>205</v>
      </c>
      <c r="C585" s="135">
        <v>77760989</v>
      </c>
      <c r="D585" s="135">
        <f>ROUND($C585*D$597/($C$597-$C$596),0)</f>
        <v>98980209</v>
      </c>
      <c r="E585" s="135"/>
      <c r="F585" s="211">
        <v>7.1125999999999996</v>
      </c>
      <c r="G585" s="163" t="s">
        <v>112</v>
      </c>
      <c r="H585" s="139">
        <f t="shared" ref="H585:I588" si="147">ROUND($F585*C585/100,0)</f>
        <v>5530828</v>
      </c>
      <c r="I585" s="139">
        <f t="shared" si="147"/>
        <v>7040066</v>
      </c>
      <c r="J585" s="135"/>
      <c r="K585" s="211">
        <f>ROUND((P580-SUM(M578:M582,M583:M584,M586:M588,M591:M594,M600:M604,M605:M606,M608:M610,M613:M616))/SUM(D585,D607)*100,P8)</f>
        <v>7.3586</v>
      </c>
      <c r="L585" s="163" t="s">
        <v>112</v>
      </c>
      <c r="M585" s="139">
        <f>ROUND($K585*D585/100,0)</f>
        <v>7283558</v>
      </c>
      <c r="O585" s="167"/>
      <c r="P585" s="194"/>
      <c r="S585" s="145">
        <f>K585-'Order(Exhibit B)'!K585</f>
        <v>2.289999999999992E-2</v>
      </c>
      <c r="T585" s="115">
        <f>M585-'Order(Exhibit B)'!M585</f>
        <v>22667</v>
      </c>
    </row>
    <row r="586" spans="1:20">
      <c r="A586" s="136" t="s">
        <v>206</v>
      </c>
      <c r="C586" s="135">
        <v>43643555.050662391</v>
      </c>
      <c r="D586" s="135">
        <f t="shared" ref="D586:D588" si="148">ROUND($C586*D$597/($C$597-$C$596),0)</f>
        <v>55552897</v>
      </c>
      <c r="E586" s="135"/>
      <c r="F586" s="211">
        <v>5.2572999999999999</v>
      </c>
      <c r="G586" s="163" t="s">
        <v>112</v>
      </c>
      <c r="H586" s="139">
        <f t="shared" si="147"/>
        <v>2294473</v>
      </c>
      <c r="I586" s="139">
        <f t="shared" si="147"/>
        <v>2920582</v>
      </c>
      <c r="J586" s="135"/>
      <c r="K586" s="211">
        <f>ROUND(F586*(1+$P$583),$P$8)</f>
        <v>5.4322999999999997</v>
      </c>
      <c r="L586" s="163" t="s">
        <v>112</v>
      </c>
      <c r="M586" s="139">
        <f>ROUND($K586*D586/100,0)</f>
        <v>3017800</v>
      </c>
      <c r="O586" s="114" t="s">
        <v>136</v>
      </c>
      <c r="P586" s="213">
        <f>ROUND(K587/K588,1)</f>
        <v>3.5</v>
      </c>
      <c r="S586" s="145">
        <f>K586-'Order(Exhibit B)'!K586</f>
        <v>1.5600000000000058E-2</v>
      </c>
      <c r="T586" s="115">
        <f>M586-'Order(Exhibit B)'!M586</f>
        <v>8666</v>
      </c>
    </row>
    <row r="587" spans="1:20">
      <c r="A587" s="136" t="s">
        <v>207</v>
      </c>
      <c r="C587" s="135">
        <v>3302561</v>
      </c>
      <c r="D587" s="135">
        <f t="shared" si="148"/>
        <v>4203755</v>
      </c>
      <c r="E587" s="135"/>
      <c r="F587" s="211">
        <v>14.052</v>
      </c>
      <c r="G587" s="163" t="s">
        <v>112</v>
      </c>
      <c r="H587" s="139">
        <f t="shared" si="147"/>
        <v>464076</v>
      </c>
      <c r="I587" s="139">
        <f t="shared" si="147"/>
        <v>590712</v>
      </c>
      <c r="J587" s="135"/>
      <c r="K587" s="211">
        <f>ROUND(F587*(1+$P$583),$P$8)</f>
        <v>14.519600000000001</v>
      </c>
      <c r="L587" s="163" t="s">
        <v>112</v>
      </c>
      <c r="M587" s="139">
        <f>ROUND($K587*D587/100,0)</f>
        <v>610368</v>
      </c>
      <c r="S587" s="145">
        <f>K587-'Order(Exhibit B)'!K587</f>
        <v>4.1600000000000747E-2</v>
      </c>
      <c r="T587" s="115">
        <f>M587-'Order(Exhibit B)'!M587</f>
        <v>1748</v>
      </c>
    </row>
    <row r="588" spans="1:20">
      <c r="A588" s="136" t="s">
        <v>208</v>
      </c>
      <c r="C588" s="214">
        <v>10240417.487837609</v>
      </c>
      <c r="D588" s="214">
        <f t="shared" si="148"/>
        <v>13034796</v>
      </c>
      <c r="E588" s="214"/>
      <c r="F588" s="215">
        <v>4.0491999999999999</v>
      </c>
      <c r="G588" s="216" t="s">
        <v>112</v>
      </c>
      <c r="H588" s="217">
        <f t="shared" si="147"/>
        <v>414655</v>
      </c>
      <c r="I588" s="217">
        <f t="shared" si="147"/>
        <v>527805</v>
      </c>
      <c r="J588" s="214"/>
      <c r="K588" s="215">
        <f>ROUND(F588*(1+$P$583),$P$8)</f>
        <v>4.1840000000000002</v>
      </c>
      <c r="L588" s="216" t="s">
        <v>112</v>
      </c>
      <c r="M588" s="217">
        <f>ROUND($K588*D588/100,0)</f>
        <v>545376</v>
      </c>
      <c r="S588" s="145">
        <f>K588-'Order(Exhibit B)'!K588</f>
        <v>1.2000000000000455E-2</v>
      </c>
      <c r="T588" s="115">
        <f>M588-'Order(Exhibit B)'!M588</f>
        <v>1564</v>
      </c>
    </row>
    <row r="589" spans="1:20">
      <c r="A589" s="136" t="s">
        <v>209</v>
      </c>
      <c r="C589" s="135">
        <f>SUM(C585:C588)</f>
        <v>134947522.53850001</v>
      </c>
      <c r="D589" s="135">
        <f>SUM(D585:D588)</f>
        <v>171771657</v>
      </c>
      <c r="E589" s="135"/>
      <c r="F589" s="193"/>
      <c r="G589" s="163"/>
      <c r="H589" s="139">
        <f>SUM(H578:H588)</f>
        <v>11974604</v>
      </c>
      <c r="I589" s="139">
        <f>SUM(I578:I588)</f>
        <v>15148754</v>
      </c>
      <c r="J589" s="135"/>
      <c r="K589" s="193"/>
      <c r="L589" s="163"/>
      <c r="M589" s="139">
        <f>SUM(M578:M582,M583:M588)</f>
        <v>15656923</v>
      </c>
      <c r="S589" s="145">
        <f>K589-'Order(Exhibit B)'!K589</f>
        <v>0</v>
      </c>
      <c r="T589" s="115">
        <f>M589-'Order(Exhibit B)'!M589</f>
        <v>45207</v>
      </c>
    </row>
    <row r="590" spans="1:20">
      <c r="A590" s="136" t="s">
        <v>210</v>
      </c>
      <c r="C590" s="135"/>
      <c r="D590" s="135"/>
      <c r="E590" s="135"/>
      <c r="F590" s="193"/>
      <c r="G590" s="163"/>
      <c r="H590" s="139"/>
      <c r="I590" s="139"/>
      <c r="J590" s="135"/>
      <c r="K590" s="193"/>
      <c r="L590" s="163"/>
      <c r="M590" s="139"/>
      <c r="S590" s="145">
        <f>K590-'Order(Exhibit B)'!K590</f>
        <v>0</v>
      </c>
      <c r="T590" s="115">
        <f>M590-'Order(Exhibit B)'!M590</f>
        <v>0</v>
      </c>
    </row>
    <row r="591" spans="1:20">
      <c r="A591" s="136" t="s">
        <v>211</v>
      </c>
      <c r="C591" s="135">
        <v>9421.7821428572988</v>
      </c>
      <c r="D591" s="135">
        <f>ROUND($C591*(D$579+D$578)/($C$579+$C$578),0)</f>
        <v>9350</v>
      </c>
      <c r="E591" s="135"/>
      <c r="F591" s="190">
        <v>14</v>
      </c>
      <c r="G591" s="190"/>
      <c r="H591" s="139">
        <f t="shared" ref="H591:I593" si="149">ROUND($F591*C591,0)</f>
        <v>131905</v>
      </c>
      <c r="I591" s="139">
        <f t="shared" si="149"/>
        <v>130900</v>
      </c>
      <c r="J591" s="135"/>
      <c r="K591" s="190">
        <f>K580</f>
        <v>14</v>
      </c>
      <c r="L591" s="190"/>
      <c r="M591" s="139">
        <f>ROUND($K591*D591,0)</f>
        <v>130900</v>
      </c>
      <c r="S591" s="145">
        <f>K591-'Order(Exhibit B)'!K591</f>
        <v>0</v>
      </c>
      <c r="T591" s="115">
        <f>M591-'Order(Exhibit B)'!M591</f>
        <v>0</v>
      </c>
    </row>
    <row r="592" spans="1:20">
      <c r="A592" s="136" t="s">
        <v>212</v>
      </c>
      <c r="C592" s="135">
        <v>0</v>
      </c>
      <c r="D592" s="135">
        <f>ROUND($C592*(D$579+D$578)/($C$579+$C$578),0)</f>
        <v>0</v>
      </c>
      <c r="E592" s="135"/>
      <c r="F592" s="190">
        <v>2</v>
      </c>
      <c r="G592" s="190"/>
      <c r="H592" s="139">
        <f t="shared" si="149"/>
        <v>0</v>
      </c>
      <c r="I592" s="139">
        <f t="shared" si="149"/>
        <v>0</v>
      </c>
      <c r="J592" s="135"/>
      <c r="K592" s="190">
        <f>K581</f>
        <v>2</v>
      </c>
      <c r="L592" s="190"/>
      <c r="M592" s="139">
        <f>ROUND($K592*D592,0)</f>
        <v>0</v>
      </c>
      <c r="S592" s="145">
        <f>K592-'Order(Exhibit B)'!K592</f>
        <v>0</v>
      </c>
      <c r="T592" s="115">
        <f>M592-'Order(Exhibit B)'!M592</f>
        <v>0</v>
      </c>
    </row>
    <row r="593" spans="1:20">
      <c r="A593" s="136" t="s">
        <v>213</v>
      </c>
      <c r="C593" s="135">
        <v>3601</v>
      </c>
      <c r="D593" s="135">
        <v>6499.1215705954874</v>
      </c>
      <c r="E593" s="135"/>
      <c r="F593" s="138">
        <v>-0.5</v>
      </c>
      <c r="G593" s="138"/>
      <c r="H593" s="139">
        <f t="shared" si="149"/>
        <v>-1801</v>
      </c>
      <c r="I593" s="139">
        <f t="shared" si="149"/>
        <v>-3250</v>
      </c>
      <c r="J593" s="135"/>
      <c r="K593" s="138">
        <f>K582</f>
        <v>-0.5</v>
      </c>
      <c r="L593" s="138"/>
      <c r="M593" s="139">
        <f>ROUND($K593*D593,0)</f>
        <v>-3250</v>
      </c>
      <c r="S593" s="145">
        <f>K593-'Order(Exhibit B)'!K593</f>
        <v>0</v>
      </c>
      <c r="T593" s="115">
        <f>M593-'Order(Exhibit B)'!M593</f>
        <v>0</v>
      </c>
    </row>
    <row r="594" spans="1:20">
      <c r="A594" s="136" t="s">
        <v>214</v>
      </c>
      <c r="C594" s="214">
        <v>48117051.795699999</v>
      </c>
      <c r="D594" s="214">
        <f>ROUND($C594*D$597/($C$597-$C$596),0)</f>
        <v>61247110</v>
      </c>
      <c r="E594" s="214"/>
      <c r="F594" s="215">
        <v>4.8788999999999998</v>
      </c>
      <c r="G594" s="216" t="s">
        <v>112</v>
      </c>
      <c r="H594" s="217">
        <f>ROUND($F594*C594/100,0)</f>
        <v>2347583</v>
      </c>
      <c r="I594" s="217">
        <f>ROUND($F594*D594/100,0)</f>
        <v>2988185</v>
      </c>
      <c r="J594" s="214"/>
      <c r="K594" s="215">
        <f>ROUND(F594*(1+$P$583),$P$8)</f>
        <v>5.0412999999999997</v>
      </c>
      <c r="L594" s="216" t="s">
        <v>112</v>
      </c>
      <c r="M594" s="217">
        <f>ROUND($K594*D594/100,0)</f>
        <v>3087651</v>
      </c>
      <c r="S594" s="145">
        <f>K594-'Order(Exhibit B)'!K594</f>
        <v>1.4499999999999957E-2</v>
      </c>
      <c r="T594" s="115">
        <f>M594-'Order(Exhibit B)'!M594</f>
        <v>8881</v>
      </c>
    </row>
    <row r="595" spans="1:20">
      <c r="A595" s="136" t="s">
        <v>215</v>
      </c>
      <c r="C595" s="135">
        <f>SUM(C594)</f>
        <v>48117051.795699999</v>
      </c>
      <c r="D595" s="135">
        <f>SUM(D594)</f>
        <v>61247110</v>
      </c>
      <c r="E595" s="135"/>
      <c r="F595" s="138"/>
      <c r="G595" s="138"/>
      <c r="H595" s="139">
        <f>SUM(H591:H594)</f>
        <v>2477687</v>
      </c>
      <c r="I595" s="139">
        <f>SUM(I591:I594)</f>
        <v>3115835</v>
      </c>
      <c r="J595" s="135"/>
      <c r="K595" s="138"/>
      <c r="L595" s="138"/>
      <c r="M595" s="139">
        <f>SUM(M591:M594)</f>
        <v>3215301</v>
      </c>
      <c r="S595" s="145">
        <f>K595-'Order(Exhibit B)'!K595</f>
        <v>0</v>
      </c>
      <c r="T595" s="115">
        <f>M595-'Order(Exhibit B)'!M595</f>
        <v>8881</v>
      </c>
    </row>
    <row r="596" spans="1:20">
      <c r="A596" s="172" t="s">
        <v>125</v>
      </c>
      <c r="B596" s="173"/>
      <c r="C596" s="135">
        <v>8678</v>
      </c>
      <c r="D596" s="135"/>
      <c r="E596" s="135"/>
      <c r="F596" s="174"/>
      <c r="G596" s="13"/>
      <c r="H596" s="139">
        <v>-960</v>
      </c>
      <c r="I596" s="139"/>
      <c r="J596" s="135"/>
      <c r="K596" s="174"/>
      <c r="L596" s="13"/>
      <c r="M596" s="139"/>
      <c r="N596" s="164"/>
      <c r="O596" s="164"/>
      <c r="P596" s="164"/>
      <c r="S596" s="145">
        <f>K596-'Order(Exhibit B)'!K596</f>
        <v>0</v>
      </c>
      <c r="T596" s="115">
        <f>M596-'Order(Exhibit B)'!M596</f>
        <v>0</v>
      </c>
    </row>
    <row r="597" spans="1:20" ht="16.5" thickBot="1">
      <c r="A597" s="176" t="s">
        <v>127</v>
      </c>
      <c r="B597" s="177"/>
      <c r="C597" s="178">
        <f>SUM(C589,C595:C596)</f>
        <v>183073252.33420002</v>
      </c>
      <c r="D597" s="178">
        <v>233018766.75156945</v>
      </c>
      <c r="E597" s="178"/>
      <c r="F597" s="177"/>
      <c r="G597" s="177"/>
      <c r="H597" s="179">
        <f>SUM(H589,H595:H596)</f>
        <v>14451331</v>
      </c>
      <c r="I597" s="179">
        <f>SUM(I589,I595:I596)</f>
        <v>18264589</v>
      </c>
      <c r="J597" s="178"/>
      <c r="K597" s="177"/>
      <c r="L597" s="177"/>
      <c r="M597" s="179">
        <f>SUM(M589,M595:M596)</f>
        <v>18872224</v>
      </c>
      <c r="O597" s="114" t="s">
        <v>108</v>
      </c>
      <c r="P597" s="164">
        <f>M597/I597-1</f>
        <v>3.3268473766368434E-2</v>
      </c>
      <c r="S597" s="145">
        <f>K597-'Order(Exhibit B)'!K597</f>
        <v>0</v>
      </c>
      <c r="T597" s="115">
        <f>M597-'Order(Exhibit B)'!M597</f>
        <v>54088</v>
      </c>
    </row>
    <row r="598" spans="1:20" ht="16.5" thickTop="1">
      <c r="C598" s="135"/>
      <c r="D598" s="135"/>
      <c r="E598" s="135"/>
      <c r="J598" s="135"/>
      <c r="S598" s="145">
        <f>K598-'Order(Exhibit B)'!K598</f>
        <v>0</v>
      </c>
      <c r="T598" s="115">
        <f>M598-'Order(Exhibit B)'!M598</f>
        <v>0</v>
      </c>
    </row>
    <row r="599" spans="1:20">
      <c r="A599" s="133" t="s">
        <v>477</v>
      </c>
      <c r="S599" s="145">
        <f>K599-'Order(Exhibit B)'!K599</f>
        <v>0</v>
      </c>
      <c r="T599" s="115">
        <f>M599-'Order(Exhibit B)'!M599</f>
        <v>0</v>
      </c>
    </row>
    <row r="600" spans="1:20">
      <c r="A600" s="136" t="s">
        <v>198</v>
      </c>
      <c r="C600" s="135">
        <v>80.238648648648606</v>
      </c>
      <c r="D600" s="135">
        <v>95.833333333333329</v>
      </c>
      <c r="E600" s="135"/>
      <c r="F600" s="190">
        <v>37</v>
      </c>
      <c r="G600" s="190"/>
      <c r="H600" s="139">
        <f t="shared" ref="H600:I606" si="150">ROUND($F600*C600,0)</f>
        <v>2969</v>
      </c>
      <c r="I600" s="139">
        <f t="shared" si="150"/>
        <v>3546</v>
      </c>
      <c r="J600" s="135"/>
      <c r="K600" s="190">
        <f t="shared" ref="K600:K610" si="151">K578</f>
        <v>38</v>
      </c>
      <c r="L600" s="190"/>
      <c r="M600" s="139">
        <f t="shared" ref="M600:M606" si="152">ROUND($K600*D600,0)</f>
        <v>3642</v>
      </c>
      <c r="S600" s="145">
        <f>K600-'Order(Exhibit B)'!K600</f>
        <v>0</v>
      </c>
      <c r="T600" s="115">
        <f>M600-'Order(Exhibit B)'!M600</f>
        <v>0</v>
      </c>
    </row>
    <row r="601" spans="1:20">
      <c r="A601" s="136" t="s">
        <v>200</v>
      </c>
      <c r="C601" s="135">
        <v>0</v>
      </c>
      <c r="D601" s="135">
        <v>0</v>
      </c>
      <c r="E601" s="135"/>
      <c r="F601" s="190">
        <v>122</v>
      </c>
      <c r="G601" s="190"/>
      <c r="H601" s="139">
        <f>ROUND($F601*C601,0)</f>
        <v>0</v>
      </c>
      <c r="I601" s="139">
        <f>ROUND($F601*D601,0)</f>
        <v>0</v>
      </c>
      <c r="J601" s="135"/>
      <c r="K601" s="190">
        <f t="shared" si="151"/>
        <v>126</v>
      </c>
      <c r="L601" s="190"/>
      <c r="M601" s="139">
        <f t="shared" si="152"/>
        <v>0</v>
      </c>
      <c r="S601" s="145">
        <f>K601-'Order(Exhibit B)'!K601</f>
        <v>0</v>
      </c>
      <c r="T601" s="115">
        <f>M601-'Order(Exhibit B)'!M601</f>
        <v>0</v>
      </c>
    </row>
    <row r="602" spans="1:20">
      <c r="A602" s="136" t="s">
        <v>201</v>
      </c>
      <c r="C602" s="135">
        <v>327.7</v>
      </c>
      <c r="D602" s="135">
        <f>ROUND($C602*(D$601+D$600)/($C$601+$C$600),0)</f>
        <v>391</v>
      </c>
      <c r="E602" s="135"/>
      <c r="F602" s="190">
        <v>14</v>
      </c>
      <c r="G602" s="190"/>
      <c r="H602" s="139">
        <f t="shared" si="150"/>
        <v>4588</v>
      </c>
      <c r="I602" s="139">
        <f t="shared" si="150"/>
        <v>5474</v>
      </c>
      <c r="J602" s="135"/>
      <c r="K602" s="190">
        <f t="shared" si="151"/>
        <v>14</v>
      </c>
      <c r="L602" s="190"/>
      <c r="M602" s="139">
        <f t="shared" si="152"/>
        <v>5474</v>
      </c>
      <c r="S602" s="145">
        <f>K602-'Order(Exhibit B)'!K602</f>
        <v>0</v>
      </c>
      <c r="T602" s="115">
        <f>M602-'Order(Exhibit B)'!M602</f>
        <v>0</v>
      </c>
    </row>
    <row r="603" spans="1:20">
      <c r="A603" s="136" t="s">
        <v>202</v>
      </c>
      <c r="C603" s="135">
        <v>8</v>
      </c>
      <c r="D603" s="135">
        <f>ROUND($C603*(D$601+D$600)/($C$601+$C$600),0)</f>
        <v>10</v>
      </c>
      <c r="E603" s="135"/>
      <c r="F603" s="190">
        <v>2</v>
      </c>
      <c r="G603" s="190"/>
      <c r="H603" s="139">
        <f t="shared" si="150"/>
        <v>16</v>
      </c>
      <c r="I603" s="139">
        <f t="shared" si="150"/>
        <v>20</v>
      </c>
      <c r="J603" s="135"/>
      <c r="K603" s="190">
        <f t="shared" si="151"/>
        <v>2</v>
      </c>
      <c r="L603" s="190"/>
      <c r="M603" s="139">
        <f t="shared" si="152"/>
        <v>20</v>
      </c>
      <c r="S603" s="145">
        <f>K603-'Order(Exhibit B)'!K603</f>
        <v>0</v>
      </c>
      <c r="T603" s="115">
        <f>M603-'Order(Exhibit B)'!M603</f>
        <v>0</v>
      </c>
    </row>
    <row r="604" spans="1:20">
      <c r="A604" s="136" t="s">
        <v>203</v>
      </c>
      <c r="C604" s="135">
        <v>100</v>
      </c>
      <c r="D604" s="135">
        <v>271.78144749762947</v>
      </c>
      <c r="E604" s="135"/>
      <c r="F604" s="138">
        <v>-0.5</v>
      </c>
      <c r="G604" s="138"/>
      <c r="H604" s="139">
        <f t="shared" si="150"/>
        <v>-50</v>
      </c>
      <c r="I604" s="139">
        <f t="shared" si="150"/>
        <v>-136</v>
      </c>
      <c r="J604" s="135"/>
      <c r="K604" s="138">
        <f t="shared" si="151"/>
        <v>-0.5</v>
      </c>
      <c r="L604" s="138"/>
      <c r="M604" s="139">
        <f t="shared" si="152"/>
        <v>-136</v>
      </c>
      <c r="S604" s="145">
        <f>K604-'Order(Exhibit B)'!K604</f>
        <v>0</v>
      </c>
      <c r="T604" s="115">
        <f>M604-'Order(Exhibit B)'!M604</f>
        <v>0</v>
      </c>
    </row>
    <row r="605" spans="1:20">
      <c r="A605" s="136" t="s">
        <v>204</v>
      </c>
      <c r="C605" s="135">
        <v>25559.948179271702</v>
      </c>
      <c r="D605" s="135">
        <f t="shared" ref="D605:D606" si="153">ROUND($C605*D$619/$C$619,0)</f>
        <v>33036</v>
      </c>
      <c r="E605" s="135"/>
      <c r="F605" s="190">
        <v>7.14</v>
      </c>
      <c r="G605" s="190"/>
      <c r="H605" s="139">
        <f t="shared" si="150"/>
        <v>182498</v>
      </c>
      <c r="I605" s="139">
        <f t="shared" si="150"/>
        <v>235877</v>
      </c>
      <c r="J605" s="135"/>
      <c r="K605" s="190">
        <f t="shared" si="151"/>
        <v>7.38</v>
      </c>
      <c r="L605" s="190"/>
      <c r="M605" s="139">
        <f t="shared" si="152"/>
        <v>243806</v>
      </c>
      <c r="S605" s="145">
        <f>K605-'Order(Exhibit B)'!K605</f>
        <v>1.9999999999999574E-2</v>
      </c>
      <c r="T605" s="115">
        <f>M605-'Order(Exhibit B)'!M605</f>
        <v>661</v>
      </c>
    </row>
    <row r="606" spans="1:20">
      <c r="A606" s="136" t="s">
        <v>150</v>
      </c>
      <c r="C606" s="135">
        <v>0</v>
      </c>
      <c r="D606" s="135">
        <f t="shared" si="153"/>
        <v>0</v>
      </c>
      <c r="E606" s="135"/>
      <c r="F606" s="190">
        <v>-2.0499999999999998</v>
      </c>
      <c r="G606" s="190"/>
      <c r="H606" s="139">
        <f t="shared" si="150"/>
        <v>0</v>
      </c>
      <c r="I606" s="139">
        <f t="shared" si="150"/>
        <v>0</v>
      </c>
      <c r="J606" s="135"/>
      <c r="K606" s="190">
        <f t="shared" si="151"/>
        <v>-2.0499999999999998</v>
      </c>
      <c r="L606" s="190"/>
      <c r="M606" s="139">
        <f t="shared" si="152"/>
        <v>0</v>
      </c>
      <c r="S606" s="145">
        <f>K606-'Order(Exhibit B)'!K606</f>
        <v>0</v>
      </c>
      <c r="T606" s="115">
        <f>M606-'Order(Exhibit B)'!M606</f>
        <v>0</v>
      </c>
    </row>
    <row r="607" spans="1:20">
      <c r="A607" s="136" t="s">
        <v>205</v>
      </c>
      <c r="C607" s="135">
        <v>3135796</v>
      </c>
      <c r="D607" s="135">
        <f>ROUND($C607*D$619/($C$619-$C$618),0)</f>
        <v>4053118</v>
      </c>
      <c r="E607" s="135"/>
      <c r="F607" s="211">
        <v>7.1125999999999996</v>
      </c>
      <c r="G607" s="163" t="s">
        <v>112</v>
      </c>
      <c r="H607" s="139">
        <f t="shared" ref="H607:I610" si="154">ROUND($F607*C607/100,0)</f>
        <v>223037</v>
      </c>
      <c r="I607" s="139">
        <f t="shared" si="154"/>
        <v>288282</v>
      </c>
      <c r="J607" s="135"/>
      <c r="K607" s="211">
        <f t="shared" si="151"/>
        <v>7.3586</v>
      </c>
      <c r="L607" s="163" t="s">
        <v>112</v>
      </c>
      <c r="M607" s="139">
        <f>ROUND($K607*D607/100,0)</f>
        <v>298253</v>
      </c>
      <c r="S607" s="145">
        <f>K607-'Order(Exhibit B)'!K607</f>
        <v>2.289999999999992E-2</v>
      </c>
      <c r="T607" s="115">
        <f>M607-'Order(Exhibit B)'!M607</f>
        <v>928</v>
      </c>
    </row>
    <row r="608" spans="1:20">
      <c r="A608" s="136" t="s">
        <v>206</v>
      </c>
      <c r="C608" s="135">
        <v>2036917</v>
      </c>
      <c r="D608" s="135">
        <f t="shared" ref="D608:D610" si="155">ROUND($C608*D$619/($C$619-$C$618),0)</f>
        <v>2632781</v>
      </c>
      <c r="E608" s="135"/>
      <c r="F608" s="211">
        <v>5.2572999999999999</v>
      </c>
      <c r="G608" s="163" t="s">
        <v>112</v>
      </c>
      <c r="H608" s="139">
        <f t="shared" si="154"/>
        <v>107087</v>
      </c>
      <c r="I608" s="139">
        <f t="shared" si="154"/>
        <v>138413</v>
      </c>
      <c r="J608" s="135"/>
      <c r="K608" s="211">
        <f t="shared" si="151"/>
        <v>5.4322999999999997</v>
      </c>
      <c r="L608" s="163" t="s">
        <v>112</v>
      </c>
      <c r="M608" s="139">
        <f>ROUND($K608*D608/100,0)</f>
        <v>143021</v>
      </c>
      <c r="S608" s="145">
        <f>K608-'Order(Exhibit B)'!K608</f>
        <v>1.5600000000000058E-2</v>
      </c>
      <c r="T608" s="115">
        <f>M608-'Order(Exhibit B)'!M608</f>
        <v>411</v>
      </c>
    </row>
    <row r="609" spans="1:20">
      <c r="A609" s="136" t="s">
        <v>207</v>
      </c>
      <c r="C609" s="135">
        <v>78940</v>
      </c>
      <c r="D609" s="135">
        <f t="shared" si="155"/>
        <v>102032</v>
      </c>
      <c r="E609" s="135"/>
      <c r="F609" s="211">
        <v>14.052</v>
      </c>
      <c r="G609" s="199" t="s">
        <v>112</v>
      </c>
      <c r="H609" s="139">
        <f t="shared" si="154"/>
        <v>11093</v>
      </c>
      <c r="I609" s="139">
        <f t="shared" si="154"/>
        <v>14338</v>
      </c>
      <c r="J609" s="135"/>
      <c r="K609" s="211">
        <f t="shared" si="151"/>
        <v>14.519600000000001</v>
      </c>
      <c r="L609" s="199" t="s">
        <v>112</v>
      </c>
      <c r="M609" s="139">
        <f>ROUND($K609*D609/100,0)</f>
        <v>14815</v>
      </c>
      <c r="S609" s="145">
        <f>K609-'Order(Exhibit B)'!K609</f>
        <v>4.1600000000000747E-2</v>
      </c>
      <c r="T609" s="115">
        <f>M609-'Order(Exhibit B)'!M609</f>
        <v>43</v>
      </c>
    </row>
    <row r="610" spans="1:20">
      <c r="A610" s="136" t="s">
        <v>208</v>
      </c>
      <c r="C610" s="214">
        <v>230502</v>
      </c>
      <c r="D610" s="214">
        <f t="shared" si="155"/>
        <v>297931</v>
      </c>
      <c r="E610" s="214"/>
      <c r="F610" s="215">
        <v>4.0491999999999999</v>
      </c>
      <c r="G610" s="218" t="s">
        <v>112</v>
      </c>
      <c r="H610" s="217">
        <f t="shared" si="154"/>
        <v>9333</v>
      </c>
      <c r="I610" s="217">
        <f t="shared" si="154"/>
        <v>12064</v>
      </c>
      <c r="J610" s="214"/>
      <c r="K610" s="215">
        <f t="shared" si="151"/>
        <v>4.1840000000000002</v>
      </c>
      <c r="L610" s="218" t="s">
        <v>112</v>
      </c>
      <c r="M610" s="217">
        <f>ROUND($K610*D610/100,0)</f>
        <v>12465</v>
      </c>
      <c r="S610" s="145">
        <f>K610-'Order(Exhibit B)'!K610</f>
        <v>1.2000000000000455E-2</v>
      </c>
      <c r="T610" s="115">
        <f>M610-'Order(Exhibit B)'!M610</f>
        <v>35</v>
      </c>
    </row>
    <row r="611" spans="1:20">
      <c r="A611" s="136" t="s">
        <v>209</v>
      </c>
      <c r="C611" s="135">
        <f>SUM(C607:C610)</f>
        <v>5482155</v>
      </c>
      <c r="D611" s="135">
        <f>SUM(D607:D610)</f>
        <v>7085862</v>
      </c>
      <c r="E611" s="135"/>
      <c r="F611" s="193"/>
      <c r="G611" s="163"/>
      <c r="H611" s="139">
        <f>SUM(H600:H610)</f>
        <v>540571</v>
      </c>
      <c r="I611" s="139">
        <f>SUM(I600:I610)</f>
        <v>697878</v>
      </c>
      <c r="J611" s="135"/>
      <c r="K611" s="193"/>
      <c r="L611" s="163"/>
      <c r="M611" s="139">
        <f>SUM(M600:M604,M605:M610)</f>
        <v>721360</v>
      </c>
      <c r="S611" s="145">
        <f>K611-'Order(Exhibit B)'!K611</f>
        <v>0</v>
      </c>
      <c r="T611" s="115">
        <f>M611-'Order(Exhibit B)'!M611</f>
        <v>2078</v>
      </c>
    </row>
    <row r="612" spans="1:20">
      <c r="A612" s="136" t="s">
        <v>210</v>
      </c>
      <c r="C612" s="135"/>
      <c r="D612" s="135"/>
      <c r="E612" s="135"/>
      <c r="F612" s="193"/>
      <c r="G612" s="163"/>
      <c r="H612" s="139"/>
      <c r="I612" s="139"/>
      <c r="J612" s="135"/>
      <c r="K612" s="193"/>
      <c r="L612" s="163"/>
      <c r="M612" s="139"/>
      <c r="S612" s="145">
        <f>K612-'Order(Exhibit B)'!K612</f>
        <v>0</v>
      </c>
      <c r="T612" s="115">
        <f>M612-'Order(Exhibit B)'!M612</f>
        <v>0</v>
      </c>
    </row>
    <row r="613" spans="1:20">
      <c r="A613" s="136" t="s">
        <v>211</v>
      </c>
      <c r="C613" s="135">
        <v>194.68285714285702</v>
      </c>
      <c r="D613" s="135">
        <f>ROUND($C613*(D$579+D$578)/($C$579+$C$578),0)</f>
        <v>193</v>
      </c>
      <c r="E613" s="135"/>
      <c r="F613" s="190">
        <v>14</v>
      </c>
      <c r="G613" s="190"/>
      <c r="H613" s="139">
        <f t="shared" ref="H613:I615" si="156">ROUND($F613*C613,0)</f>
        <v>2726</v>
      </c>
      <c r="I613" s="139">
        <f t="shared" si="156"/>
        <v>2702</v>
      </c>
      <c r="J613" s="135"/>
      <c r="K613" s="190">
        <f>K591</f>
        <v>14</v>
      </c>
      <c r="L613" s="190"/>
      <c r="M613" s="139">
        <f>ROUND($K613*D613,0)</f>
        <v>2702</v>
      </c>
      <c r="S613" s="145">
        <f>K613-'Order(Exhibit B)'!K613</f>
        <v>0</v>
      </c>
      <c r="T613" s="115">
        <f>M613-'Order(Exhibit B)'!M613</f>
        <v>0</v>
      </c>
    </row>
    <row r="614" spans="1:20">
      <c r="A614" s="136" t="s">
        <v>212</v>
      </c>
      <c r="C614" s="135">
        <v>16</v>
      </c>
      <c r="D614" s="135">
        <f>ROUND($C614*(D$579+D$578)/($C$579+$C$578),0)</f>
        <v>16</v>
      </c>
      <c r="E614" s="135"/>
      <c r="F614" s="190">
        <v>2</v>
      </c>
      <c r="G614" s="190"/>
      <c r="H614" s="139">
        <f t="shared" si="156"/>
        <v>32</v>
      </c>
      <c r="I614" s="139">
        <f t="shared" si="156"/>
        <v>32</v>
      </c>
      <c r="J614" s="135"/>
      <c r="K614" s="190">
        <f>K592</f>
        <v>2</v>
      </c>
      <c r="L614" s="190"/>
      <c r="M614" s="139">
        <f>ROUND($K614*D614,0)</f>
        <v>32</v>
      </c>
      <c r="S614" s="145">
        <f>K614-'Order(Exhibit B)'!K614</f>
        <v>0</v>
      </c>
      <c r="T614" s="115">
        <f>M614-'Order(Exhibit B)'!M614</f>
        <v>0</v>
      </c>
    </row>
    <row r="615" spans="1:20">
      <c r="A615" s="136" t="s">
        <v>213</v>
      </c>
      <c r="C615" s="135">
        <v>82</v>
      </c>
      <c r="D615" s="135">
        <v>134.15299070854857</v>
      </c>
      <c r="E615" s="135"/>
      <c r="F615" s="138">
        <v>-0.5</v>
      </c>
      <c r="G615" s="138"/>
      <c r="H615" s="139">
        <f t="shared" si="156"/>
        <v>-41</v>
      </c>
      <c r="I615" s="139">
        <f t="shared" si="156"/>
        <v>-67</v>
      </c>
      <c r="J615" s="135"/>
      <c r="K615" s="138">
        <f>K593</f>
        <v>-0.5</v>
      </c>
      <c r="L615" s="138"/>
      <c r="M615" s="139">
        <f>ROUND($K615*D615,0)</f>
        <v>-67</v>
      </c>
      <c r="S615" s="145">
        <f>K615-'Order(Exhibit B)'!K615</f>
        <v>0</v>
      </c>
      <c r="T615" s="115">
        <f>M615-'Order(Exhibit B)'!M615</f>
        <v>0</v>
      </c>
    </row>
    <row r="616" spans="1:20">
      <c r="A616" s="136" t="s">
        <v>214</v>
      </c>
      <c r="C616" s="214">
        <v>1632237</v>
      </c>
      <c r="D616" s="214">
        <f>ROUND($C616*D$619/($C$619-$C$618),0)</f>
        <v>2109719</v>
      </c>
      <c r="E616" s="214"/>
      <c r="F616" s="215">
        <v>4.8788999999999998</v>
      </c>
      <c r="G616" s="216" t="s">
        <v>112</v>
      </c>
      <c r="H616" s="217">
        <f>ROUND($F616*C616/100,0)</f>
        <v>79635</v>
      </c>
      <c r="I616" s="217">
        <f>ROUND($F616*D616/100,0)</f>
        <v>102931</v>
      </c>
      <c r="J616" s="214"/>
      <c r="K616" s="215">
        <f>K594</f>
        <v>5.0412999999999997</v>
      </c>
      <c r="L616" s="216" t="s">
        <v>112</v>
      </c>
      <c r="M616" s="217">
        <f>ROUND($K616*D616/100,0)</f>
        <v>106357</v>
      </c>
      <c r="S616" s="145">
        <f>K616-'Order(Exhibit B)'!K616</f>
        <v>1.4499999999999957E-2</v>
      </c>
      <c r="T616" s="115">
        <f>M616-'Order(Exhibit B)'!M616</f>
        <v>306</v>
      </c>
    </row>
    <row r="617" spans="1:20">
      <c r="A617" s="136" t="s">
        <v>215</v>
      </c>
      <c r="C617" s="135">
        <f>SUM(C616)</f>
        <v>1632237</v>
      </c>
      <c r="D617" s="135">
        <f>SUM(D616)</f>
        <v>2109719</v>
      </c>
      <c r="E617" s="135"/>
      <c r="F617" s="138"/>
      <c r="G617" s="138"/>
      <c r="H617" s="139">
        <f>SUM(H613:H616)</f>
        <v>82352</v>
      </c>
      <c r="I617" s="139">
        <f>SUM(I613:I616)</f>
        <v>105598</v>
      </c>
      <c r="J617" s="135"/>
      <c r="K617" s="138"/>
      <c r="L617" s="138"/>
      <c r="M617" s="139">
        <f>SUM(M613:M616)</f>
        <v>109024</v>
      </c>
      <c r="S617" s="145">
        <f>K617-'Order(Exhibit B)'!K617</f>
        <v>0</v>
      </c>
      <c r="T617" s="115">
        <f>M617-'Order(Exhibit B)'!M617</f>
        <v>306</v>
      </c>
    </row>
    <row r="618" spans="1:20">
      <c r="A618" s="172" t="s">
        <v>125</v>
      </c>
      <c r="B618" s="173"/>
      <c r="C618" s="135">
        <v>322</v>
      </c>
      <c r="D618" s="135"/>
      <c r="E618" s="135"/>
      <c r="F618" s="174"/>
      <c r="G618" s="13"/>
      <c r="H618" s="139">
        <v>-40</v>
      </c>
      <c r="I618" s="139"/>
      <c r="J618" s="135"/>
      <c r="K618" s="174"/>
      <c r="L618" s="13"/>
      <c r="M618" s="139"/>
      <c r="N618" s="164"/>
      <c r="O618" s="164"/>
      <c r="P618" s="164"/>
      <c r="S618" s="145">
        <f>K618-'Order(Exhibit B)'!K618</f>
        <v>0</v>
      </c>
      <c r="T618" s="115">
        <f>M618-'Order(Exhibit B)'!M618</f>
        <v>0</v>
      </c>
    </row>
    <row r="619" spans="1:20" ht="16.5" thickBot="1">
      <c r="A619" s="176" t="s">
        <v>127</v>
      </c>
      <c r="B619" s="177"/>
      <c r="C619" s="178">
        <f>SUM(C611,C617:C618)</f>
        <v>7114714</v>
      </c>
      <c r="D619" s="178">
        <v>9195581.3520375416</v>
      </c>
      <c r="E619" s="178"/>
      <c r="F619" s="177"/>
      <c r="G619" s="177"/>
      <c r="H619" s="179">
        <f>SUM(H611,H617:H618)</f>
        <v>622883</v>
      </c>
      <c r="I619" s="179">
        <f>SUM(I611,I617:I618)</f>
        <v>803476</v>
      </c>
      <c r="J619" s="178"/>
      <c r="K619" s="177"/>
      <c r="L619" s="177"/>
      <c r="M619" s="179">
        <f>SUM(M611,M617:M618)</f>
        <v>830384</v>
      </c>
      <c r="O619" s="114" t="s">
        <v>108</v>
      </c>
      <c r="P619" s="164">
        <f>M619/I619-1</f>
        <v>3.348948817388453E-2</v>
      </c>
      <c r="S619" s="145">
        <f>K619-'Order(Exhibit B)'!K619</f>
        <v>0</v>
      </c>
      <c r="T619" s="115">
        <f>M619-'Order(Exhibit B)'!M619</f>
        <v>2384</v>
      </c>
    </row>
    <row r="620" spans="1:20" ht="16.5" thickTop="1">
      <c r="A620" s="136"/>
      <c r="C620" s="135"/>
      <c r="D620" s="135"/>
      <c r="E620" s="135"/>
      <c r="H620" s="139"/>
      <c r="I620" s="139"/>
      <c r="J620" s="135"/>
      <c r="M620" s="139"/>
      <c r="P620" s="164"/>
      <c r="S620" s="145">
        <f>K620-'Order(Exhibit B)'!K620</f>
        <v>0</v>
      </c>
      <c r="T620" s="115">
        <f>M620-'Order(Exhibit B)'!M620</f>
        <v>0</v>
      </c>
    </row>
    <row r="621" spans="1:20">
      <c r="A621" s="133" t="s">
        <v>216</v>
      </c>
      <c r="C621" s="135"/>
      <c r="D621" s="135"/>
      <c r="E621" s="135"/>
      <c r="H621" s="139"/>
      <c r="I621" s="139"/>
      <c r="J621" s="135"/>
      <c r="M621" s="139"/>
      <c r="O621" s="132"/>
      <c r="P621" s="187"/>
      <c r="S621" s="145">
        <f>K621-'Order(Exhibit B)'!K621</f>
        <v>0</v>
      </c>
      <c r="T621" s="115">
        <f>M621-'Order(Exhibit B)'!M621</f>
        <v>0</v>
      </c>
    </row>
    <row r="622" spans="1:20">
      <c r="A622" s="172" t="s">
        <v>217</v>
      </c>
      <c r="B622" s="132"/>
      <c r="C622" s="135"/>
      <c r="D622" s="135">
        <v>42695274.524540722</v>
      </c>
      <c r="E622" s="135"/>
      <c r="F622" s="184"/>
      <c r="G622" s="13"/>
      <c r="H622" s="139"/>
      <c r="I622" s="139"/>
      <c r="J622" s="135"/>
      <c r="K622" s="184">
        <f>ROUND(P622/SUM(D622,D623/P586)*100,P8)</f>
        <v>14.615</v>
      </c>
      <c r="L622" s="13" t="s">
        <v>112</v>
      </c>
      <c r="M622" s="139">
        <f>ROUND($K622*D622/100,0)</f>
        <v>6239914</v>
      </c>
      <c r="O622" s="132" t="s">
        <v>218</v>
      </c>
      <c r="P622" s="189">
        <f>SUM(M585:M588,M607:M610)</f>
        <v>11925656</v>
      </c>
      <c r="S622" s="145">
        <f>K622-'Order(Exhibit B)'!K622</f>
        <v>4.4200000000000017E-2</v>
      </c>
      <c r="T622" s="115">
        <f>M622-'Order(Exhibit B)'!M622</f>
        <v>18871</v>
      </c>
    </row>
    <row r="623" spans="1:20">
      <c r="A623" s="172" t="s">
        <v>219</v>
      </c>
      <c r="B623" s="132"/>
      <c r="C623" s="135"/>
      <c r="D623" s="135">
        <f>D624-D622</f>
        <v>136162244.47545928</v>
      </c>
      <c r="E623" s="135"/>
      <c r="F623" s="184"/>
      <c r="G623" s="13"/>
      <c r="H623" s="139"/>
      <c r="I623" s="139"/>
      <c r="J623" s="135"/>
      <c r="K623" s="184">
        <f>ROUND(K622/P586,P8)</f>
        <v>4.1757</v>
      </c>
      <c r="L623" s="13" t="s">
        <v>112</v>
      </c>
      <c r="M623" s="139">
        <f>ROUND($K623*D623/100,0)</f>
        <v>5685727</v>
      </c>
      <c r="O623" s="132" t="s">
        <v>220</v>
      </c>
      <c r="P623" s="189">
        <f>M624</f>
        <v>11925641</v>
      </c>
      <c r="S623" s="145">
        <f>K623-'Order(Exhibit B)'!K623</f>
        <v>1.2599999999999945E-2</v>
      </c>
      <c r="T623" s="115">
        <f>M623-'Order(Exhibit B)'!M623</f>
        <v>17157</v>
      </c>
    </row>
    <row r="624" spans="1:20" ht="16.5" thickBot="1">
      <c r="A624" s="176" t="s">
        <v>127</v>
      </c>
      <c r="B624" s="177"/>
      <c r="C624" s="178"/>
      <c r="D624" s="178">
        <f>SUM(D589,D611)</f>
        <v>178857519</v>
      </c>
      <c r="E624" s="178"/>
      <c r="F624" s="177"/>
      <c r="G624" s="177"/>
      <c r="H624" s="179"/>
      <c r="I624" s="179"/>
      <c r="J624" s="178"/>
      <c r="K624" s="177"/>
      <c r="L624" s="177"/>
      <c r="M624" s="179">
        <f>SUM(M622:M623)</f>
        <v>11925641</v>
      </c>
      <c r="O624" s="132"/>
      <c r="P624" s="131"/>
      <c r="S624" s="145">
        <f>K624-'Order(Exhibit B)'!K624</f>
        <v>0</v>
      </c>
      <c r="T624" s="115">
        <f>M624-'Order(Exhibit B)'!M624</f>
        <v>36028</v>
      </c>
    </row>
    <row r="625" spans="1:20" ht="16.5" thickTop="1">
      <c r="A625" s="136"/>
      <c r="C625" s="135"/>
      <c r="D625" s="135"/>
      <c r="E625" s="135"/>
      <c r="H625" s="139"/>
      <c r="I625" s="139"/>
      <c r="J625" s="135"/>
      <c r="M625" s="139"/>
      <c r="O625" s="132"/>
      <c r="P625" s="131"/>
      <c r="S625" s="145">
        <f>K625-'Order(Exhibit B)'!K625</f>
        <v>0</v>
      </c>
      <c r="T625" s="115">
        <f>M625-'Order(Exhibit B)'!M625</f>
        <v>0</v>
      </c>
    </row>
    <row r="626" spans="1:20">
      <c r="A626" s="133" t="s">
        <v>221</v>
      </c>
      <c r="C626" s="135"/>
      <c r="D626" s="135"/>
      <c r="E626" s="135"/>
      <c r="J626" s="135"/>
      <c r="S626" s="145">
        <f>K626-'Order(Exhibit B)'!K626</f>
        <v>0</v>
      </c>
      <c r="T626" s="115">
        <f>M626-'Order(Exhibit B)'!M626</f>
        <v>0</v>
      </c>
    </row>
    <row r="627" spans="1:20">
      <c r="A627" s="136" t="s">
        <v>173</v>
      </c>
      <c r="C627" s="135">
        <v>575</v>
      </c>
      <c r="D627" s="135">
        <v>795</v>
      </c>
      <c r="E627" s="135"/>
      <c r="F627" s="201"/>
      <c r="G627" s="138"/>
      <c r="H627" s="139"/>
      <c r="I627" s="139"/>
      <c r="J627" s="135"/>
      <c r="K627" s="201"/>
      <c r="L627" s="138"/>
      <c r="M627" s="139"/>
      <c r="S627" s="145">
        <f>K627-'Order(Exhibit B)'!K627</f>
        <v>0</v>
      </c>
      <c r="T627" s="115">
        <f>M627-'Order(Exhibit B)'!M627</f>
        <v>0</v>
      </c>
    </row>
    <row r="628" spans="1:20">
      <c r="A628" s="136" t="s">
        <v>174</v>
      </c>
      <c r="C628" s="135">
        <v>12316825.99443122</v>
      </c>
      <c r="D628" s="135">
        <f>D648</f>
        <v>13419473.87727958</v>
      </c>
      <c r="E628" s="135"/>
      <c r="F628" s="201"/>
      <c r="G628" s="138"/>
      <c r="H628" s="139"/>
      <c r="I628" s="139"/>
      <c r="J628" s="135"/>
      <c r="K628" s="201"/>
      <c r="L628" s="138"/>
      <c r="M628" s="139"/>
      <c r="O628" s="146" t="s">
        <v>101</v>
      </c>
      <c r="P628" s="147">
        <f>M648</f>
        <v>3925484</v>
      </c>
      <c r="S628" s="145">
        <f>K628-'Order(Exhibit B)'!K628</f>
        <v>0</v>
      </c>
      <c r="T628" s="115">
        <f>M628-'Order(Exhibit B)'!M628</f>
        <v>0</v>
      </c>
    </row>
    <row r="629" spans="1:20">
      <c r="A629" s="133" t="s">
        <v>222</v>
      </c>
      <c r="B629" s="219" t="s">
        <v>223</v>
      </c>
      <c r="C629" s="135"/>
      <c r="D629" s="135"/>
      <c r="E629" s="135"/>
      <c r="J629" s="135"/>
      <c r="O629" s="149" t="s">
        <v>103</v>
      </c>
      <c r="P629" s="150">
        <f>'Exhibit B(Rate Spread)'!M41*1000</f>
        <v>3925701.324276391</v>
      </c>
      <c r="S629" s="145">
        <f>K629-'Order(Exhibit B)'!K629</f>
        <v>0</v>
      </c>
      <c r="T629" s="115">
        <f>M629-'Order(Exhibit B)'!M629</f>
        <v>0</v>
      </c>
    </row>
    <row r="630" spans="1:20">
      <c r="A630" s="136" t="s">
        <v>224</v>
      </c>
      <c r="B630" s="220" t="s">
        <v>225</v>
      </c>
      <c r="C630" s="135">
        <v>29257.770727580355</v>
      </c>
      <c r="D630" s="135">
        <f>ROUND($C630*D$648/($C$648-$C$647),0)</f>
        <v>31877</v>
      </c>
      <c r="E630" s="135"/>
      <c r="F630" s="201">
        <v>11.82</v>
      </c>
      <c r="G630" s="138"/>
      <c r="H630" s="139">
        <f t="shared" ref="H630:I635" si="157">ROUND(C630*$F630,0)</f>
        <v>345827</v>
      </c>
      <c r="I630" s="139">
        <f t="shared" si="157"/>
        <v>376786</v>
      </c>
      <c r="J630" s="135"/>
      <c r="K630" s="201">
        <f t="shared" ref="K630:K635" si="158">ROUND(F630*(1+$P$632),2)</f>
        <v>11.91</v>
      </c>
      <c r="L630" s="138"/>
      <c r="M630" s="139">
        <f t="shared" ref="M630:M635" si="159">ROUND(D630*$K630,0)</f>
        <v>379655</v>
      </c>
      <c r="N630" s="114">
        <v>28</v>
      </c>
      <c r="O630" s="152" t="s">
        <v>105</v>
      </c>
      <c r="P630" s="153">
        <f>P629-P628</f>
        <v>217.32427639095113</v>
      </c>
      <c r="S630" s="145">
        <f>K630-'Order(Exhibit B)'!K630</f>
        <v>4.0000000000000924E-2</v>
      </c>
      <c r="T630" s="115">
        <f>M630-'Order(Exhibit B)'!M630</f>
        <v>1275</v>
      </c>
    </row>
    <row r="631" spans="1:20">
      <c r="A631" s="136" t="s">
        <v>226</v>
      </c>
      <c r="B631" s="220" t="s">
        <v>227</v>
      </c>
      <c r="C631" s="135">
        <v>184243.17346938769</v>
      </c>
      <c r="D631" s="135">
        <f t="shared" ref="D631:D646" si="160">ROUND($C631*D$648/($C$648-$C$647),0)</f>
        <v>200737</v>
      </c>
      <c r="E631" s="135"/>
      <c r="F631" s="201">
        <v>12.74</v>
      </c>
      <c r="G631" s="138"/>
      <c r="H631" s="139">
        <f t="shared" si="157"/>
        <v>2347258</v>
      </c>
      <c r="I631" s="139">
        <f t="shared" si="157"/>
        <v>2557389</v>
      </c>
      <c r="J631" s="135"/>
      <c r="K631" s="201">
        <f t="shared" si="158"/>
        <v>12.83</v>
      </c>
      <c r="L631" s="138"/>
      <c r="M631" s="139">
        <f t="shared" si="159"/>
        <v>2575456</v>
      </c>
      <c r="N631" s="114">
        <v>39</v>
      </c>
      <c r="O631" s="146" t="s">
        <v>108</v>
      </c>
      <c r="P631" s="192">
        <f>P628/I648-1</f>
        <v>7.2228862088801193E-3</v>
      </c>
      <c r="S631" s="145">
        <f>K631-'Order(Exhibit B)'!K631</f>
        <v>2.9999999999999361E-2</v>
      </c>
      <c r="T631" s="115">
        <f>M631-'Order(Exhibit B)'!M631</f>
        <v>6022</v>
      </c>
    </row>
    <row r="632" spans="1:20">
      <c r="A632" s="136" t="s">
        <v>228</v>
      </c>
      <c r="B632" s="220" t="s">
        <v>229</v>
      </c>
      <c r="C632" s="135">
        <v>18351.686884003058</v>
      </c>
      <c r="D632" s="135">
        <f t="shared" si="160"/>
        <v>19995</v>
      </c>
      <c r="E632" s="135"/>
      <c r="F632" s="201">
        <v>13.19</v>
      </c>
      <c r="G632" s="138"/>
      <c r="H632" s="139">
        <f t="shared" si="157"/>
        <v>242059</v>
      </c>
      <c r="I632" s="139">
        <f t="shared" si="157"/>
        <v>263734</v>
      </c>
      <c r="J632" s="135"/>
      <c r="K632" s="201">
        <f t="shared" si="158"/>
        <v>13.29</v>
      </c>
      <c r="L632" s="138"/>
      <c r="M632" s="139">
        <f t="shared" si="159"/>
        <v>265734</v>
      </c>
      <c r="N632" s="114">
        <v>59</v>
      </c>
      <c r="O632" s="167" t="s">
        <v>110</v>
      </c>
      <c r="P632" s="194">
        <f>P629/I648-1</f>
        <v>7.2786485008446977E-3</v>
      </c>
      <c r="S632" s="145">
        <f>K632-'Order(Exhibit B)'!K632</f>
        <v>3.9999999999999147E-2</v>
      </c>
      <c r="T632" s="115">
        <f>M632-'Order(Exhibit B)'!M632</f>
        <v>800</v>
      </c>
    </row>
    <row r="633" spans="1:20">
      <c r="A633" s="136" t="s">
        <v>230</v>
      </c>
      <c r="B633" s="220" t="s">
        <v>231</v>
      </c>
      <c r="C633" s="135">
        <v>414.56673960612699</v>
      </c>
      <c r="D633" s="135">
        <f t="shared" si="160"/>
        <v>452</v>
      </c>
      <c r="E633" s="135"/>
      <c r="F633" s="201">
        <v>13.71</v>
      </c>
      <c r="G633" s="138"/>
      <c r="H633" s="139">
        <f t="shared" si="157"/>
        <v>5684</v>
      </c>
      <c r="I633" s="139">
        <f t="shared" si="157"/>
        <v>6197</v>
      </c>
      <c r="J633" s="135"/>
      <c r="K633" s="201">
        <f t="shared" si="158"/>
        <v>13.81</v>
      </c>
      <c r="L633" s="138"/>
      <c r="M633" s="139">
        <f t="shared" si="159"/>
        <v>6242</v>
      </c>
      <c r="N633" s="114">
        <v>93</v>
      </c>
      <c r="S633" s="145">
        <f>K633-'Order(Exhibit B)'!K633</f>
        <v>4.0000000000000924E-2</v>
      </c>
      <c r="T633" s="115">
        <f>M633-'Order(Exhibit B)'!M633</f>
        <v>18</v>
      </c>
    </row>
    <row r="634" spans="1:20">
      <c r="A634" s="136" t="s">
        <v>232</v>
      </c>
      <c r="B634" s="220" t="s">
        <v>233</v>
      </c>
      <c r="C634" s="135">
        <v>18659.322602739714</v>
      </c>
      <c r="D634" s="135">
        <f t="shared" si="160"/>
        <v>20330</v>
      </c>
      <c r="E634" s="135"/>
      <c r="F634" s="201">
        <v>14.6</v>
      </c>
      <c r="G634" s="138"/>
      <c r="H634" s="139">
        <f t="shared" si="157"/>
        <v>272426</v>
      </c>
      <c r="I634" s="139">
        <f t="shared" si="157"/>
        <v>296818</v>
      </c>
      <c r="J634" s="135"/>
      <c r="K634" s="201">
        <f t="shared" si="158"/>
        <v>14.71</v>
      </c>
      <c r="L634" s="138"/>
      <c r="M634" s="139">
        <f t="shared" si="159"/>
        <v>299054</v>
      </c>
      <c r="N634" s="114">
        <v>96</v>
      </c>
      <c r="S634" s="145">
        <f>K634-'Order(Exhibit B)'!K634</f>
        <v>5.0000000000000711E-2</v>
      </c>
      <c r="T634" s="115">
        <f>M634-'Order(Exhibit B)'!M634</f>
        <v>1016</v>
      </c>
    </row>
    <row r="635" spans="1:20">
      <c r="A635" s="136" t="s">
        <v>234</v>
      </c>
      <c r="B635" s="220" t="s">
        <v>235</v>
      </c>
      <c r="C635" s="135">
        <v>6734.4518309859168</v>
      </c>
      <c r="D635" s="135">
        <f t="shared" si="160"/>
        <v>7337</v>
      </c>
      <c r="E635" s="135"/>
      <c r="F635" s="201">
        <v>17.75</v>
      </c>
      <c r="G635" s="138"/>
      <c r="H635" s="139">
        <f t="shared" si="157"/>
        <v>119537</v>
      </c>
      <c r="I635" s="139">
        <f t="shared" si="157"/>
        <v>130232</v>
      </c>
      <c r="J635" s="135"/>
      <c r="K635" s="201">
        <f t="shared" si="158"/>
        <v>17.88</v>
      </c>
      <c r="L635" s="138"/>
      <c r="M635" s="139">
        <f t="shared" si="159"/>
        <v>131186</v>
      </c>
      <c r="N635" s="114">
        <v>148</v>
      </c>
      <c r="S635" s="145">
        <f>K635-'Order(Exhibit B)'!K635</f>
        <v>5.0000000000000711E-2</v>
      </c>
      <c r="T635" s="115">
        <f>M635-'Order(Exhibit B)'!M635</f>
        <v>367</v>
      </c>
    </row>
    <row r="636" spans="1:20">
      <c r="A636" s="133" t="s">
        <v>236</v>
      </c>
      <c r="B636" s="220"/>
      <c r="C636" s="135"/>
      <c r="D636" s="135"/>
      <c r="E636" s="135"/>
      <c r="F636" s="201"/>
      <c r="G636" s="138"/>
      <c r="H636" s="139"/>
      <c r="I636" s="139"/>
      <c r="J636" s="135"/>
      <c r="K636" s="201"/>
      <c r="L636" s="138"/>
      <c r="M636" s="139"/>
      <c r="S636" s="145">
        <f>K636-'Order(Exhibit B)'!K636</f>
        <v>0</v>
      </c>
      <c r="T636" s="115">
        <f>M636-'Order(Exhibit B)'!M636</f>
        <v>0</v>
      </c>
    </row>
    <row r="637" spans="1:20">
      <c r="A637" s="136" t="s">
        <v>228</v>
      </c>
      <c r="B637" s="220" t="s">
        <v>237</v>
      </c>
      <c r="C637" s="135">
        <v>3182.0427645788341</v>
      </c>
      <c r="D637" s="135">
        <f t="shared" si="160"/>
        <v>3467</v>
      </c>
      <c r="E637" s="135"/>
      <c r="F637" s="201">
        <v>23.15</v>
      </c>
      <c r="G637" s="138"/>
      <c r="H637" s="139">
        <f>ROUND(C637*$F637,0)</f>
        <v>73664</v>
      </c>
      <c r="I637" s="139">
        <f>ROUND(D637*$F637,0)</f>
        <v>80261</v>
      </c>
      <c r="J637" s="135"/>
      <c r="K637" s="201">
        <f>ROUND(F637*(1+$P$632),2)</f>
        <v>23.32</v>
      </c>
      <c r="L637" s="138"/>
      <c r="M637" s="139">
        <f>ROUND(D637*$K637,0)</f>
        <v>80850</v>
      </c>
      <c r="N637" s="114">
        <v>39</v>
      </c>
      <c r="S637" s="145">
        <f>K637-'Order(Exhibit B)'!K637</f>
        <v>7.0000000000000284E-2</v>
      </c>
      <c r="T637" s="115">
        <f>M637-'Order(Exhibit B)'!M637</f>
        <v>242</v>
      </c>
    </row>
    <row r="638" spans="1:20">
      <c r="A638" s="133" t="s">
        <v>238</v>
      </c>
      <c r="B638" s="220"/>
      <c r="C638" s="135"/>
      <c r="D638" s="135"/>
      <c r="E638" s="135"/>
      <c r="F638" s="201"/>
      <c r="G638" s="138"/>
      <c r="H638" s="139"/>
      <c r="I638" s="139"/>
      <c r="J638" s="135"/>
      <c r="K638" s="201"/>
      <c r="L638" s="138"/>
      <c r="M638" s="139"/>
      <c r="S638" s="145">
        <f>K638-'Order(Exhibit B)'!K638</f>
        <v>0</v>
      </c>
      <c r="T638" s="115">
        <f>M638-'Order(Exhibit B)'!M638</f>
        <v>0</v>
      </c>
    </row>
    <row r="639" spans="1:20">
      <c r="A639" s="136" t="s">
        <v>224</v>
      </c>
      <c r="B639" s="220" t="s">
        <v>225</v>
      </c>
      <c r="C639" s="135">
        <v>1159.5</v>
      </c>
      <c r="D639" s="135">
        <f t="shared" si="160"/>
        <v>1263</v>
      </c>
      <c r="E639" s="135"/>
      <c r="F639" s="201">
        <v>6.04</v>
      </c>
      <c r="G639" s="138"/>
      <c r="H639" s="139">
        <f t="shared" ref="H639:I644" si="161">ROUND(C639*$F639,0)</f>
        <v>7003</v>
      </c>
      <c r="I639" s="139">
        <f t="shared" si="161"/>
        <v>7629</v>
      </c>
      <c r="J639" s="135"/>
      <c r="K639" s="201">
        <f t="shared" ref="K639:K644" si="162">ROUND(F639*(1+$P$632),2)</f>
        <v>6.08</v>
      </c>
      <c r="L639" s="138"/>
      <c r="M639" s="139">
        <f t="shared" ref="M639:M644" si="163">ROUND(D639*$K639,0)</f>
        <v>7679</v>
      </c>
      <c r="N639" s="114">
        <v>8</v>
      </c>
      <c r="S639" s="145">
        <f>K639-'Order(Exhibit B)'!K639</f>
        <v>9.9999999999997868E-3</v>
      </c>
      <c r="T639" s="115">
        <f>M639-'Order(Exhibit B)'!M639</f>
        <v>13</v>
      </c>
    </row>
    <row r="640" spans="1:20">
      <c r="A640" s="136" t="s">
        <v>226</v>
      </c>
      <c r="B640" s="220" t="s">
        <v>227</v>
      </c>
      <c r="C640" s="135">
        <v>16471.8554033486</v>
      </c>
      <c r="D640" s="135">
        <f t="shared" si="160"/>
        <v>17946</v>
      </c>
      <c r="E640" s="135"/>
      <c r="F640" s="201">
        <v>6.57</v>
      </c>
      <c r="G640" s="138"/>
      <c r="H640" s="139">
        <f t="shared" si="161"/>
        <v>108220</v>
      </c>
      <c r="I640" s="139">
        <f t="shared" si="161"/>
        <v>117905</v>
      </c>
      <c r="J640" s="135"/>
      <c r="K640" s="201">
        <f t="shared" si="162"/>
        <v>6.62</v>
      </c>
      <c r="L640" s="138"/>
      <c r="M640" s="139">
        <f t="shared" si="163"/>
        <v>118803</v>
      </c>
      <c r="N640" s="114">
        <v>15</v>
      </c>
      <c r="S640" s="145">
        <f>K640-'Order(Exhibit B)'!K640</f>
        <v>2.0000000000000462E-2</v>
      </c>
      <c r="T640" s="115">
        <f>M640-'Order(Exhibit B)'!M640</f>
        <v>359</v>
      </c>
    </row>
    <row r="641" spans="1:20">
      <c r="A641" s="136" t="s">
        <v>228</v>
      </c>
      <c r="B641" s="220" t="s">
        <v>229</v>
      </c>
      <c r="C641" s="135">
        <v>3007.4806866952799</v>
      </c>
      <c r="D641" s="135">
        <f t="shared" si="160"/>
        <v>3277</v>
      </c>
      <c r="E641" s="135"/>
      <c r="F641" s="201">
        <v>6.99</v>
      </c>
      <c r="G641" s="138"/>
      <c r="H641" s="139">
        <f t="shared" si="161"/>
        <v>21022</v>
      </c>
      <c r="I641" s="139">
        <f t="shared" si="161"/>
        <v>22906</v>
      </c>
      <c r="J641" s="135"/>
      <c r="K641" s="201">
        <f t="shared" si="162"/>
        <v>7.04</v>
      </c>
      <c r="L641" s="138"/>
      <c r="M641" s="139">
        <f t="shared" si="163"/>
        <v>23070</v>
      </c>
      <c r="N641" s="114">
        <v>25</v>
      </c>
      <c r="S641" s="145">
        <f>K641-'Order(Exhibit B)'!K641</f>
        <v>2.0000000000000462E-2</v>
      </c>
      <c r="T641" s="115">
        <f>M641-'Order(Exhibit B)'!M641</f>
        <v>65</v>
      </c>
    </row>
    <row r="642" spans="1:20">
      <c r="A642" s="136" t="s">
        <v>230</v>
      </c>
      <c r="B642" s="220" t="s">
        <v>231</v>
      </c>
      <c r="C642" s="135">
        <v>0</v>
      </c>
      <c r="D642" s="135">
        <f t="shared" si="160"/>
        <v>0</v>
      </c>
      <c r="E642" s="135"/>
      <c r="F642" s="201">
        <v>7.46</v>
      </c>
      <c r="G642" s="138"/>
      <c r="H642" s="139">
        <f t="shared" si="161"/>
        <v>0</v>
      </c>
      <c r="I642" s="139">
        <f t="shared" si="161"/>
        <v>0</v>
      </c>
      <c r="J642" s="135"/>
      <c r="K642" s="201">
        <f t="shared" si="162"/>
        <v>7.51</v>
      </c>
      <c r="L642" s="138"/>
      <c r="M642" s="139">
        <f t="shared" si="163"/>
        <v>0</v>
      </c>
      <c r="N642" s="114">
        <v>34</v>
      </c>
      <c r="S642" s="145">
        <f>K642-'Order(Exhibit B)'!K642</f>
        <v>1.9999999999999574E-2</v>
      </c>
      <c r="T642" s="115">
        <f>M642-'Order(Exhibit B)'!M642</f>
        <v>0</v>
      </c>
    </row>
    <row r="643" spans="1:20">
      <c r="A643" s="136" t="s">
        <v>232</v>
      </c>
      <c r="B643" s="220" t="s">
        <v>233</v>
      </c>
      <c r="C643" s="135">
        <v>2547.2662500000001</v>
      </c>
      <c r="D643" s="135">
        <f t="shared" si="160"/>
        <v>2775</v>
      </c>
      <c r="E643" s="135"/>
      <c r="F643" s="201">
        <v>8</v>
      </c>
      <c r="G643" s="138"/>
      <c r="H643" s="139">
        <f t="shared" si="161"/>
        <v>20378</v>
      </c>
      <c r="I643" s="139">
        <f t="shared" si="161"/>
        <v>22200</v>
      </c>
      <c r="J643" s="135"/>
      <c r="K643" s="201">
        <f t="shared" si="162"/>
        <v>8.06</v>
      </c>
      <c r="L643" s="138"/>
      <c r="M643" s="139">
        <f t="shared" si="163"/>
        <v>22367</v>
      </c>
      <c r="N643" s="114">
        <v>44</v>
      </c>
      <c r="S643" s="145">
        <f>K643-'Order(Exhibit B)'!K643</f>
        <v>3.0000000000001137E-2</v>
      </c>
      <c r="T643" s="115">
        <f>M643-'Order(Exhibit B)'!M643</f>
        <v>84</v>
      </c>
    </row>
    <row r="644" spans="1:20">
      <c r="A644" s="136" t="s">
        <v>234</v>
      </c>
      <c r="B644" s="220" t="s">
        <v>235</v>
      </c>
      <c r="C644" s="135">
        <v>1103.13271604938</v>
      </c>
      <c r="D644" s="135">
        <f t="shared" si="160"/>
        <v>1202</v>
      </c>
      <c r="E644" s="135"/>
      <c r="F644" s="201">
        <v>9.7200000000000006</v>
      </c>
      <c r="G644" s="138"/>
      <c r="H644" s="139">
        <f t="shared" si="161"/>
        <v>10722</v>
      </c>
      <c r="I644" s="139">
        <f t="shared" si="161"/>
        <v>11683</v>
      </c>
      <c r="J644" s="135"/>
      <c r="K644" s="201">
        <f t="shared" si="162"/>
        <v>9.7899999999999991</v>
      </c>
      <c r="L644" s="138"/>
      <c r="M644" s="139">
        <f t="shared" si="163"/>
        <v>11768</v>
      </c>
      <c r="N644" s="114">
        <v>57</v>
      </c>
      <c r="S644" s="145">
        <f>K644-'Order(Exhibit B)'!K644</f>
        <v>2.9999999999999361E-2</v>
      </c>
      <c r="T644" s="115">
        <f>M644-'Order(Exhibit B)'!M644</f>
        <v>36</v>
      </c>
    </row>
    <row r="645" spans="1:20">
      <c r="A645" s="133" t="s">
        <v>239</v>
      </c>
      <c r="B645" s="220"/>
      <c r="C645" s="135"/>
      <c r="D645" s="135"/>
      <c r="E645" s="135"/>
      <c r="F645" s="201"/>
      <c r="G645" s="138"/>
      <c r="H645" s="139"/>
      <c r="I645" s="139"/>
      <c r="J645" s="135"/>
      <c r="K645" s="201"/>
      <c r="L645" s="138"/>
      <c r="M645" s="139"/>
      <c r="S645" s="145">
        <f>K645-'Order(Exhibit B)'!K645</f>
        <v>0</v>
      </c>
      <c r="T645" s="115">
        <f>M645-'Order(Exhibit B)'!M645</f>
        <v>0</v>
      </c>
    </row>
    <row r="646" spans="1:20">
      <c r="A646" s="136" t="s">
        <v>228</v>
      </c>
      <c r="B646" s="220" t="s">
        <v>237</v>
      </c>
      <c r="C646" s="135">
        <v>597.67572463768101</v>
      </c>
      <c r="D646" s="135">
        <f t="shared" si="160"/>
        <v>651</v>
      </c>
      <c r="E646" s="135"/>
      <c r="F646" s="201">
        <v>5.52</v>
      </c>
      <c r="G646" s="138"/>
      <c r="H646" s="139">
        <f>ROUND(C646*$F646,0)</f>
        <v>3299</v>
      </c>
      <c r="I646" s="139">
        <f>ROUND(D646*$F646,0)</f>
        <v>3594</v>
      </c>
      <c r="J646" s="135"/>
      <c r="K646" s="201">
        <f>ROUND(F646*(1+$P$632),2)</f>
        <v>5.56</v>
      </c>
      <c r="L646" s="138"/>
      <c r="M646" s="139">
        <f>ROUND(D646*$K646,0)</f>
        <v>3620</v>
      </c>
      <c r="N646" s="114">
        <v>25</v>
      </c>
      <c r="S646" s="145">
        <f>K646-'Order(Exhibit B)'!K646</f>
        <v>1.9999999999999574E-2</v>
      </c>
      <c r="T646" s="115">
        <f>M646-'Order(Exhibit B)'!M646</f>
        <v>13</v>
      </c>
    </row>
    <row r="647" spans="1:20">
      <c r="A647" s="172" t="s">
        <v>125</v>
      </c>
      <c r="B647" s="173"/>
      <c r="C647" s="135">
        <v>16468</v>
      </c>
      <c r="D647" s="135"/>
      <c r="E647" s="135"/>
      <c r="F647" s="174"/>
      <c r="G647" s="13"/>
      <c r="H647" s="139">
        <v>4799</v>
      </c>
      <c r="I647" s="139"/>
      <c r="J647" s="135"/>
      <c r="K647" s="174"/>
      <c r="L647" s="13"/>
      <c r="M647" s="139"/>
      <c r="N647" s="164"/>
      <c r="O647" s="164"/>
      <c r="P647" s="164"/>
      <c r="S647" s="145">
        <f>K647-'Order(Exhibit B)'!K647</f>
        <v>0</v>
      </c>
      <c r="T647" s="115">
        <f>M647-'Order(Exhibit B)'!M647</f>
        <v>0</v>
      </c>
    </row>
    <row r="648" spans="1:20" ht="16.5" thickBot="1">
      <c r="A648" s="176" t="s">
        <v>178</v>
      </c>
      <c r="B648" s="221"/>
      <c r="C648" s="203">
        <f>C628+C647</f>
        <v>12333293.99443122</v>
      </c>
      <c r="D648" s="203">
        <v>13419473.87727958</v>
      </c>
      <c r="E648" s="203"/>
      <c r="F648" s="222"/>
      <c r="G648" s="222"/>
      <c r="H648" s="222">
        <f>SUM(H630:H647)</f>
        <v>3581898</v>
      </c>
      <c r="I648" s="222">
        <f>SUM(I630:I647)</f>
        <v>3897334</v>
      </c>
      <c r="J648" s="203"/>
      <c r="K648" s="222"/>
      <c r="L648" s="222"/>
      <c r="M648" s="222">
        <f>SUM(M630:M647)</f>
        <v>3925484</v>
      </c>
      <c r="O648" s="132" t="s">
        <v>108</v>
      </c>
      <c r="P648" s="131">
        <f>M648/I648-1</f>
        <v>7.2228862088801193E-3</v>
      </c>
      <c r="S648" s="145">
        <f>K648-'Order(Exhibit B)'!K648</f>
        <v>0</v>
      </c>
      <c r="T648" s="115">
        <f>M648-'Order(Exhibit B)'!M648</f>
        <v>10310</v>
      </c>
    </row>
    <row r="649" spans="1:20" ht="16.5" thickTop="1">
      <c r="C649" s="135"/>
      <c r="D649" s="135"/>
      <c r="E649" s="135"/>
      <c r="J649" s="135"/>
      <c r="S649" s="145">
        <f>K649-'Order(Exhibit B)'!K649</f>
        <v>0</v>
      </c>
      <c r="T649" s="115">
        <f>M649-'Order(Exhibit B)'!M649</f>
        <v>0</v>
      </c>
    </row>
    <row r="650" spans="1:20">
      <c r="A650" s="133" t="s">
        <v>240</v>
      </c>
      <c r="C650" s="135"/>
      <c r="D650" s="135"/>
      <c r="E650" s="135"/>
      <c r="J650" s="135"/>
      <c r="S650" s="145">
        <f>K650-'Order(Exhibit B)'!K650</f>
        <v>0</v>
      </c>
      <c r="T650" s="115">
        <f>M650-'Order(Exhibit B)'!M650</f>
        <v>0</v>
      </c>
    </row>
    <row r="651" spans="1:20">
      <c r="A651" s="223" t="s">
        <v>241</v>
      </c>
      <c r="C651" s="135"/>
      <c r="D651" s="135"/>
      <c r="E651" s="135"/>
      <c r="H651" s="139"/>
      <c r="I651" s="139"/>
      <c r="J651" s="135"/>
      <c r="M651" s="139"/>
      <c r="S651" s="145">
        <f>K651-'Order(Exhibit B)'!K651</f>
        <v>0</v>
      </c>
      <c r="T651" s="115">
        <f>M651-'Order(Exhibit B)'!M651</f>
        <v>0</v>
      </c>
    </row>
    <row r="652" spans="1:20">
      <c r="A652" s="224" t="s">
        <v>242</v>
      </c>
      <c r="C652" s="135"/>
      <c r="D652" s="135"/>
      <c r="E652" s="135"/>
      <c r="H652" s="139"/>
      <c r="I652" s="139"/>
      <c r="J652" s="135"/>
      <c r="M652" s="139"/>
      <c r="S652" s="145">
        <f>K652-'Order(Exhibit B)'!K652</f>
        <v>0</v>
      </c>
      <c r="T652" s="115">
        <f>M652-'Order(Exhibit B)'!M652</f>
        <v>0</v>
      </c>
    </row>
    <row r="653" spans="1:20">
      <c r="A653" s="136" t="s">
        <v>243</v>
      </c>
      <c r="C653" s="135">
        <v>23734.097744360901</v>
      </c>
      <c r="D653" s="135">
        <f>ROUND($C653*D$666/($C$666-$C$665),0)</f>
        <v>18153</v>
      </c>
      <c r="E653" s="135"/>
      <c r="F653" s="138">
        <v>1.33</v>
      </c>
      <c r="G653" s="138"/>
      <c r="H653" s="139">
        <f t="shared" ref="H653:I657" si="164">ROUND(C653*$F653,0)</f>
        <v>31566</v>
      </c>
      <c r="I653" s="139">
        <f t="shared" si="164"/>
        <v>24143</v>
      </c>
      <c r="J653" s="135"/>
      <c r="K653" s="138">
        <f>ROUND(F653*(1+$P$657),2)</f>
        <v>1.34</v>
      </c>
      <c r="L653" s="138"/>
      <c r="M653" s="139">
        <f>ROUND(D653*$K653,0)</f>
        <v>24325</v>
      </c>
      <c r="N653" s="114">
        <v>28</v>
      </c>
      <c r="O653" s="146" t="s">
        <v>101</v>
      </c>
      <c r="P653" s="147">
        <f>M725</f>
        <v>1495651</v>
      </c>
      <c r="S653" s="145">
        <f>K653-'Order(Exhibit B)'!K653</f>
        <v>0</v>
      </c>
      <c r="T653" s="115">
        <f>M653-'Order(Exhibit B)'!M653</f>
        <v>0</v>
      </c>
    </row>
    <row r="654" spans="1:20">
      <c r="A654" s="136" t="s">
        <v>244</v>
      </c>
      <c r="C654" s="135">
        <v>101519.480662983</v>
      </c>
      <c r="D654" s="135">
        <f t="shared" ref="D654:D664" si="165">ROUND($C654*D$666/($C$666-$C$665),0)</f>
        <v>77646</v>
      </c>
      <c r="E654" s="135"/>
      <c r="F654" s="138">
        <v>1.81</v>
      </c>
      <c r="G654" s="138"/>
      <c r="H654" s="139">
        <f t="shared" si="164"/>
        <v>183750</v>
      </c>
      <c r="I654" s="139">
        <f t="shared" si="164"/>
        <v>140539</v>
      </c>
      <c r="J654" s="135"/>
      <c r="K654" s="138">
        <f>ROUND(F654*(1+$P$657),2)</f>
        <v>1.82</v>
      </c>
      <c r="L654" s="138"/>
      <c r="M654" s="139">
        <f>ROUND(D654*$K654,0)</f>
        <v>141316</v>
      </c>
      <c r="N654" s="114">
        <v>39</v>
      </c>
      <c r="O654" s="149" t="s">
        <v>103</v>
      </c>
      <c r="P654" s="150">
        <f>'Exhibit B(Rate Spread)'!M42*1000</f>
        <v>1495649.6429972914</v>
      </c>
      <c r="S654" s="145">
        <f>K654-'Order(Exhibit B)'!K654</f>
        <v>0</v>
      </c>
      <c r="T654" s="115">
        <f>M654-'Order(Exhibit B)'!M654</f>
        <v>0</v>
      </c>
    </row>
    <row r="655" spans="1:20">
      <c r="A655" s="136" t="s">
        <v>245</v>
      </c>
      <c r="C655" s="135">
        <v>28166.2830188679</v>
      </c>
      <c r="D655" s="135">
        <f t="shared" si="165"/>
        <v>21543</v>
      </c>
      <c r="E655" s="135"/>
      <c r="F655" s="138">
        <v>2.65</v>
      </c>
      <c r="G655" s="138"/>
      <c r="H655" s="139">
        <f t="shared" si="164"/>
        <v>74641</v>
      </c>
      <c r="I655" s="139">
        <f t="shared" si="164"/>
        <v>57089</v>
      </c>
      <c r="J655" s="135"/>
      <c r="K655" s="138">
        <f>ROUND(F655*(1+$P$657),2)</f>
        <v>2.67</v>
      </c>
      <c r="L655" s="138"/>
      <c r="M655" s="139">
        <f>ROUND(D655*$K655,0)</f>
        <v>57520</v>
      </c>
      <c r="N655" s="114">
        <v>59</v>
      </c>
      <c r="O655" s="152" t="s">
        <v>105</v>
      </c>
      <c r="P655" s="153">
        <f>P654-P653</f>
        <v>-1.3570027085952461</v>
      </c>
      <c r="S655" s="145">
        <f>K655-'Order(Exhibit B)'!K655</f>
        <v>9.9999999999997868E-3</v>
      </c>
      <c r="T655" s="115">
        <f>M655-'Order(Exhibit B)'!M655</f>
        <v>216</v>
      </c>
    </row>
    <row r="656" spans="1:20">
      <c r="A656" s="136" t="s">
        <v>246</v>
      </c>
      <c r="C656" s="135">
        <v>20594.515856236801</v>
      </c>
      <c r="D656" s="135">
        <f t="shared" si="165"/>
        <v>15752</v>
      </c>
      <c r="E656" s="135"/>
      <c r="F656" s="138">
        <v>4.7300000000000004</v>
      </c>
      <c r="G656" s="138"/>
      <c r="H656" s="139">
        <f t="shared" si="164"/>
        <v>97412</v>
      </c>
      <c r="I656" s="139">
        <f t="shared" si="164"/>
        <v>74507</v>
      </c>
      <c r="J656" s="135"/>
      <c r="K656" s="138">
        <f>ROUND(F656*(1+$P$657),2)</f>
        <v>4.76</v>
      </c>
      <c r="L656" s="138"/>
      <c r="M656" s="139">
        <f>ROUND(D656*$K656,0)</f>
        <v>74980</v>
      </c>
      <c r="N656" s="114">
        <v>96</v>
      </c>
      <c r="O656" s="146" t="s">
        <v>108</v>
      </c>
      <c r="P656" s="192">
        <f>P653/I725-1</f>
        <v>7.2795624046195773E-3</v>
      </c>
      <c r="S656" s="145">
        <f>K656-'Order(Exhibit B)'!K656</f>
        <v>9.9999999999997868E-3</v>
      </c>
      <c r="T656" s="115">
        <f>M656-'Order(Exhibit B)'!M656</f>
        <v>158</v>
      </c>
    </row>
    <row r="657" spans="1:20">
      <c r="A657" s="136" t="s">
        <v>247</v>
      </c>
      <c r="C657" s="135">
        <v>13581.5873452545</v>
      </c>
      <c r="D657" s="135">
        <f t="shared" si="165"/>
        <v>10388</v>
      </c>
      <c r="E657" s="135"/>
      <c r="F657" s="138">
        <v>7.27</v>
      </c>
      <c r="G657" s="138"/>
      <c r="H657" s="139">
        <f t="shared" si="164"/>
        <v>98738</v>
      </c>
      <c r="I657" s="139">
        <f t="shared" si="164"/>
        <v>75521</v>
      </c>
      <c r="J657" s="135"/>
      <c r="K657" s="138">
        <f>ROUND(F657*(1+$P$657),2)</f>
        <v>7.32</v>
      </c>
      <c r="L657" s="138"/>
      <c r="M657" s="139">
        <f>ROUND(D657*$K657,0)</f>
        <v>76040</v>
      </c>
      <c r="N657" s="114">
        <v>148</v>
      </c>
      <c r="O657" s="167" t="s">
        <v>110</v>
      </c>
      <c r="P657" s="194">
        <f>P654/I725-1</f>
        <v>7.2786485008446977E-3</v>
      </c>
      <c r="S657" s="145">
        <f>K657-'Order(Exhibit B)'!K657</f>
        <v>2.0000000000000462E-2</v>
      </c>
      <c r="T657" s="115">
        <f>M657-'Order(Exhibit B)'!M657</f>
        <v>208</v>
      </c>
    </row>
    <row r="658" spans="1:20">
      <c r="A658" s="224" t="s">
        <v>248</v>
      </c>
      <c r="C658" s="135"/>
      <c r="D658" s="135"/>
      <c r="E658" s="135"/>
      <c r="F658" s="190"/>
      <c r="G658" s="190"/>
      <c r="H658" s="139"/>
      <c r="I658" s="139"/>
      <c r="J658" s="135"/>
      <c r="K658" s="190"/>
      <c r="L658" s="190"/>
      <c r="M658" s="139"/>
      <c r="S658" s="145">
        <f>K658-'Order(Exhibit B)'!K658</f>
        <v>0</v>
      </c>
      <c r="T658" s="115">
        <f>M658-'Order(Exhibit B)'!M658</f>
        <v>0</v>
      </c>
    </row>
    <row r="659" spans="1:20">
      <c r="A659" s="136" t="s">
        <v>249</v>
      </c>
      <c r="C659" s="135">
        <v>6569.7621621621602</v>
      </c>
      <c r="D659" s="135">
        <f t="shared" si="165"/>
        <v>5025</v>
      </c>
      <c r="E659" s="135"/>
      <c r="F659" s="138">
        <v>1.85</v>
      </c>
      <c r="G659" s="138"/>
      <c r="H659" s="139">
        <f t="shared" ref="H659:I662" si="166">ROUND(C659*$F659,0)</f>
        <v>12154</v>
      </c>
      <c r="I659" s="139">
        <f t="shared" si="166"/>
        <v>9296</v>
      </c>
      <c r="J659" s="135"/>
      <c r="K659" s="138">
        <f>ROUND(F659*(1+$P$657),2)</f>
        <v>1.86</v>
      </c>
      <c r="L659" s="138"/>
      <c r="M659" s="139">
        <f>ROUND(D659*$K659,0)</f>
        <v>9347</v>
      </c>
      <c r="N659" s="114">
        <v>39</v>
      </c>
      <c r="S659" s="145">
        <f>K659-'Order(Exhibit B)'!K659</f>
        <v>0</v>
      </c>
      <c r="T659" s="115">
        <f>M659-'Order(Exhibit B)'!M659</f>
        <v>0</v>
      </c>
    </row>
    <row r="660" spans="1:20">
      <c r="A660" s="136" t="s">
        <v>250</v>
      </c>
      <c r="C660" s="135">
        <v>11131.567901234601</v>
      </c>
      <c r="D660" s="135">
        <f t="shared" si="165"/>
        <v>8514</v>
      </c>
      <c r="E660" s="135"/>
      <c r="F660" s="138">
        <v>3.24</v>
      </c>
      <c r="G660" s="138"/>
      <c r="H660" s="139">
        <f t="shared" si="166"/>
        <v>36066</v>
      </c>
      <c r="I660" s="139">
        <f t="shared" si="166"/>
        <v>27585</v>
      </c>
      <c r="J660" s="135"/>
      <c r="K660" s="138">
        <f>ROUND(F660*(1+$P$657),2)</f>
        <v>3.26</v>
      </c>
      <c r="L660" s="138"/>
      <c r="M660" s="139">
        <f>ROUND(D660*$K660,0)</f>
        <v>27756</v>
      </c>
      <c r="N660" s="114">
        <v>69</v>
      </c>
      <c r="S660" s="145">
        <f>K660-'Order(Exhibit B)'!K660</f>
        <v>9.9999999999997868E-3</v>
      </c>
      <c r="T660" s="115">
        <f>M660-'Order(Exhibit B)'!M660</f>
        <v>85</v>
      </c>
    </row>
    <row r="661" spans="1:20">
      <c r="A661" s="136" t="s">
        <v>251</v>
      </c>
      <c r="C661" s="135">
        <v>13239.808035714301</v>
      </c>
      <c r="D661" s="135">
        <f t="shared" si="165"/>
        <v>10126</v>
      </c>
      <c r="E661" s="135"/>
      <c r="F661" s="138">
        <v>4.4800000000000004</v>
      </c>
      <c r="G661" s="138"/>
      <c r="H661" s="139">
        <f t="shared" si="166"/>
        <v>59314</v>
      </c>
      <c r="I661" s="139">
        <f t="shared" si="166"/>
        <v>45364</v>
      </c>
      <c r="J661" s="135"/>
      <c r="K661" s="138">
        <f>ROUND(F661*(1+$P$657),2)</f>
        <v>4.51</v>
      </c>
      <c r="L661" s="138"/>
      <c r="M661" s="139">
        <f>ROUND(D661*$K661,0)</f>
        <v>45668</v>
      </c>
      <c r="N661" s="114">
        <v>93</v>
      </c>
      <c r="S661" s="145">
        <f>K661-'Order(Exhibit B)'!K661</f>
        <v>9.9999999999997868E-3</v>
      </c>
      <c r="T661" s="115">
        <f>M661-'Order(Exhibit B)'!M661</f>
        <v>101</v>
      </c>
    </row>
    <row r="662" spans="1:20">
      <c r="A662" s="136" t="s">
        <v>252</v>
      </c>
      <c r="C662" s="135">
        <v>5912.6727785613502</v>
      </c>
      <c r="D662" s="135">
        <f t="shared" si="165"/>
        <v>4522</v>
      </c>
      <c r="E662" s="135"/>
      <c r="F662" s="138">
        <v>7.09</v>
      </c>
      <c r="G662" s="138"/>
      <c r="H662" s="139">
        <f t="shared" si="166"/>
        <v>41921</v>
      </c>
      <c r="I662" s="139">
        <f t="shared" si="166"/>
        <v>32061</v>
      </c>
      <c r="J662" s="135"/>
      <c r="K662" s="138">
        <f>ROUND(F662*(1+$P$657),2)</f>
        <v>7.14</v>
      </c>
      <c r="L662" s="138"/>
      <c r="M662" s="139">
        <f>ROUND(D662*$K662,0)</f>
        <v>32287</v>
      </c>
      <c r="N662" s="114">
        <v>145</v>
      </c>
      <c r="S662" s="145">
        <f>K662-'Order(Exhibit B)'!K662</f>
        <v>1.9999999999999574E-2</v>
      </c>
      <c r="T662" s="115">
        <f>M662-'Order(Exhibit B)'!M662</f>
        <v>90</v>
      </c>
    </row>
    <row r="663" spans="1:20">
      <c r="A663" s="224" t="s">
        <v>253</v>
      </c>
      <c r="C663" s="135">
        <v>22698274.211023536</v>
      </c>
      <c r="D663" s="135">
        <f t="shared" si="165"/>
        <v>17360581</v>
      </c>
      <c r="E663" s="135"/>
      <c r="F663" s="225">
        <v>4.5465</v>
      </c>
      <c r="G663" s="163" t="s">
        <v>112</v>
      </c>
      <c r="H663" s="139">
        <f>ROUND(C663*$F663/100,0)</f>
        <v>1031977</v>
      </c>
      <c r="I663" s="139">
        <f>ROUND(D663*$F663/100,0)</f>
        <v>789299</v>
      </c>
      <c r="J663" s="135"/>
      <c r="K663" s="225">
        <f>ROUND((P654-SUM(M653:M662,M698,M719))/D663*100,P8)</f>
        <v>4.5822000000000003</v>
      </c>
      <c r="L663" s="163" t="s">
        <v>112</v>
      </c>
      <c r="M663" s="139">
        <f>ROUND(D663*$K663/100,0)</f>
        <v>795497</v>
      </c>
      <c r="S663" s="145">
        <f>K663-'Order(Exhibit B)'!K663</f>
        <v>1.6799999999999926E-2</v>
      </c>
      <c r="T663" s="115">
        <f>M663-'Order(Exhibit B)'!M663</f>
        <v>2917</v>
      </c>
    </row>
    <row r="664" spans="1:20">
      <c r="A664" s="224" t="s">
        <v>254</v>
      </c>
      <c r="C664" s="226">
        <v>13385712.23983039</v>
      </c>
      <c r="D664" s="226">
        <f t="shared" si="165"/>
        <v>10237948</v>
      </c>
      <c r="E664" s="226"/>
      <c r="F664" s="227"/>
      <c r="G664" s="163"/>
      <c r="H664" s="228"/>
      <c r="I664" s="228"/>
      <c r="J664" s="226"/>
      <c r="K664" s="227"/>
      <c r="L664" s="163"/>
      <c r="M664" s="228"/>
      <c r="S664" s="145">
        <f>K664-'Order(Exhibit B)'!K664</f>
        <v>0</v>
      </c>
      <c r="T664" s="115">
        <f>M664-'Order(Exhibit B)'!M664</f>
        <v>0</v>
      </c>
    </row>
    <row r="665" spans="1:20">
      <c r="A665" s="172" t="s">
        <v>125</v>
      </c>
      <c r="B665" s="173"/>
      <c r="C665" s="135">
        <v>48246</v>
      </c>
      <c r="D665" s="135"/>
      <c r="E665" s="135"/>
      <c r="F665" s="174"/>
      <c r="G665" s="13"/>
      <c r="H665" s="139">
        <v>2237</v>
      </c>
      <c r="I665" s="139"/>
      <c r="J665" s="135"/>
      <c r="K665" s="174"/>
      <c r="L665" s="13"/>
      <c r="M665" s="139"/>
      <c r="N665" s="164"/>
      <c r="O665" s="164"/>
      <c r="P665" s="164"/>
      <c r="S665" s="145">
        <f>K665-'Order(Exhibit B)'!K665</f>
        <v>0</v>
      </c>
      <c r="T665" s="115">
        <f>M665-'Order(Exhibit B)'!M665</f>
        <v>0</v>
      </c>
    </row>
    <row r="666" spans="1:20">
      <c r="A666" s="224" t="s">
        <v>127</v>
      </c>
      <c r="C666" s="135">
        <f>SUM(C663:C665)</f>
        <v>36132232.450853929</v>
      </c>
      <c r="D666" s="135">
        <v>27598529.259610202</v>
      </c>
      <c r="E666" s="135"/>
      <c r="F666" s="225"/>
      <c r="G666" s="163"/>
      <c r="H666" s="139">
        <f>SUM(H653:H665)</f>
        <v>1669776</v>
      </c>
      <c r="I666" s="139">
        <f>SUM(I653:I665)</f>
        <v>1275404</v>
      </c>
      <c r="J666" s="135"/>
      <c r="K666" s="225"/>
      <c r="L666" s="163"/>
      <c r="M666" s="139">
        <f>SUM(M653:M665)</f>
        <v>1284736</v>
      </c>
      <c r="S666" s="145">
        <f>K666-'Order(Exhibit B)'!K666</f>
        <v>0</v>
      </c>
      <c r="T666" s="115">
        <f>M666-'Order(Exhibit B)'!M666</f>
        <v>3775</v>
      </c>
    </row>
    <row r="667" spans="1:20">
      <c r="A667" s="224" t="s">
        <v>11</v>
      </c>
      <c r="C667" s="226">
        <v>990</v>
      </c>
      <c r="D667" s="226">
        <v>1132</v>
      </c>
      <c r="E667" s="226"/>
      <c r="F667" s="227"/>
      <c r="G667" s="163"/>
      <c r="H667" s="228"/>
      <c r="I667" s="228"/>
      <c r="J667" s="226"/>
      <c r="K667" s="227"/>
      <c r="L667" s="163"/>
      <c r="M667" s="228"/>
      <c r="S667" s="145">
        <f>K667-'Order(Exhibit B)'!K667</f>
        <v>0</v>
      </c>
      <c r="T667" s="115">
        <f>M667-'Order(Exhibit B)'!M667</f>
        <v>0</v>
      </c>
    </row>
    <row r="668" spans="1:20">
      <c r="A668" s="229" t="s">
        <v>255</v>
      </c>
      <c r="C668" s="135"/>
      <c r="D668" s="135"/>
      <c r="E668" s="135"/>
      <c r="J668" s="135"/>
      <c r="S668" s="145">
        <f>K668-'Order(Exhibit B)'!K668</f>
        <v>0</v>
      </c>
      <c r="T668" s="115">
        <f>M668-'Order(Exhibit B)'!M668</f>
        <v>0</v>
      </c>
    </row>
    <row r="669" spans="1:20">
      <c r="A669" s="224" t="s">
        <v>256</v>
      </c>
      <c r="C669" s="135"/>
      <c r="D669" s="135"/>
      <c r="E669" s="135"/>
      <c r="H669" s="139"/>
      <c r="I669" s="139"/>
      <c r="J669" s="135"/>
      <c r="M669" s="139"/>
      <c r="S669" s="145">
        <f>K669-'Order(Exhibit B)'!K669</f>
        <v>0</v>
      </c>
      <c r="T669" s="115">
        <f>M669-'Order(Exhibit B)'!M669</f>
        <v>0</v>
      </c>
    </row>
    <row r="670" spans="1:20">
      <c r="A670" s="136" t="s">
        <v>257</v>
      </c>
      <c r="C670" s="135">
        <v>72</v>
      </c>
      <c r="D670" s="135">
        <f>ROUND($C670*D$698/($C$698-$C$697),0)</f>
        <v>74</v>
      </c>
      <c r="E670" s="135"/>
      <c r="F670" s="138">
        <v>6.5</v>
      </c>
      <c r="G670" s="138"/>
      <c r="H670" s="139">
        <f>ROUND(C670*$F670,0)</f>
        <v>468</v>
      </c>
      <c r="I670" s="139">
        <f>ROUND(D670*$F670,0)</f>
        <v>481</v>
      </c>
      <c r="J670" s="135"/>
      <c r="K670" s="138">
        <f>ROUND(F670*(1+$P$657),2)</f>
        <v>6.55</v>
      </c>
      <c r="L670" s="138"/>
      <c r="M670" s="139">
        <f>ROUND(D670*$K670,0)</f>
        <v>485</v>
      </c>
      <c r="N670" s="114">
        <v>64</v>
      </c>
      <c r="S670" s="145">
        <f>K670-'Order(Exhibit B)'!K670</f>
        <v>1.9999999999999574E-2</v>
      </c>
      <c r="T670" s="115">
        <f>M670-'Order(Exhibit B)'!M670</f>
        <v>2</v>
      </c>
    </row>
    <row r="671" spans="1:20">
      <c r="A671" s="136" t="s">
        <v>258</v>
      </c>
      <c r="C671" s="135">
        <v>36</v>
      </c>
      <c r="D671" s="135">
        <f>ROUND($C671*D$698/($C$698-$C$697),0)</f>
        <v>37</v>
      </c>
      <c r="E671" s="135"/>
      <c r="F671" s="138">
        <v>8.84</v>
      </c>
      <c r="G671" s="138"/>
      <c r="H671" s="139">
        <f>ROUND(C671*$F671,0)</f>
        <v>318</v>
      </c>
      <c r="I671" s="139">
        <f>ROUND(D671*$F671,0)</f>
        <v>327</v>
      </c>
      <c r="J671" s="135"/>
      <c r="K671" s="138">
        <f>ROUND(F671*(1+$P$657),2)</f>
        <v>8.9</v>
      </c>
      <c r="L671" s="138"/>
      <c r="M671" s="139">
        <f>ROUND(D671*$K671,0)</f>
        <v>329</v>
      </c>
      <c r="N671" s="114">
        <v>99</v>
      </c>
      <c r="S671" s="145">
        <f>K671-'Order(Exhibit B)'!K671</f>
        <v>1.9999999999999574E-2</v>
      </c>
      <c r="T671" s="115">
        <f>M671-'Order(Exhibit B)'!M671</f>
        <v>0</v>
      </c>
    </row>
    <row r="672" spans="1:20">
      <c r="A672" s="224" t="s">
        <v>259</v>
      </c>
      <c r="C672" s="135"/>
      <c r="D672" s="135"/>
      <c r="E672" s="135"/>
      <c r="F672" s="138"/>
      <c r="G672" s="138"/>
      <c r="J672" s="135"/>
      <c r="K672" s="138"/>
      <c r="L672" s="138"/>
      <c r="S672" s="145">
        <f>K672-'Order(Exhibit B)'!K672</f>
        <v>0</v>
      </c>
      <c r="T672" s="115">
        <f>M672-'Order(Exhibit B)'!M672</f>
        <v>0</v>
      </c>
    </row>
    <row r="673" spans="1:20">
      <c r="A673" s="136" t="s">
        <v>260</v>
      </c>
      <c r="C673" s="135">
        <v>576</v>
      </c>
      <c r="D673" s="135">
        <f>ROUND($C673*D$698/($C$698-$C$697),0)</f>
        <v>594</v>
      </c>
      <c r="E673" s="135"/>
      <c r="F673" s="190">
        <v>5.08</v>
      </c>
      <c r="G673" s="138"/>
      <c r="H673" s="139">
        <f t="shared" ref="H673:I675" si="167">ROUND(C673*$F673,0)</f>
        <v>2926</v>
      </c>
      <c r="I673" s="139">
        <f t="shared" si="167"/>
        <v>3018</v>
      </c>
      <c r="J673" s="135"/>
      <c r="K673" s="138">
        <f>ROUND(F673*(1+$P$657),2)</f>
        <v>5.12</v>
      </c>
      <c r="L673" s="138"/>
      <c r="M673" s="139">
        <f>ROUND(D673*$K673,0)</f>
        <v>3041</v>
      </c>
      <c r="N673" s="114">
        <v>69</v>
      </c>
      <c r="S673" s="145">
        <f>K673-'Order(Exhibit B)'!K673</f>
        <v>2.0000000000000462E-2</v>
      </c>
      <c r="T673" s="115">
        <f>M673-'Order(Exhibit B)'!M673</f>
        <v>12</v>
      </c>
    </row>
    <row r="674" spans="1:20">
      <c r="A674" s="136" t="s">
        <v>261</v>
      </c>
      <c r="C674" s="135">
        <v>84</v>
      </c>
      <c r="D674" s="135">
        <f>ROUND($C674*D$698/($C$698-$C$697),0)</f>
        <v>87</v>
      </c>
      <c r="E674" s="135"/>
      <c r="F674" s="138">
        <v>9.67</v>
      </c>
      <c r="G674" s="138"/>
      <c r="H674" s="139">
        <f t="shared" si="167"/>
        <v>812</v>
      </c>
      <c r="I674" s="139">
        <f t="shared" si="167"/>
        <v>841</v>
      </c>
      <c r="J674" s="135"/>
      <c r="K674" s="138">
        <f>ROUND(F674*(1+$P$657),2)</f>
        <v>9.74</v>
      </c>
      <c r="L674" s="138"/>
      <c r="M674" s="139">
        <f>ROUND(D674*$K674,0)</f>
        <v>847</v>
      </c>
      <c r="N674" s="114">
        <v>145</v>
      </c>
      <c r="S674" s="145">
        <f>K674-'Order(Exhibit B)'!K674</f>
        <v>2.9999999999999361E-2</v>
      </c>
      <c r="T674" s="115">
        <f>M674-'Order(Exhibit B)'!M674</f>
        <v>2</v>
      </c>
    </row>
    <row r="675" spans="1:20">
      <c r="A675" s="136" t="s">
        <v>262</v>
      </c>
      <c r="C675" s="135">
        <v>0</v>
      </c>
      <c r="D675" s="135">
        <f>ROUND($C675*D$698/($C$698-$C$697),0)</f>
        <v>0</v>
      </c>
      <c r="E675" s="135"/>
      <c r="F675" s="138">
        <v>20.59</v>
      </c>
      <c r="G675" s="138"/>
      <c r="H675" s="139">
        <f t="shared" si="167"/>
        <v>0</v>
      </c>
      <c r="I675" s="139">
        <f t="shared" si="167"/>
        <v>0</v>
      </c>
      <c r="J675" s="135"/>
      <c r="K675" s="138">
        <f>ROUND(F675*(1+$P$657),2)</f>
        <v>20.74</v>
      </c>
      <c r="L675" s="138"/>
      <c r="M675" s="139">
        <f>ROUND(D675*$K675,0)</f>
        <v>0</v>
      </c>
      <c r="N675" s="114">
        <v>352</v>
      </c>
      <c r="S675" s="145">
        <f>K675-'Order(Exhibit B)'!K675</f>
        <v>5.9999999999998721E-2</v>
      </c>
      <c r="T675" s="115">
        <f>M675-'Order(Exhibit B)'!M675</f>
        <v>0</v>
      </c>
    </row>
    <row r="676" spans="1:20">
      <c r="A676" s="224" t="s">
        <v>263</v>
      </c>
      <c r="C676" s="135"/>
      <c r="D676" s="135"/>
      <c r="E676" s="135"/>
      <c r="F676" s="138"/>
      <c r="G676" s="138"/>
      <c r="H676" s="139"/>
      <c r="I676" s="139"/>
      <c r="J676" s="135"/>
      <c r="K676" s="138"/>
      <c r="L676" s="138"/>
      <c r="M676" s="139"/>
      <c r="S676" s="145">
        <f>K676-'Order(Exhibit B)'!K676</f>
        <v>0</v>
      </c>
      <c r="T676" s="115">
        <f>M676-'Order(Exhibit B)'!M676</f>
        <v>0</v>
      </c>
    </row>
    <row r="677" spans="1:20">
      <c r="A677" s="136" t="s">
        <v>243</v>
      </c>
      <c r="C677" s="135">
        <v>660</v>
      </c>
      <c r="D677" s="135">
        <f t="shared" ref="D677:D686" si="168">ROUND($C677*D$698/($C$698-$C$697),0)</f>
        <v>680</v>
      </c>
      <c r="E677" s="135"/>
      <c r="F677" s="138">
        <v>2.96</v>
      </c>
      <c r="G677" s="138"/>
      <c r="H677" s="139">
        <f t="shared" ref="H677:I686" si="169">ROUND(C677*$F677,0)</f>
        <v>1954</v>
      </c>
      <c r="I677" s="139">
        <f t="shared" si="169"/>
        <v>2013</v>
      </c>
      <c r="J677" s="135"/>
      <c r="K677" s="138">
        <f t="shared" ref="K677:K686" si="170">ROUND(F677*(1+$P$657),2)</f>
        <v>2.98</v>
      </c>
      <c r="L677" s="138"/>
      <c r="M677" s="139">
        <f t="shared" ref="M677:M686" si="171">ROUND(D677*$K677,0)</f>
        <v>2026</v>
      </c>
      <c r="N677" s="114">
        <v>28</v>
      </c>
      <c r="S677" s="145">
        <f>K677-'Order(Exhibit B)'!K677</f>
        <v>9.9999999999997868E-3</v>
      </c>
      <c r="T677" s="115">
        <f>M677-'Order(Exhibit B)'!M677</f>
        <v>6</v>
      </c>
    </row>
    <row r="678" spans="1:20">
      <c r="A678" s="136" t="s">
        <v>244</v>
      </c>
      <c r="C678" s="135">
        <v>2555.91025641026</v>
      </c>
      <c r="D678" s="135">
        <f t="shared" si="168"/>
        <v>2635</v>
      </c>
      <c r="E678" s="135"/>
      <c r="F678" s="138">
        <v>3.9</v>
      </c>
      <c r="G678" s="138"/>
      <c r="H678" s="139">
        <f t="shared" si="169"/>
        <v>9968</v>
      </c>
      <c r="I678" s="139">
        <f t="shared" si="169"/>
        <v>10277</v>
      </c>
      <c r="J678" s="135"/>
      <c r="K678" s="138">
        <f t="shared" si="170"/>
        <v>3.93</v>
      </c>
      <c r="L678" s="138"/>
      <c r="M678" s="139">
        <f t="shared" si="171"/>
        <v>10356</v>
      </c>
      <c r="N678" s="114">
        <v>39</v>
      </c>
      <c r="S678" s="145">
        <f>K678-'Order(Exhibit B)'!K678</f>
        <v>1.0000000000000231E-2</v>
      </c>
      <c r="T678" s="115">
        <f>M678-'Order(Exhibit B)'!M678</f>
        <v>27</v>
      </c>
    </row>
    <row r="679" spans="1:20">
      <c r="A679" s="136" t="s">
        <v>264</v>
      </c>
      <c r="C679" s="135">
        <v>5448.1762376237602</v>
      </c>
      <c r="D679" s="135">
        <f t="shared" si="168"/>
        <v>5617</v>
      </c>
      <c r="E679" s="135"/>
      <c r="F679" s="138">
        <v>5.05</v>
      </c>
      <c r="G679" s="138"/>
      <c r="H679" s="139">
        <f t="shared" si="169"/>
        <v>27513</v>
      </c>
      <c r="I679" s="139">
        <f t="shared" si="169"/>
        <v>28366</v>
      </c>
      <c r="J679" s="135"/>
      <c r="K679" s="138">
        <f t="shared" si="170"/>
        <v>5.09</v>
      </c>
      <c r="L679" s="138"/>
      <c r="M679" s="139">
        <f t="shared" si="171"/>
        <v>28591</v>
      </c>
      <c r="N679" s="114">
        <v>39</v>
      </c>
      <c r="S679" s="145">
        <f>K679-'Order(Exhibit B)'!K679</f>
        <v>1.9999999999999574E-2</v>
      </c>
      <c r="T679" s="115">
        <f>M679-'Order(Exhibit B)'!M679</f>
        <v>113</v>
      </c>
    </row>
    <row r="680" spans="1:20">
      <c r="A680" s="136" t="s">
        <v>245</v>
      </c>
      <c r="C680" s="135">
        <v>302.98097251585602</v>
      </c>
      <c r="D680" s="135">
        <f t="shared" si="168"/>
        <v>312</v>
      </c>
      <c r="E680" s="135"/>
      <c r="F680" s="138">
        <v>4.7300000000000004</v>
      </c>
      <c r="G680" s="138"/>
      <c r="H680" s="139">
        <f t="shared" si="169"/>
        <v>1433</v>
      </c>
      <c r="I680" s="139">
        <f t="shared" si="169"/>
        <v>1476</v>
      </c>
      <c r="J680" s="135"/>
      <c r="K680" s="138">
        <f t="shared" si="170"/>
        <v>4.76</v>
      </c>
      <c r="L680" s="138"/>
      <c r="M680" s="139">
        <f t="shared" si="171"/>
        <v>1485</v>
      </c>
      <c r="N680" s="114">
        <v>59</v>
      </c>
      <c r="S680" s="145">
        <f>K680-'Order(Exhibit B)'!K680</f>
        <v>9.9999999999997868E-3</v>
      </c>
      <c r="T680" s="115">
        <f>M680-'Order(Exhibit B)'!M680</f>
        <v>3</v>
      </c>
    </row>
    <row r="681" spans="1:20">
      <c r="A681" s="136" t="s">
        <v>265</v>
      </c>
      <c r="C681" s="135">
        <v>300</v>
      </c>
      <c r="D681" s="135">
        <f t="shared" si="168"/>
        <v>309</v>
      </c>
      <c r="E681" s="135"/>
      <c r="F681" s="138">
        <v>6</v>
      </c>
      <c r="G681" s="138"/>
      <c r="H681" s="139">
        <f t="shared" si="169"/>
        <v>1800</v>
      </c>
      <c r="I681" s="139">
        <f t="shared" si="169"/>
        <v>1854</v>
      </c>
      <c r="J681" s="135"/>
      <c r="K681" s="138">
        <f t="shared" si="170"/>
        <v>6.04</v>
      </c>
      <c r="L681" s="138"/>
      <c r="M681" s="139">
        <f t="shared" si="171"/>
        <v>1866</v>
      </c>
      <c r="N681" s="114">
        <v>59</v>
      </c>
      <c r="S681" s="145">
        <f>K681-'Order(Exhibit B)'!K681</f>
        <v>9.9999999999997868E-3</v>
      </c>
      <c r="T681" s="115">
        <f>M681-'Order(Exhibit B)'!M681</f>
        <v>3</v>
      </c>
    </row>
    <row r="682" spans="1:20">
      <c r="A682" s="136" t="s">
        <v>266</v>
      </c>
      <c r="C682" s="135">
        <v>0</v>
      </c>
      <c r="D682" s="135">
        <f t="shared" si="168"/>
        <v>0</v>
      </c>
      <c r="E682" s="135"/>
      <c r="F682" s="138">
        <v>5.99</v>
      </c>
      <c r="G682" s="138"/>
      <c r="H682" s="139">
        <f t="shared" si="169"/>
        <v>0</v>
      </c>
      <c r="I682" s="139">
        <f t="shared" si="169"/>
        <v>0</v>
      </c>
      <c r="J682" s="135"/>
      <c r="K682" s="138">
        <f t="shared" si="170"/>
        <v>6.03</v>
      </c>
      <c r="L682" s="138"/>
      <c r="M682" s="139">
        <f t="shared" si="171"/>
        <v>0</v>
      </c>
      <c r="N682" s="114">
        <v>76</v>
      </c>
      <c r="S682" s="145">
        <f>K682-'Order(Exhibit B)'!K682</f>
        <v>1.0000000000000675E-2</v>
      </c>
      <c r="T682" s="115">
        <f>M682-'Order(Exhibit B)'!M682</f>
        <v>0</v>
      </c>
    </row>
    <row r="683" spans="1:20">
      <c r="A683" s="136" t="s">
        <v>246</v>
      </c>
      <c r="C683" s="135">
        <v>893.58620689655197</v>
      </c>
      <c r="D683" s="135">
        <f t="shared" si="168"/>
        <v>921</v>
      </c>
      <c r="E683" s="135"/>
      <c r="F683" s="138">
        <v>6.96</v>
      </c>
      <c r="G683" s="138"/>
      <c r="H683" s="139">
        <f t="shared" si="169"/>
        <v>6219</v>
      </c>
      <c r="I683" s="139">
        <f t="shared" si="169"/>
        <v>6410</v>
      </c>
      <c r="J683" s="135"/>
      <c r="K683" s="138">
        <f t="shared" si="170"/>
        <v>7.01</v>
      </c>
      <c r="L683" s="138"/>
      <c r="M683" s="139">
        <f t="shared" si="171"/>
        <v>6456</v>
      </c>
      <c r="N683" s="114">
        <v>96</v>
      </c>
      <c r="S683" s="145">
        <f>K683-'Order(Exhibit B)'!K683</f>
        <v>1.9999999999999574E-2</v>
      </c>
      <c r="T683" s="115">
        <f>M683-'Order(Exhibit B)'!M683</f>
        <v>18</v>
      </c>
    </row>
    <row r="684" spans="1:20">
      <c r="A684" s="136" t="s">
        <v>267</v>
      </c>
      <c r="C684" s="135">
        <v>112.564161849711</v>
      </c>
      <c r="D684" s="135">
        <f t="shared" si="168"/>
        <v>116</v>
      </c>
      <c r="E684" s="135"/>
      <c r="F684" s="138">
        <v>8.65</v>
      </c>
      <c r="G684" s="138"/>
      <c r="H684" s="139">
        <f t="shared" si="169"/>
        <v>974</v>
      </c>
      <c r="I684" s="139">
        <f t="shared" si="169"/>
        <v>1003</v>
      </c>
      <c r="J684" s="135"/>
      <c r="K684" s="138">
        <f t="shared" si="170"/>
        <v>8.7100000000000009</v>
      </c>
      <c r="L684" s="138"/>
      <c r="M684" s="139">
        <f t="shared" si="171"/>
        <v>1010</v>
      </c>
      <c r="N684" s="114">
        <v>96</v>
      </c>
      <c r="S684" s="145">
        <f>K684-'Order(Exhibit B)'!K684</f>
        <v>2.000000000000135E-2</v>
      </c>
      <c r="T684" s="115">
        <f>M684-'Order(Exhibit B)'!M684</f>
        <v>2</v>
      </c>
    </row>
    <row r="685" spans="1:20">
      <c r="A685" s="136" t="s">
        <v>247</v>
      </c>
      <c r="C685" s="135">
        <v>4839.6108374384203</v>
      </c>
      <c r="D685" s="135">
        <f t="shared" si="168"/>
        <v>4989</v>
      </c>
      <c r="E685" s="135"/>
      <c r="F685" s="138">
        <v>10.15</v>
      </c>
      <c r="G685" s="138"/>
      <c r="H685" s="139">
        <f t="shared" si="169"/>
        <v>49122</v>
      </c>
      <c r="I685" s="139">
        <f t="shared" si="169"/>
        <v>50638</v>
      </c>
      <c r="J685" s="135"/>
      <c r="K685" s="138">
        <f t="shared" si="170"/>
        <v>10.220000000000001</v>
      </c>
      <c r="L685" s="138"/>
      <c r="M685" s="139">
        <f t="shared" si="171"/>
        <v>50988</v>
      </c>
      <c r="N685" s="114">
        <v>148</v>
      </c>
      <c r="S685" s="145">
        <f>K685-'Order(Exhibit B)'!K685</f>
        <v>3.0000000000001137E-2</v>
      </c>
      <c r="T685" s="115">
        <f>M685-'Order(Exhibit B)'!M685</f>
        <v>150</v>
      </c>
    </row>
    <row r="686" spans="1:20">
      <c r="A686" s="136" t="s">
        <v>268</v>
      </c>
      <c r="C686" s="135">
        <v>72</v>
      </c>
      <c r="D686" s="135">
        <f t="shared" si="168"/>
        <v>74</v>
      </c>
      <c r="E686" s="135"/>
      <c r="F686" s="138">
        <v>11.29</v>
      </c>
      <c r="G686" s="138"/>
      <c r="H686" s="139">
        <f t="shared" si="169"/>
        <v>813</v>
      </c>
      <c r="I686" s="139">
        <f t="shared" si="169"/>
        <v>835</v>
      </c>
      <c r="J686" s="135"/>
      <c r="K686" s="138">
        <f t="shared" si="170"/>
        <v>11.37</v>
      </c>
      <c r="L686" s="138"/>
      <c r="M686" s="139">
        <f t="shared" si="171"/>
        <v>841</v>
      </c>
      <c r="N686" s="114">
        <v>148</v>
      </c>
      <c r="S686" s="145">
        <f>K686-'Order(Exhibit B)'!K686</f>
        <v>2.9999999999999361E-2</v>
      </c>
      <c r="T686" s="115">
        <f>M686-'Order(Exhibit B)'!M686</f>
        <v>2</v>
      </c>
    </row>
    <row r="687" spans="1:20">
      <c r="A687" s="224" t="s">
        <v>248</v>
      </c>
      <c r="C687" s="135"/>
      <c r="D687" s="135"/>
      <c r="E687" s="135"/>
      <c r="F687" s="138"/>
      <c r="G687" s="138"/>
      <c r="J687" s="135"/>
      <c r="K687" s="138"/>
      <c r="L687" s="138"/>
      <c r="S687" s="145">
        <f>K687-'Order(Exhibit B)'!K687</f>
        <v>0</v>
      </c>
      <c r="T687" s="115">
        <f>M687-'Order(Exhibit B)'!M687</f>
        <v>0</v>
      </c>
    </row>
    <row r="688" spans="1:20">
      <c r="A688" s="136" t="s">
        <v>269</v>
      </c>
      <c r="C688" s="135">
        <v>340</v>
      </c>
      <c r="D688" s="135">
        <f t="shared" ref="D688:D694" si="172">ROUND($C688*D$698/($C$698-$C$697),0)</f>
        <v>351</v>
      </c>
      <c r="E688" s="135"/>
      <c r="F688" s="138">
        <v>6.67</v>
      </c>
      <c r="G688" s="138"/>
      <c r="H688" s="139">
        <f t="shared" ref="H688:I694" si="173">ROUND(C688*$F688,0)</f>
        <v>2268</v>
      </c>
      <c r="I688" s="139">
        <f t="shared" si="173"/>
        <v>2341</v>
      </c>
      <c r="J688" s="135"/>
      <c r="K688" s="138">
        <f t="shared" ref="K688:K694" si="174">ROUND(F688*(1+$P$657),2)</f>
        <v>6.72</v>
      </c>
      <c r="L688" s="138"/>
      <c r="M688" s="139">
        <f t="shared" ref="M688:M694" si="175">ROUND(D688*$K688,0)</f>
        <v>2359</v>
      </c>
      <c r="N688" s="114">
        <v>39</v>
      </c>
      <c r="S688" s="145">
        <f>K688-'Order(Exhibit B)'!K688</f>
        <v>1.9999999999999574E-2</v>
      </c>
      <c r="T688" s="115">
        <f>M688-'Order(Exhibit B)'!M688</f>
        <v>7</v>
      </c>
    </row>
    <row r="689" spans="1:20">
      <c r="A689" s="136" t="s">
        <v>250</v>
      </c>
      <c r="C689" s="135">
        <v>312.20426829268303</v>
      </c>
      <c r="D689" s="135">
        <f t="shared" si="172"/>
        <v>322</v>
      </c>
      <c r="E689" s="135"/>
      <c r="F689" s="138">
        <v>9.84</v>
      </c>
      <c r="G689" s="138"/>
      <c r="H689" s="139">
        <f t="shared" si="173"/>
        <v>3072</v>
      </c>
      <c r="I689" s="139">
        <f t="shared" si="173"/>
        <v>3168</v>
      </c>
      <c r="J689" s="135"/>
      <c r="K689" s="138">
        <f t="shared" si="174"/>
        <v>9.91</v>
      </c>
      <c r="L689" s="138"/>
      <c r="M689" s="139">
        <f t="shared" si="175"/>
        <v>3191</v>
      </c>
      <c r="N689" s="114">
        <v>69</v>
      </c>
      <c r="S689" s="145">
        <f>K689-'Order(Exhibit B)'!K689</f>
        <v>2.9999999999999361E-2</v>
      </c>
      <c r="T689" s="115">
        <f>M689-'Order(Exhibit B)'!M689</f>
        <v>10</v>
      </c>
    </row>
    <row r="690" spans="1:20">
      <c r="A690" s="136" t="s">
        <v>270</v>
      </c>
      <c r="C690" s="135">
        <v>0</v>
      </c>
      <c r="D690" s="135">
        <f t="shared" si="172"/>
        <v>0</v>
      </c>
      <c r="E690" s="135"/>
      <c r="F690" s="138">
        <v>8.0399999999999991</v>
      </c>
      <c r="G690" s="138"/>
      <c r="H690" s="139">
        <f t="shared" si="173"/>
        <v>0</v>
      </c>
      <c r="I690" s="139">
        <f t="shared" si="173"/>
        <v>0</v>
      </c>
      <c r="J690" s="135"/>
      <c r="K690" s="138">
        <f t="shared" si="174"/>
        <v>8.1</v>
      </c>
      <c r="L690" s="138"/>
      <c r="M690" s="139">
        <f t="shared" si="175"/>
        <v>0</v>
      </c>
      <c r="N690" s="114">
        <v>69</v>
      </c>
      <c r="S690" s="145">
        <f>K690-'Order(Exhibit B)'!K690</f>
        <v>2.9999999999999361E-2</v>
      </c>
      <c r="T690" s="115">
        <f>M690-'Order(Exhibit B)'!M690</f>
        <v>0</v>
      </c>
    </row>
    <row r="691" spans="1:20">
      <c r="A691" s="136" t="s">
        <v>251</v>
      </c>
      <c r="C691" s="135">
        <v>200.913480885312</v>
      </c>
      <c r="D691" s="135">
        <f t="shared" si="172"/>
        <v>207</v>
      </c>
      <c r="E691" s="135"/>
      <c r="F691" s="138">
        <v>9.94</v>
      </c>
      <c r="G691" s="138"/>
      <c r="H691" s="139">
        <f t="shared" si="173"/>
        <v>1997</v>
      </c>
      <c r="I691" s="139">
        <f t="shared" si="173"/>
        <v>2058</v>
      </c>
      <c r="J691" s="135"/>
      <c r="K691" s="138">
        <f t="shared" si="174"/>
        <v>10.01</v>
      </c>
      <c r="L691" s="138"/>
      <c r="M691" s="139">
        <f t="shared" si="175"/>
        <v>2072</v>
      </c>
      <c r="N691" s="114">
        <v>93</v>
      </c>
      <c r="S691" s="145">
        <f>K691-'Order(Exhibit B)'!K691</f>
        <v>2.9999999999999361E-2</v>
      </c>
      <c r="T691" s="115">
        <f>M691-'Order(Exhibit B)'!M691</f>
        <v>6</v>
      </c>
    </row>
    <row r="692" spans="1:20">
      <c r="A692" s="136" t="s">
        <v>271</v>
      </c>
      <c r="C692" s="135">
        <v>1134</v>
      </c>
      <c r="D692" s="135">
        <f t="shared" si="172"/>
        <v>1169</v>
      </c>
      <c r="E692" s="135"/>
      <c r="F692" s="138">
        <v>10.25</v>
      </c>
      <c r="G692" s="138"/>
      <c r="H692" s="139">
        <f t="shared" si="173"/>
        <v>11624</v>
      </c>
      <c r="I692" s="139">
        <f t="shared" si="173"/>
        <v>11982</v>
      </c>
      <c r="J692" s="135"/>
      <c r="K692" s="138">
        <f t="shared" si="174"/>
        <v>10.32</v>
      </c>
      <c r="L692" s="138"/>
      <c r="M692" s="139">
        <f t="shared" si="175"/>
        <v>12064</v>
      </c>
      <c r="N692" s="114">
        <v>93</v>
      </c>
      <c r="S692" s="145">
        <f>K692-'Order(Exhibit B)'!K692</f>
        <v>3.0000000000001137E-2</v>
      </c>
      <c r="T692" s="115">
        <f>M692-'Order(Exhibit B)'!M692</f>
        <v>35</v>
      </c>
    </row>
    <row r="693" spans="1:20">
      <c r="A693" s="136" t="s">
        <v>252</v>
      </c>
      <c r="C693" s="135">
        <v>185.11342155009501</v>
      </c>
      <c r="D693" s="135">
        <f t="shared" si="172"/>
        <v>191</v>
      </c>
      <c r="E693" s="135"/>
      <c r="F693" s="138">
        <v>10.58</v>
      </c>
      <c r="G693" s="138"/>
      <c r="H693" s="139">
        <f t="shared" si="173"/>
        <v>1959</v>
      </c>
      <c r="I693" s="139">
        <f t="shared" si="173"/>
        <v>2021</v>
      </c>
      <c r="J693" s="135"/>
      <c r="K693" s="138">
        <f t="shared" si="174"/>
        <v>10.66</v>
      </c>
      <c r="L693" s="138"/>
      <c r="M693" s="139">
        <f t="shared" si="175"/>
        <v>2036</v>
      </c>
      <c r="N693" s="114">
        <v>145</v>
      </c>
      <c r="S693" s="145">
        <f>K693-'Order(Exhibit B)'!K693</f>
        <v>2.9999999999999361E-2</v>
      </c>
      <c r="T693" s="115">
        <f>M693-'Order(Exhibit B)'!M693</f>
        <v>6</v>
      </c>
    </row>
    <row r="694" spans="1:20">
      <c r="A694" s="136" t="s">
        <v>272</v>
      </c>
      <c r="C694" s="135">
        <v>431.75720524017498</v>
      </c>
      <c r="D694" s="135">
        <f t="shared" si="172"/>
        <v>445</v>
      </c>
      <c r="E694" s="135"/>
      <c r="F694" s="138">
        <v>11.45</v>
      </c>
      <c r="G694" s="138"/>
      <c r="H694" s="139">
        <f t="shared" si="173"/>
        <v>4944</v>
      </c>
      <c r="I694" s="139">
        <f t="shared" si="173"/>
        <v>5095</v>
      </c>
      <c r="J694" s="135"/>
      <c r="K694" s="138">
        <f t="shared" si="174"/>
        <v>11.53</v>
      </c>
      <c r="L694" s="138"/>
      <c r="M694" s="139">
        <f t="shared" si="175"/>
        <v>5131</v>
      </c>
      <c r="N694" s="114">
        <v>145</v>
      </c>
      <c r="S694" s="145">
        <f>K694-'Order(Exhibit B)'!K694</f>
        <v>2.9999999999999361E-2</v>
      </c>
      <c r="T694" s="115">
        <f>M694-'Order(Exhibit B)'!M694</f>
        <v>13</v>
      </c>
    </row>
    <row r="695" spans="1:20">
      <c r="A695" s="224" t="s">
        <v>273</v>
      </c>
      <c r="C695" s="135"/>
      <c r="D695" s="135"/>
      <c r="E695" s="135"/>
      <c r="F695" s="138"/>
      <c r="G695" s="138"/>
      <c r="H695" s="139"/>
      <c r="I695" s="139"/>
      <c r="J695" s="135"/>
      <c r="K695" s="138"/>
      <c r="L695" s="138"/>
      <c r="M695" s="139"/>
      <c r="S695" s="145">
        <f>K695-'Order(Exhibit B)'!K695</f>
        <v>0</v>
      </c>
      <c r="T695" s="115">
        <f>M695-'Order(Exhibit B)'!M695</f>
        <v>0</v>
      </c>
    </row>
    <row r="696" spans="1:20">
      <c r="A696" s="136" t="s">
        <v>274</v>
      </c>
      <c r="C696" s="135">
        <v>12</v>
      </c>
      <c r="D696" s="135">
        <f>ROUND($C696*D$698/($C$698-$C$697),0)</f>
        <v>12</v>
      </c>
      <c r="E696" s="135"/>
      <c r="F696" s="138">
        <v>10.1</v>
      </c>
      <c r="G696" s="138"/>
      <c r="H696" s="139">
        <f>ROUND(C696*$F696,0)</f>
        <v>121</v>
      </c>
      <c r="I696" s="139">
        <f>ROUND(D696*$F696,0)</f>
        <v>121</v>
      </c>
      <c r="J696" s="135"/>
      <c r="K696" s="138">
        <f>ROUND(F696*(1+$P$657),2)</f>
        <v>10.17</v>
      </c>
      <c r="L696" s="138"/>
      <c r="M696" s="139">
        <f>ROUND(D696*$K696,0)</f>
        <v>122</v>
      </c>
      <c r="N696" s="114">
        <v>135</v>
      </c>
      <c r="S696" s="145">
        <f>K696-'Order(Exhibit B)'!K696</f>
        <v>2.9999999999999361E-2</v>
      </c>
      <c r="T696" s="115">
        <f>M696-'Order(Exhibit B)'!M696</f>
        <v>0</v>
      </c>
    </row>
    <row r="697" spans="1:20">
      <c r="A697" s="172" t="s">
        <v>125</v>
      </c>
      <c r="B697" s="173"/>
      <c r="C697" s="135">
        <v>2005</v>
      </c>
      <c r="D697" s="135"/>
      <c r="E697" s="135"/>
      <c r="F697" s="174"/>
      <c r="G697" s="13"/>
      <c r="H697" s="139">
        <v>175</v>
      </c>
      <c r="I697" s="139"/>
      <c r="J697" s="135"/>
      <c r="K697" s="174"/>
      <c r="L697" s="13"/>
      <c r="M697" s="139"/>
      <c r="O697" s="164"/>
      <c r="P697" s="164"/>
      <c r="S697" s="145">
        <f>K697-'Order(Exhibit B)'!K697</f>
        <v>0</v>
      </c>
      <c r="T697" s="115">
        <f>M697-'Order(Exhibit B)'!M697</f>
        <v>0</v>
      </c>
    </row>
    <row r="698" spans="1:20">
      <c r="A698" s="224" t="s">
        <v>127</v>
      </c>
      <c r="C698" s="226">
        <v>1501840.3791054089</v>
      </c>
      <c r="D698" s="226">
        <v>1546241</v>
      </c>
      <c r="E698" s="226"/>
      <c r="F698" s="227"/>
      <c r="G698" s="163"/>
      <c r="H698" s="228">
        <f>SUM(H670:H697)</f>
        <v>130480</v>
      </c>
      <c r="I698" s="228">
        <f>SUM(I670:I697)</f>
        <v>134325</v>
      </c>
      <c r="J698" s="226"/>
      <c r="K698" s="227"/>
      <c r="L698" s="163"/>
      <c r="M698" s="228">
        <f>SUM(M670:M697)</f>
        <v>135296</v>
      </c>
      <c r="S698" s="145">
        <f>K698-'Order(Exhibit B)'!K698</f>
        <v>0</v>
      </c>
      <c r="T698" s="115">
        <f>M698-'Order(Exhibit B)'!M698</f>
        <v>417</v>
      </c>
    </row>
    <row r="699" spans="1:20">
      <c r="A699" s="224" t="s">
        <v>11</v>
      </c>
      <c r="C699" s="226">
        <v>137</v>
      </c>
      <c r="D699" s="226">
        <v>140</v>
      </c>
      <c r="E699" s="226"/>
      <c r="F699" s="227"/>
      <c r="G699" s="163"/>
      <c r="H699" s="228"/>
      <c r="I699" s="228"/>
      <c r="J699" s="226"/>
      <c r="K699" s="227"/>
      <c r="L699" s="163"/>
      <c r="M699" s="228"/>
      <c r="S699" s="145">
        <f>K699-'Order(Exhibit B)'!K699</f>
        <v>0</v>
      </c>
      <c r="T699" s="115">
        <f>M699-'Order(Exhibit B)'!M699</f>
        <v>0</v>
      </c>
    </row>
    <row r="700" spans="1:20">
      <c r="A700" s="229" t="s">
        <v>275</v>
      </c>
      <c r="C700" s="135"/>
      <c r="D700" s="135"/>
      <c r="E700" s="135"/>
      <c r="F700" s="138"/>
      <c r="G700" s="138"/>
      <c r="J700" s="135"/>
      <c r="K700" s="138"/>
      <c r="L700" s="138"/>
      <c r="S700" s="145">
        <f>K700-'Order(Exhibit B)'!K700</f>
        <v>0</v>
      </c>
      <c r="T700" s="115">
        <f>M700-'Order(Exhibit B)'!M700</f>
        <v>0</v>
      </c>
    </row>
    <row r="701" spans="1:20">
      <c r="A701" s="224" t="s">
        <v>256</v>
      </c>
      <c r="C701" s="135"/>
      <c r="D701" s="135"/>
      <c r="E701" s="135"/>
      <c r="F701" s="138"/>
      <c r="G701" s="138"/>
      <c r="H701" s="139"/>
      <c r="I701" s="139"/>
      <c r="J701" s="135"/>
      <c r="K701" s="138"/>
      <c r="L701" s="138"/>
      <c r="M701" s="139"/>
      <c r="S701" s="145">
        <f>K701-'Order(Exhibit B)'!K701</f>
        <v>0</v>
      </c>
      <c r="T701" s="115">
        <f>M701-'Order(Exhibit B)'!M701</f>
        <v>0</v>
      </c>
    </row>
    <row r="702" spans="1:20">
      <c r="A702" s="136" t="s">
        <v>276</v>
      </c>
      <c r="C702" s="135">
        <v>36</v>
      </c>
      <c r="D702" s="135">
        <f>ROUND($C702*D$719/$C$719,0)</f>
        <v>37</v>
      </c>
      <c r="E702" s="135"/>
      <c r="F702" s="138">
        <v>12.86</v>
      </c>
      <c r="G702" s="138"/>
      <c r="H702" s="139">
        <f>ROUND(C702*$F702,0)</f>
        <v>463</v>
      </c>
      <c r="I702" s="139">
        <f>ROUND(D702*$F702,0)</f>
        <v>476</v>
      </c>
      <c r="J702" s="135"/>
      <c r="K702" s="138">
        <f>ROUND(F702*(1+$P$657),2)</f>
        <v>12.95</v>
      </c>
      <c r="L702" s="138"/>
      <c r="M702" s="139">
        <f>ROUND(D702*$K702,0)</f>
        <v>479</v>
      </c>
      <c r="N702" s="114">
        <v>136</v>
      </c>
      <c r="S702" s="145">
        <f>K702-'Order(Exhibit B)'!K702</f>
        <v>2.9999999999999361E-2</v>
      </c>
      <c r="T702" s="115">
        <f>M702-'Order(Exhibit B)'!M702</f>
        <v>1</v>
      </c>
    </row>
    <row r="703" spans="1:20">
      <c r="A703" s="136" t="s">
        <v>277</v>
      </c>
      <c r="C703" s="135">
        <v>12</v>
      </c>
      <c r="D703" s="135">
        <f>ROUND($C703*D$719/$C$719,0)</f>
        <v>12</v>
      </c>
      <c r="E703" s="135"/>
      <c r="F703" s="138">
        <v>16.97</v>
      </c>
      <c r="G703" s="138"/>
      <c r="H703" s="139">
        <f>ROUND(C703*$F703,0)</f>
        <v>204</v>
      </c>
      <c r="I703" s="139">
        <f>ROUND(D703*$F703,0)</f>
        <v>204</v>
      </c>
      <c r="J703" s="135"/>
      <c r="K703" s="138">
        <f>ROUND(F703*(1+$P$657),2)</f>
        <v>17.09</v>
      </c>
      <c r="L703" s="138"/>
      <c r="M703" s="139">
        <f>ROUND(D703*$K703,0)</f>
        <v>205</v>
      </c>
      <c r="N703" s="114">
        <v>209</v>
      </c>
      <c r="S703" s="145">
        <f>K703-'Order(Exhibit B)'!K703</f>
        <v>5.0000000000000711E-2</v>
      </c>
      <c r="T703" s="115">
        <f>M703-'Order(Exhibit B)'!M703</f>
        <v>1</v>
      </c>
    </row>
    <row r="704" spans="1:20">
      <c r="A704" s="224" t="s">
        <v>259</v>
      </c>
      <c r="C704" s="135"/>
      <c r="D704" s="135"/>
      <c r="E704" s="135"/>
      <c r="J704" s="135"/>
      <c r="S704" s="145">
        <f>K704-'Order(Exhibit B)'!K704</f>
        <v>0</v>
      </c>
      <c r="T704" s="115">
        <f>M704-'Order(Exhibit B)'!M704</f>
        <v>0</v>
      </c>
    </row>
    <row r="705" spans="1:20" ht="14.25" customHeight="1">
      <c r="A705" s="136" t="s">
        <v>260</v>
      </c>
      <c r="C705" s="135">
        <v>24</v>
      </c>
      <c r="D705" s="135">
        <f>ROUND($C705*D$719/$C$719,0)</f>
        <v>24</v>
      </c>
      <c r="E705" s="135"/>
      <c r="F705" s="138">
        <v>5.82</v>
      </c>
      <c r="G705" s="190"/>
      <c r="H705" s="139">
        <f t="shared" ref="H705:I706" si="176">ROUND(C705*$F705,0)</f>
        <v>140</v>
      </c>
      <c r="I705" s="139">
        <f t="shared" si="176"/>
        <v>140</v>
      </c>
      <c r="J705" s="135"/>
      <c r="K705" s="138">
        <f>ROUND(F705*(1+$P$657),2)</f>
        <v>5.86</v>
      </c>
      <c r="L705" s="190"/>
      <c r="M705" s="139">
        <f>ROUND(D705*$K705,0)</f>
        <v>141</v>
      </c>
      <c r="N705" s="114">
        <v>69</v>
      </c>
      <c r="S705" s="145">
        <f>K705-'Order(Exhibit B)'!K705</f>
        <v>1.0000000000000675E-2</v>
      </c>
      <c r="T705" s="115">
        <f>M705-'Order(Exhibit B)'!M705</f>
        <v>1</v>
      </c>
    </row>
    <row r="706" spans="1:20">
      <c r="A706" s="136" t="s">
        <v>262</v>
      </c>
      <c r="C706" s="135">
        <v>0</v>
      </c>
      <c r="D706" s="135">
        <f>ROUND($C706*D$719/$C$719,0)</f>
        <v>0</v>
      </c>
      <c r="E706" s="135"/>
      <c r="F706" s="138">
        <v>23.56</v>
      </c>
      <c r="G706" s="138"/>
      <c r="H706" s="139">
        <f t="shared" si="176"/>
        <v>0</v>
      </c>
      <c r="I706" s="139">
        <f t="shared" si="176"/>
        <v>0</v>
      </c>
      <c r="J706" s="135"/>
      <c r="K706" s="138">
        <f>ROUND(F706*(1+$P$657),2)</f>
        <v>23.73</v>
      </c>
      <c r="L706" s="138"/>
      <c r="M706" s="139">
        <f>ROUND(D706*$K706,0)</f>
        <v>0</v>
      </c>
      <c r="N706" s="114">
        <v>352</v>
      </c>
      <c r="S706" s="145">
        <f>K706-'Order(Exhibit B)'!K706</f>
        <v>7.0000000000000284E-2</v>
      </c>
      <c r="T706" s="115">
        <f>M706-'Order(Exhibit B)'!M706</f>
        <v>0</v>
      </c>
    </row>
    <row r="707" spans="1:20">
      <c r="A707" s="224" t="s">
        <v>278</v>
      </c>
      <c r="C707" s="135"/>
      <c r="D707" s="135"/>
      <c r="E707" s="135"/>
      <c r="F707" s="190"/>
      <c r="G707" s="138"/>
      <c r="H707" s="139"/>
      <c r="I707" s="139"/>
      <c r="J707" s="135"/>
      <c r="K707" s="190"/>
      <c r="L707" s="138"/>
      <c r="M707" s="139"/>
      <c r="S707" s="145">
        <f>K707-'Order(Exhibit B)'!K707</f>
        <v>0</v>
      </c>
      <c r="T707" s="115">
        <f>M707-'Order(Exhibit B)'!M707</f>
        <v>0</v>
      </c>
    </row>
    <row r="708" spans="1:20">
      <c r="A708" s="136" t="s">
        <v>243</v>
      </c>
      <c r="C708" s="135">
        <v>3504.10324483776</v>
      </c>
      <c r="D708" s="135">
        <f>ROUND($C708*D$719/$C$719,0)</f>
        <v>3568</v>
      </c>
      <c r="E708" s="135"/>
      <c r="F708" s="138">
        <v>3.39</v>
      </c>
      <c r="G708" s="138"/>
      <c r="H708" s="139">
        <f t="shared" ref="H708:I712" si="177">ROUND(C708*$F708,0)</f>
        <v>11879</v>
      </c>
      <c r="I708" s="139">
        <f t="shared" si="177"/>
        <v>12096</v>
      </c>
      <c r="J708" s="135"/>
      <c r="K708" s="138">
        <f>ROUND(F708*(1+$P$657),2)</f>
        <v>3.41</v>
      </c>
      <c r="L708" s="138"/>
      <c r="M708" s="139">
        <f>ROUND(D708*$K708,0)</f>
        <v>12167</v>
      </c>
      <c r="N708" s="114">
        <v>28</v>
      </c>
      <c r="S708" s="145">
        <f>K708-'Order(Exhibit B)'!K708</f>
        <v>1.0000000000000231E-2</v>
      </c>
      <c r="T708" s="115">
        <f>M708-'Order(Exhibit B)'!M708</f>
        <v>36</v>
      </c>
    </row>
    <row r="709" spans="1:20">
      <c r="A709" s="136" t="s">
        <v>244</v>
      </c>
      <c r="C709" s="135">
        <v>6166.3355704697997</v>
      </c>
      <c r="D709" s="135">
        <f>ROUND($C709*D$719/$C$719,0)</f>
        <v>6280</v>
      </c>
      <c r="E709" s="135"/>
      <c r="F709" s="138">
        <v>4.47</v>
      </c>
      <c r="G709" s="138"/>
      <c r="H709" s="139">
        <f t="shared" si="177"/>
        <v>27564</v>
      </c>
      <c r="I709" s="139">
        <f t="shared" si="177"/>
        <v>28072</v>
      </c>
      <c r="J709" s="135"/>
      <c r="K709" s="138">
        <f>ROUND(F709*(1+$P$657),2)</f>
        <v>4.5</v>
      </c>
      <c r="L709" s="138"/>
      <c r="M709" s="139">
        <f>ROUND(D709*$K709,0)</f>
        <v>28260</v>
      </c>
      <c r="N709" s="114">
        <v>39</v>
      </c>
      <c r="S709" s="145">
        <f>K709-'Order(Exhibit B)'!K709</f>
        <v>9.9999999999997868E-3</v>
      </c>
      <c r="T709" s="115">
        <f>M709-'Order(Exhibit B)'!M709</f>
        <v>63</v>
      </c>
    </row>
    <row r="710" spans="1:20">
      <c r="A710" s="136" t="s">
        <v>245</v>
      </c>
      <c r="C710" s="135">
        <v>336</v>
      </c>
      <c r="D710" s="135">
        <f>ROUND($C710*D$719/$C$719,0)</f>
        <v>342</v>
      </c>
      <c r="E710" s="135"/>
      <c r="F710" s="138">
        <v>5.42</v>
      </c>
      <c r="G710" s="138"/>
      <c r="H710" s="139">
        <f t="shared" si="177"/>
        <v>1821</v>
      </c>
      <c r="I710" s="139">
        <f t="shared" si="177"/>
        <v>1854</v>
      </c>
      <c r="J710" s="135"/>
      <c r="K710" s="138">
        <f>ROUND(F710*(1+$P$657),2)</f>
        <v>5.46</v>
      </c>
      <c r="L710" s="138"/>
      <c r="M710" s="139">
        <f>ROUND(D710*$K710,0)</f>
        <v>1867</v>
      </c>
      <c r="N710" s="114">
        <v>59</v>
      </c>
      <c r="S710" s="145">
        <f>K710-'Order(Exhibit B)'!K710</f>
        <v>1.9999999999999574E-2</v>
      </c>
      <c r="T710" s="115">
        <f>M710-'Order(Exhibit B)'!M710</f>
        <v>7</v>
      </c>
    </row>
    <row r="711" spans="1:20">
      <c r="A711" s="136" t="s">
        <v>246</v>
      </c>
      <c r="C711" s="135">
        <v>708</v>
      </c>
      <c r="D711" s="135">
        <f>ROUND($C711*D$719/$C$719,0)</f>
        <v>721</v>
      </c>
      <c r="E711" s="135"/>
      <c r="F711" s="138">
        <v>7.97</v>
      </c>
      <c r="G711" s="138"/>
      <c r="H711" s="139">
        <f t="shared" si="177"/>
        <v>5643</v>
      </c>
      <c r="I711" s="139">
        <f t="shared" si="177"/>
        <v>5746</v>
      </c>
      <c r="J711" s="135"/>
      <c r="K711" s="138">
        <f>ROUND(F711*(1+$P$657),2)</f>
        <v>8.0299999999999994</v>
      </c>
      <c r="L711" s="138"/>
      <c r="M711" s="139">
        <f>ROUND(D711*$K711,0)</f>
        <v>5790</v>
      </c>
      <c r="N711" s="114">
        <v>96</v>
      </c>
      <c r="S711" s="145">
        <f>K711-'Order(Exhibit B)'!K711</f>
        <v>2.9999999999999361E-2</v>
      </c>
      <c r="T711" s="115">
        <f>M711-'Order(Exhibit B)'!M711</f>
        <v>22</v>
      </c>
    </row>
    <row r="712" spans="1:20">
      <c r="A712" s="136" t="s">
        <v>247</v>
      </c>
      <c r="C712" s="135">
        <v>1392</v>
      </c>
      <c r="D712" s="135">
        <f>ROUND($C712*D$719/$C$719,0)</f>
        <v>1418</v>
      </c>
      <c r="E712" s="135"/>
      <c r="F712" s="138">
        <v>11.62</v>
      </c>
      <c r="G712" s="190"/>
      <c r="H712" s="139">
        <f t="shared" si="177"/>
        <v>16175</v>
      </c>
      <c r="I712" s="139">
        <f t="shared" si="177"/>
        <v>16477</v>
      </c>
      <c r="J712" s="135"/>
      <c r="K712" s="138">
        <f>ROUND(F712*(1+$P$657),2)</f>
        <v>11.7</v>
      </c>
      <c r="L712" s="190"/>
      <c r="M712" s="139">
        <f>ROUND(D712*$K712,0)</f>
        <v>16591</v>
      </c>
      <c r="N712" s="114">
        <v>148</v>
      </c>
      <c r="S712" s="145">
        <f>K712-'Order(Exhibit B)'!K712</f>
        <v>2.9999999999999361E-2</v>
      </c>
      <c r="T712" s="115">
        <f>M712-'Order(Exhibit B)'!M712</f>
        <v>43</v>
      </c>
    </row>
    <row r="713" spans="1:20">
      <c r="A713" s="224" t="s">
        <v>248</v>
      </c>
      <c r="C713" s="135"/>
      <c r="D713" s="135"/>
      <c r="E713" s="135"/>
      <c r="J713" s="135"/>
      <c r="S713" s="145">
        <f>K713-'Order(Exhibit B)'!K713</f>
        <v>0</v>
      </c>
      <c r="T713" s="115">
        <f>M713-'Order(Exhibit B)'!M713</f>
        <v>0</v>
      </c>
    </row>
    <row r="714" spans="1:20">
      <c r="A714" s="136" t="s">
        <v>250</v>
      </c>
      <c r="C714" s="135">
        <v>24</v>
      </c>
      <c r="D714" s="135">
        <f>ROUND($C714*D$719/$C$719,0)</f>
        <v>24</v>
      </c>
      <c r="E714" s="135"/>
      <c r="F714" s="138">
        <v>11.3</v>
      </c>
      <c r="G714" s="138"/>
      <c r="H714" s="139">
        <f t="shared" ref="H714:I717" si="178">ROUND(C714*$F714,0)</f>
        <v>271</v>
      </c>
      <c r="I714" s="139">
        <f t="shared" si="178"/>
        <v>271</v>
      </c>
      <c r="J714" s="135"/>
      <c r="K714" s="138">
        <f>ROUND(F714*(1+$P$657),2)</f>
        <v>11.38</v>
      </c>
      <c r="L714" s="138"/>
      <c r="M714" s="139">
        <f>ROUND(D714*$K714,0)</f>
        <v>273</v>
      </c>
      <c r="N714" s="114">
        <v>69</v>
      </c>
      <c r="S714" s="145">
        <f>K714-'Order(Exhibit B)'!K714</f>
        <v>3.0000000000001137E-2</v>
      </c>
      <c r="T714" s="115">
        <f>M714-'Order(Exhibit B)'!M714</f>
        <v>1</v>
      </c>
    </row>
    <row r="715" spans="1:20">
      <c r="A715" s="136" t="s">
        <v>251</v>
      </c>
      <c r="C715" s="135">
        <v>612</v>
      </c>
      <c r="D715" s="135">
        <f>ROUND($C715*D$719/$C$719,0)</f>
        <v>623</v>
      </c>
      <c r="E715" s="135"/>
      <c r="F715" s="138">
        <v>11.41</v>
      </c>
      <c r="G715" s="138"/>
      <c r="H715" s="139">
        <f t="shared" si="178"/>
        <v>6983</v>
      </c>
      <c r="I715" s="139">
        <f t="shared" si="178"/>
        <v>7108</v>
      </c>
      <c r="J715" s="135"/>
      <c r="K715" s="138">
        <f>ROUND(F715*(1+$P$657),2)</f>
        <v>11.49</v>
      </c>
      <c r="L715" s="138"/>
      <c r="M715" s="139">
        <f>ROUND(D715*$K715,0)</f>
        <v>7158</v>
      </c>
      <c r="N715" s="114">
        <v>93</v>
      </c>
      <c r="S715" s="145">
        <f>K715-'Order(Exhibit B)'!K715</f>
        <v>2.9999999999999361E-2</v>
      </c>
      <c r="T715" s="115">
        <f>M715-'Order(Exhibit B)'!M715</f>
        <v>18</v>
      </c>
    </row>
    <row r="716" spans="1:20">
      <c r="A716" s="136" t="s">
        <v>252</v>
      </c>
      <c r="C716" s="135">
        <v>216</v>
      </c>
      <c r="D716" s="135">
        <f>ROUND($C716*D$719/$C$719,0)</f>
        <v>220</v>
      </c>
      <c r="E716" s="135"/>
      <c r="F716" s="138">
        <v>12.13</v>
      </c>
      <c r="G716" s="138"/>
      <c r="H716" s="139">
        <f t="shared" si="178"/>
        <v>2620</v>
      </c>
      <c r="I716" s="139">
        <f t="shared" si="178"/>
        <v>2669</v>
      </c>
      <c r="J716" s="135"/>
      <c r="K716" s="138">
        <f>ROUND(F716*(1+$P$657),2)</f>
        <v>12.22</v>
      </c>
      <c r="L716" s="138"/>
      <c r="M716" s="139">
        <f>ROUND(D716*$K716,0)</f>
        <v>2688</v>
      </c>
      <c r="N716" s="114">
        <v>145</v>
      </c>
      <c r="S716" s="145">
        <f>K716-'Order(Exhibit B)'!K716</f>
        <v>4.0000000000000924E-2</v>
      </c>
      <c r="T716" s="115">
        <f>M716-'Order(Exhibit B)'!M716</f>
        <v>8</v>
      </c>
    </row>
    <row r="717" spans="1:20">
      <c r="A717" s="136" t="s">
        <v>279</v>
      </c>
      <c r="C717" s="135">
        <v>0</v>
      </c>
      <c r="D717" s="135">
        <f>ROUND($C717*D$719/$C$719,0)</f>
        <v>0</v>
      </c>
      <c r="E717" s="135"/>
      <c r="F717" s="138">
        <v>23.97</v>
      </c>
      <c r="G717" s="138"/>
      <c r="H717" s="139">
        <f t="shared" si="178"/>
        <v>0</v>
      </c>
      <c r="I717" s="139">
        <f t="shared" si="178"/>
        <v>0</v>
      </c>
      <c r="J717" s="135"/>
      <c r="K717" s="138">
        <f>ROUND(F717*(1+$P$657),2)</f>
        <v>24.14</v>
      </c>
      <c r="L717" s="138"/>
      <c r="M717" s="139">
        <f>ROUND(D717*$K717,0)</f>
        <v>0</v>
      </c>
      <c r="N717" s="114">
        <v>352</v>
      </c>
      <c r="S717" s="145">
        <f>K717-'Order(Exhibit B)'!K717</f>
        <v>7.0000000000000284E-2</v>
      </c>
      <c r="T717" s="115">
        <f>M717-'Order(Exhibit B)'!M717</f>
        <v>0</v>
      </c>
    </row>
    <row r="718" spans="1:20">
      <c r="A718" s="172" t="s">
        <v>125</v>
      </c>
      <c r="B718" s="173"/>
      <c r="C718" s="135">
        <v>978</v>
      </c>
      <c r="D718" s="135"/>
      <c r="E718" s="135"/>
      <c r="F718" s="174"/>
      <c r="G718" s="13"/>
      <c r="H718" s="139">
        <v>99</v>
      </c>
      <c r="I718" s="139"/>
      <c r="J718" s="135"/>
      <c r="K718" s="174"/>
      <c r="L718" s="13"/>
      <c r="M718" s="139"/>
      <c r="N718" s="164"/>
      <c r="O718" s="164"/>
      <c r="P718" s="164"/>
      <c r="S718" s="145">
        <f>K718-'Order(Exhibit B)'!K718</f>
        <v>0</v>
      </c>
      <c r="T718" s="115">
        <f>M718-'Order(Exhibit B)'!M718</f>
        <v>0</v>
      </c>
    </row>
    <row r="719" spans="1:20">
      <c r="A719" s="224" t="s">
        <v>127</v>
      </c>
      <c r="C719" s="226">
        <v>732339.97810377926</v>
      </c>
      <c r="D719" s="226">
        <v>745784.22413793101</v>
      </c>
      <c r="E719" s="226"/>
      <c r="F719" s="227"/>
      <c r="G719" s="163"/>
      <c r="H719" s="228">
        <f>SUM(H702:H718)</f>
        <v>73862</v>
      </c>
      <c r="I719" s="228">
        <f>SUM(I702:I718)</f>
        <v>75113</v>
      </c>
      <c r="J719" s="226"/>
      <c r="K719" s="227"/>
      <c r="L719" s="163"/>
      <c r="M719" s="228">
        <f>SUM(M702:M718)</f>
        <v>75619</v>
      </c>
      <c r="S719" s="145">
        <f>K719-'Order(Exhibit B)'!K719</f>
        <v>0</v>
      </c>
      <c r="T719" s="115">
        <f>M719-'Order(Exhibit B)'!M719</f>
        <v>201</v>
      </c>
    </row>
    <row r="720" spans="1:20">
      <c r="A720" s="224" t="s">
        <v>11</v>
      </c>
      <c r="C720" s="135">
        <v>56</v>
      </c>
      <c r="D720" s="135">
        <v>59</v>
      </c>
      <c r="E720" s="135"/>
      <c r="F720" s="225"/>
      <c r="G720" s="163"/>
      <c r="H720" s="139"/>
      <c r="I720" s="139"/>
      <c r="J720" s="135"/>
      <c r="K720" s="225"/>
      <c r="L720" s="163"/>
      <c r="M720" s="139"/>
      <c r="S720" s="145">
        <f>K720-'Order(Exhibit B)'!K720</f>
        <v>0</v>
      </c>
      <c r="T720" s="115">
        <f>M720-'Order(Exhibit B)'!M720</f>
        <v>0</v>
      </c>
    </row>
    <row r="721" spans="1:20">
      <c r="A721" s="136"/>
      <c r="C721" s="135"/>
      <c r="D721" s="135"/>
      <c r="E721" s="135"/>
      <c r="F721" s="138"/>
      <c r="G721" s="138"/>
      <c r="H721" s="139"/>
      <c r="I721" s="139"/>
      <c r="J721" s="135"/>
      <c r="K721" s="138"/>
      <c r="L721" s="138"/>
      <c r="M721" s="139"/>
      <c r="S721" s="145">
        <f>K721-'Order(Exhibit B)'!K721</f>
        <v>0</v>
      </c>
      <c r="T721" s="115">
        <f>M721-'Order(Exhibit B)'!M721</f>
        <v>0</v>
      </c>
    </row>
    <row r="722" spans="1:20">
      <c r="A722" s="172" t="s">
        <v>280</v>
      </c>
      <c r="B722" s="173"/>
      <c r="C722" s="135">
        <f>C665+C697+C718</f>
        <v>51229</v>
      </c>
      <c r="D722" s="135"/>
      <c r="E722" s="135"/>
      <c r="F722" s="174"/>
      <c r="G722" s="13"/>
      <c r="H722" s="139">
        <f>H665+H697+H718</f>
        <v>2511</v>
      </c>
      <c r="I722" s="139"/>
      <c r="J722" s="135"/>
      <c r="K722" s="174"/>
      <c r="L722" s="13"/>
      <c r="M722" s="139"/>
      <c r="N722" s="164"/>
      <c r="O722" s="164"/>
      <c r="P722" s="164"/>
      <c r="S722" s="145">
        <f>K722-'Order(Exhibit B)'!K722</f>
        <v>0</v>
      </c>
      <c r="T722" s="115">
        <f>M722-'Order(Exhibit B)'!M722</f>
        <v>0</v>
      </c>
    </row>
    <row r="723" spans="1:20">
      <c r="A723" s="136" t="s">
        <v>281</v>
      </c>
      <c r="C723" s="230">
        <f>C666+C698+C719</f>
        <v>38366412.80806312</v>
      </c>
      <c r="D723" s="230">
        <f>D666+D698+D719</f>
        <v>29890554.483748134</v>
      </c>
      <c r="E723" s="230"/>
      <c r="F723" s="227"/>
      <c r="H723" s="228"/>
      <c r="I723" s="228"/>
      <c r="J723" s="230"/>
      <c r="K723" s="227"/>
      <c r="M723" s="228"/>
      <c r="S723" s="145">
        <f>K723-'Order(Exhibit B)'!K723</f>
        <v>0</v>
      </c>
      <c r="T723" s="115">
        <f>M723-'Order(Exhibit B)'!M723</f>
        <v>0</v>
      </c>
    </row>
    <row r="724" spans="1:20">
      <c r="A724" s="136" t="s">
        <v>282</v>
      </c>
      <c r="C724" s="230">
        <f>C667+C699+C720</f>
        <v>1183</v>
      </c>
      <c r="D724" s="230">
        <f>D667+D699+D720</f>
        <v>1331</v>
      </c>
      <c r="E724" s="137"/>
      <c r="J724" s="137"/>
      <c r="S724" s="145">
        <f>K724-'Order(Exhibit B)'!K724</f>
        <v>0</v>
      </c>
      <c r="T724" s="115">
        <f>M724-'Order(Exhibit B)'!M724</f>
        <v>0</v>
      </c>
    </row>
    <row r="725" spans="1:20" ht="16.5" thickBot="1">
      <c r="A725" s="176" t="s">
        <v>127</v>
      </c>
      <c r="B725" s="177"/>
      <c r="C725" s="203">
        <f>C723</f>
        <v>38366412.80806312</v>
      </c>
      <c r="D725" s="203">
        <f t="shared" ref="D725" si="179">D723</f>
        <v>29890554.483748134</v>
      </c>
      <c r="E725" s="203"/>
      <c r="F725" s="231"/>
      <c r="G725" s="222"/>
      <c r="H725" s="231">
        <f>H666+H698+H719</f>
        <v>1874118</v>
      </c>
      <c r="I725" s="231">
        <f>I666+I698+I719</f>
        <v>1484842</v>
      </c>
      <c r="J725" s="203"/>
      <c r="K725" s="231"/>
      <c r="L725" s="222"/>
      <c r="M725" s="231">
        <f>M666+M698+M719</f>
        <v>1495651</v>
      </c>
      <c r="O725" s="132" t="s">
        <v>108</v>
      </c>
      <c r="P725" s="131">
        <f>M725/I725-1</f>
        <v>7.2795624046195773E-3</v>
      </c>
      <c r="S725" s="145">
        <f>K725-'Order(Exhibit B)'!K725</f>
        <v>0</v>
      </c>
      <c r="T725" s="115">
        <f>M725-'Order(Exhibit B)'!M725</f>
        <v>4393</v>
      </c>
    </row>
    <row r="726" spans="1:20" ht="16.5" thickTop="1">
      <c r="A726" s="136"/>
      <c r="C726" s="137"/>
      <c r="D726" s="137"/>
      <c r="E726" s="137"/>
      <c r="H726" s="139"/>
      <c r="I726" s="139"/>
      <c r="J726" s="137"/>
      <c r="M726" s="139"/>
      <c r="S726" s="145">
        <f>K726-'Order(Exhibit B)'!K726</f>
        <v>0</v>
      </c>
      <c r="T726" s="115">
        <f>M726-'Order(Exhibit B)'!M726</f>
        <v>0</v>
      </c>
    </row>
    <row r="727" spans="1:20">
      <c r="A727" s="229" t="s">
        <v>283</v>
      </c>
      <c r="C727" s="135"/>
      <c r="D727" s="135"/>
      <c r="E727" s="135"/>
      <c r="J727" s="135"/>
      <c r="S727" s="145">
        <f>K727-'Order(Exhibit B)'!K727</f>
        <v>0</v>
      </c>
      <c r="T727" s="115">
        <f>M727-'Order(Exhibit B)'!M727</f>
        <v>0</v>
      </c>
    </row>
    <row r="728" spans="1:20">
      <c r="A728" s="136" t="s">
        <v>284</v>
      </c>
      <c r="C728" s="135">
        <f t="shared" ref="C728:D734" si="180">C737+C746+C755</f>
        <v>19945.30478578186</v>
      </c>
      <c r="D728" s="135">
        <f t="shared" si="180"/>
        <v>20197</v>
      </c>
      <c r="E728" s="135"/>
      <c r="F728" s="138">
        <v>7</v>
      </c>
      <c r="G728" s="138"/>
      <c r="H728" s="139">
        <f t="shared" ref="H728:I730" si="181">ROUND(C728*$F728,0)</f>
        <v>139617</v>
      </c>
      <c r="I728" s="139">
        <f t="shared" si="181"/>
        <v>141379</v>
      </c>
      <c r="J728" s="135"/>
      <c r="K728" s="138">
        <f>ROUND(F728*(1+$P$732),0)</f>
        <v>7</v>
      </c>
      <c r="L728" s="138"/>
      <c r="M728" s="139">
        <f>ROUND(D728*$K728,0)</f>
        <v>141379</v>
      </c>
      <c r="O728" s="146" t="s">
        <v>101</v>
      </c>
      <c r="P728" s="147">
        <f>M734</f>
        <v>816460</v>
      </c>
      <c r="S728" s="145">
        <f>K728-'Order(Exhibit B)'!K728</f>
        <v>0</v>
      </c>
      <c r="T728" s="115">
        <f>M728-'Order(Exhibit B)'!M728</f>
        <v>0</v>
      </c>
    </row>
    <row r="729" spans="1:20">
      <c r="A729" s="136" t="s">
        <v>285</v>
      </c>
      <c r="C729" s="135">
        <f t="shared" si="180"/>
        <v>800.41914523719299</v>
      </c>
      <c r="D729" s="135">
        <f t="shared" si="180"/>
        <v>780</v>
      </c>
      <c r="E729" s="135"/>
      <c r="F729" s="138">
        <v>49.02</v>
      </c>
      <c r="G729" s="138"/>
      <c r="H729" s="139">
        <f t="shared" si="181"/>
        <v>39237</v>
      </c>
      <c r="I729" s="139">
        <f t="shared" si="181"/>
        <v>38236</v>
      </c>
      <c r="J729" s="135"/>
      <c r="K729" s="138">
        <f>MROUND(F729*(1+$P$732),0.01)</f>
        <v>51.34</v>
      </c>
      <c r="L729" s="138"/>
      <c r="M729" s="139">
        <f>ROUND(D729*$K729,0)</f>
        <v>40045</v>
      </c>
      <c r="O729" s="149" t="s">
        <v>103</v>
      </c>
      <c r="P729" s="150">
        <f>'Exhibit B(Rate Spread)'!M43*1000</f>
        <v>816458.30267420679</v>
      </c>
      <c r="S729" s="145">
        <f>K729-'Order(Exhibit B)'!K729</f>
        <v>0.16000000000000369</v>
      </c>
      <c r="T729" s="115">
        <f>M729-'Order(Exhibit B)'!M729</f>
        <v>125</v>
      </c>
    </row>
    <row r="730" spans="1:20">
      <c r="A730" s="136" t="s">
        <v>286</v>
      </c>
      <c r="C730" s="135">
        <f t="shared" si="180"/>
        <v>9553.2649164677896</v>
      </c>
      <c r="D730" s="135">
        <f t="shared" si="180"/>
        <v>9360</v>
      </c>
      <c r="E730" s="135"/>
      <c r="F730" s="138">
        <v>4.1900000000000004</v>
      </c>
      <c r="G730" s="138"/>
      <c r="H730" s="139">
        <f t="shared" si="181"/>
        <v>40028</v>
      </c>
      <c r="I730" s="139">
        <f t="shared" si="181"/>
        <v>39218</v>
      </c>
      <c r="J730" s="135"/>
      <c r="K730" s="138">
        <f>MROUND(F730*(1+$P$732),0.01)</f>
        <v>4.3899999999999997</v>
      </c>
      <c r="L730" s="138"/>
      <c r="M730" s="139">
        <f>ROUND(D730*$K730,0)</f>
        <v>41090</v>
      </c>
      <c r="O730" s="152" t="s">
        <v>105</v>
      </c>
      <c r="P730" s="153">
        <f>P729-P728</f>
        <v>-1.6973257932113484</v>
      </c>
      <c r="S730" s="145">
        <f>K730-'Order(Exhibit B)'!K730</f>
        <v>1.9999999999999574E-2</v>
      </c>
      <c r="T730" s="115">
        <f>M730-'Order(Exhibit B)'!M730</f>
        <v>187</v>
      </c>
    </row>
    <row r="731" spans="1:20">
      <c r="A731" s="136" t="s">
        <v>109</v>
      </c>
      <c r="C731" s="135">
        <f t="shared" si="180"/>
        <v>3920</v>
      </c>
      <c r="D731" s="135">
        <f t="shared" si="180"/>
        <v>6506.0725027565513</v>
      </c>
      <c r="E731" s="135"/>
      <c r="F731" s="138">
        <v>-0.5</v>
      </c>
      <c r="G731" s="138"/>
      <c r="H731" s="139">
        <f>ROUND($F731*C731,0)</f>
        <v>-1960</v>
      </c>
      <c r="I731" s="139">
        <f>ROUND($F731*D731,0)</f>
        <v>-3253</v>
      </c>
      <c r="J731" s="135"/>
      <c r="K731" s="138">
        <f>F731</f>
        <v>-0.5</v>
      </c>
      <c r="L731" s="138"/>
      <c r="M731" s="139">
        <f>ROUND($K731*D731,0)</f>
        <v>-3253</v>
      </c>
      <c r="O731" s="146" t="s">
        <v>108</v>
      </c>
      <c r="P731" s="192">
        <f>P728/I734-1</f>
        <v>4.734245478825061E-2</v>
      </c>
      <c r="S731" s="145">
        <f>K731-'Order(Exhibit B)'!K731</f>
        <v>0</v>
      </c>
      <c r="T731" s="115">
        <f>M731-'Order(Exhibit B)'!M731</f>
        <v>0</v>
      </c>
    </row>
    <row r="732" spans="1:20">
      <c r="A732" s="136" t="s">
        <v>287</v>
      </c>
      <c r="C732" s="135">
        <f t="shared" si="180"/>
        <v>15598585</v>
      </c>
      <c r="D732" s="135">
        <f t="shared" si="180"/>
        <v>15798908.622976987</v>
      </c>
      <c r="E732" s="135"/>
      <c r="F732" s="208">
        <v>3.5697000000000001</v>
      </c>
      <c r="G732" s="163" t="s">
        <v>112</v>
      </c>
      <c r="H732" s="139">
        <f>ROUND(C732*$F732/100,0)</f>
        <v>556823</v>
      </c>
      <c r="I732" s="139">
        <f>ROUND(D732*$F732/100,0)</f>
        <v>563974</v>
      </c>
      <c r="J732" s="135"/>
      <c r="K732" s="209">
        <f>ROUND((P729-SUM(M728:M731))/D732*100,P8)</f>
        <v>3.78</v>
      </c>
      <c r="L732" s="163" t="s">
        <v>112</v>
      </c>
      <c r="M732" s="139">
        <f>ROUND(D732*$K732/100,0)</f>
        <v>597199</v>
      </c>
      <c r="O732" s="167" t="s">
        <v>110</v>
      </c>
      <c r="P732" s="194">
        <f>P729/I734-1</f>
        <v>4.734027748457037E-2</v>
      </c>
      <c r="S732" s="145">
        <f>K732-'Order(Exhibit B)'!K732</f>
        <v>1.4199999999999768E-2</v>
      </c>
      <c r="T732" s="115">
        <f>M732-'Order(Exhibit B)'!M732</f>
        <v>2244</v>
      </c>
    </row>
    <row r="733" spans="1:20">
      <c r="A733" s="172" t="s">
        <v>125</v>
      </c>
      <c r="B733" s="173"/>
      <c r="C733" s="135">
        <f t="shared" si="180"/>
        <v>113075</v>
      </c>
      <c r="D733" s="135"/>
      <c r="E733" s="135"/>
      <c r="F733" s="174"/>
      <c r="G733" s="13"/>
      <c r="H733" s="139">
        <f t="shared" ref="H733" si="182">H742+H751+H760</f>
        <v>5547</v>
      </c>
      <c r="I733" s="139"/>
      <c r="J733" s="135"/>
      <c r="K733" s="174"/>
      <c r="L733" s="13"/>
      <c r="M733" s="139"/>
      <c r="N733" s="164"/>
      <c r="O733" s="164"/>
      <c r="P733" s="164"/>
      <c r="S733" s="145">
        <f>K733-'Order(Exhibit B)'!K733</f>
        <v>0</v>
      </c>
      <c r="T733" s="115">
        <f>M733-'Order(Exhibit B)'!M733</f>
        <v>0</v>
      </c>
    </row>
    <row r="734" spans="1:20" ht="16.5" thickBot="1">
      <c r="A734" s="232" t="s">
        <v>127</v>
      </c>
      <c r="B734" s="177"/>
      <c r="C734" s="178">
        <f t="shared" si="180"/>
        <v>15711660</v>
      </c>
      <c r="D734" s="178">
        <f t="shared" si="180"/>
        <v>15798908.622976987</v>
      </c>
      <c r="E734" s="178"/>
      <c r="F734" s="177"/>
      <c r="G734" s="177"/>
      <c r="H734" s="179">
        <f>SUM(H728:H733)</f>
        <v>779292</v>
      </c>
      <c r="I734" s="179">
        <f>SUM(I728:I733)</f>
        <v>779554</v>
      </c>
      <c r="J734" s="178"/>
      <c r="K734" s="177"/>
      <c r="L734" s="177"/>
      <c r="M734" s="179">
        <f>SUM(M728:M733)</f>
        <v>816460</v>
      </c>
      <c r="O734" s="132" t="s">
        <v>108</v>
      </c>
      <c r="P734" s="131">
        <f>M734/I734-1</f>
        <v>4.734245478825061E-2</v>
      </c>
      <c r="S734" s="145">
        <f>K734-'Order(Exhibit B)'!K734</f>
        <v>0</v>
      </c>
      <c r="T734" s="115">
        <f>M734-'Order(Exhibit B)'!M734</f>
        <v>2556</v>
      </c>
    </row>
    <row r="735" spans="1:20" ht="16.5" thickTop="1">
      <c r="A735" s="136"/>
      <c r="C735" s="137"/>
      <c r="D735" s="137"/>
      <c r="E735" s="137"/>
      <c r="H735" s="139"/>
      <c r="I735" s="139"/>
      <c r="J735" s="137"/>
      <c r="M735" s="139"/>
      <c r="S735" s="145">
        <f>K735-'Order(Exhibit B)'!K735</f>
        <v>0</v>
      </c>
      <c r="T735" s="115">
        <f>M735-'Order(Exhibit B)'!M735</f>
        <v>0</v>
      </c>
    </row>
    <row r="736" spans="1:20">
      <c r="A736" s="229" t="s">
        <v>478</v>
      </c>
      <c r="C736" s="135"/>
      <c r="D736" s="135"/>
      <c r="E736" s="135"/>
      <c r="J736" s="135"/>
      <c r="S736" s="145">
        <f>K736-'Order(Exhibit B)'!K736</f>
        <v>0</v>
      </c>
      <c r="T736" s="115">
        <f>M736-'Order(Exhibit B)'!M736</f>
        <v>0</v>
      </c>
    </row>
    <row r="737" spans="1:20">
      <c r="A737" s="136" t="s">
        <v>284</v>
      </c>
      <c r="C737" s="135">
        <v>18948.058300338998</v>
      </c>
      <c r="D737" s="135">
        <f>ROUND($C737*D741/$C$741,0)</f>
        <v>19247</v>
      </c>
      <c r="E737" s="135"/>
      <c r="F737" s="138">
        <v>7</v>
      </c>
      <c r="G737" s="138"/>
      <c r="H737" s="139">
        <f t="shared" ref="H737:I739" si="183">ROUND(C737*$F737,0)</f>
        <v>132636</v>
      </c>
      <c r="I737" s="139">
        <f t="shared" si="183"/>
        <v>134729</v>
      </c>
      <c r="J737" s="135"/>
      <c r="K737" s="138">
        <f>K$728</f>
        <v>7</v>
      </c>
      <c r="L737" s="138"/>
      <c r="M737" s="139">
        <f>ROUND(D737*$K737,0)</f>
        <v>134729</v>
      </c>
      <c r="S737" s="145">
        <f>K737-'Order(Exhibit B)'!K737</f>
        <v>0</v>
      </c>
      <c r="T737" s="115">
        <f>M737-'Order(Exhibit B)'!M737</f>
        <v>0</v>
      </c>
    </row>
    <row r="738" spans="1:20">
      <c r="A738" s="136" t="s">
        <v>285</v>
      </c>
      <c r="C738" s="135">
        <v>691.41089142446401</v>
      </c>
      <c r="D738" s="135">
        <f>ROUND($C738*D$739/$C$739,0)</f>
        <v>671</v>
      </c>
      <c r="E738" s="135"/>
      <c r="F738" s="138">
        <v>49.02</v>
      </c>
      <c r="G738" s="138"/>
      <c r="H738" s="139">
        <f t="shared" si="183"/>
        <v>33893</v>
      </c>
      <c r="I738" s="139">
        <f t="shared" si="183"/>
        <v>32892</v>
      </c>
      <c r="J738" s="135"/>
      <c r="K738" s="138">
        <f>K$729</f>
        <v>51.34</v>
      </c>
      <c r="L738" s="138"/>
      <c r="M738" s="139">
        <f>ROUND(D738*$K738,0)</f>
        <v>34449</v>
      </c>
      <c r="S738" s="145">
        <f>K738-'Order(Exhibit B)'!K738</f>
        <v>0.16000000000000369</v>
      </c>
      <c r="T738" s="115">
        <f>M738-'Order(Exhibit B)'!M738</f>
        <v>107</v>
      </c>
    </row>
    <row r="739" spans="1:20">
      <c r="A739" s="136" t="s">
        <v>286</v>
      </c>
      <c r="C739" s="135">
        <v>8228.9976133651599</v>
      </c>
      <c r="D739" s="135">
        <v>7992</v>
      </c>
      <c r="E739" s="135"/>
      <c r="F739" s="138">
        <v>4.1900000000000004</v>
      </c>
      <c r="G739" s="138"/>
      <c r="H739" s="139">
        <f t="shared" si="183"/>
        <v>34480</v>
      </c>
      <c r="I739" s="139">
        <f t="shared" si="183"/>
        <v>33486</v>
      </c>
      <c r="J739" s="135"/>
      <c r="K739" s="138">
        <f>K$730</f>
        <v>4.3899999999999997</v>
      </c>
      <c r="L739" s="138"/>
      <c r="M739" s="139">
        <f>ROUND(D739*$K739,0)</f>
        <v>35085</v>
      </c>
      <c r="S739" s="145">
        <f>K739-'Order(Exhibit B)'!K739</f>
        <v>1.9999999999999574E-2</v>
      </c>
      <c r="T739" s="115">
        <f>M739-'Order(Exhibit B)'!M739</f>
        <v>160</v>
      </c>
    </row>
    <row r="740" spans="1:20">
      <c r="A740" s="136" t="s">
        <v>109</v>
      </c>
      <c r="C740" s="135">
        <v>3640</v>
      </c>
      <c r="D740" s="135">
        <v>5555.1849831229019</v>
      </c>
      <c r="E740" s="135"/>
      <c r="F740" s="138">
        <v>-0.5</v>
      </c>
      <c r="G740" s="138"/>
      <c r="H740" s="139">
        <f>ROUND($F740*C740,0)</f>
        <v>-1820</v>
      </c>
      <c r="I740" s="139">
        <f>ROUND($F740*D740,0)</f>
        <v>-2778</v>
      </c>
      <c r="J740" s="135"/>
      <c r="K740" s="138">
        <f>K$731</f>
        <v>-0.5</v>
      </c>
      <c r="L740" s="138"/>
      <c r="M740" s="139">
        <f>ROUND($K740*D740,0)</f>
        <v>-2778</v>
      </c>
      <c r="S740" s="145">
        <f>K740-'Order(Exhibit B)'!K740</f>
        <v>0</v>
      </c>
      <c r="T740" s="115">
        <f>M740-'Order(Exhibit B)'!M740</f>
        <v>0</v>
      </c>
    </row>
    <row r="741" spans="1:20">
      <c r="A741" s="136" t="s">
        <v>287</v>
      </c>
      <c r="C741" s="135">
        <v>14666500</v>
      </c>
      <c r="D741" s="135">
        <v>14897514.622976987</v>
      </c>
      <c r="E741" s="135"/>
      <c r="F741" s="208">
        <v>3.5697000000000001</v>
      </c>
      <c r="G741" s="163" t="s">
        <v>112</v>
      </c>
      <c r="H741" s="139">
        <f>ROUND(C741*$F741/100,0)</f>
        <v>523550</v>
      </c>
      <c r="I741" s="139">
        <f>ROUND(D741*$F741/100,0)</f>
        <v>531797</v>
      </c>
      <c r="J741" s="135"/>
      <c r="K741" s="209">
        <f>K$732</f>
        <v>3.78</v>
      </c>
      <c r="L741" s="163" t="s">
        <v>112</v>
      </c>
      <c r="M741" s="139">
        <f>ROUND(D741*$K741/100,0)</f>
        <v>563126</v>
      </c>
      <c r="S741" s="145">
        <f>K741-'Order(Exhibit B)'!K741</f>
        <v>1.4199999999999768E-2</v>
      </c>
      <c r="T741" s="115">
        <f>M741-'Order(Exhibit B)'!M741</f>
        <v>2115</v>
      </c>
    </row>
    <row r="742" spans="1:20">
      <c r="A742" s="172" t="s">
        <v>125</v>
      </c>
      <c r="B742" s="173"/>
      <c r="C742" s="135">
        <v>111836</v>
      </c>
      <c r="D742" s="135"/>
      <c r="E742" s="135"/>
      <c r="F742" s="174"/>
      <c r="G742" s="13"/>
      <c r="H742" s="139">
        <v>5478</v>
      </c>
      <c r="I742" s="139"/>
      <c r="J742" s="135"/>
      <c r="K742" s="174"/>
      <c r="L742" s="13"/>
      <c r="M742" s="139"/>
      <c r="N742" s="164"/>
      <c r="O742" s="164"/>
      <c r="P742" s="164"/>
      <c r="S742" s="145">
        <f>K742-'Order(Exhibit B)'!K742</f>
        <v>0</v>
      </c>
      <c r="T742" s="115">
        <f>M742-'Order(Exhibit B)'!M742</f>
        <v>0</v>
      </c>
    </row>
    <row r="743" spans="1:20" ht="16.5" thickBot="1">
      <c r="A743" s="232" t="s">
        <v>127</v>
      </c>
      <c r="B743" s="177"/>
      <c r="C743" s="178">
        <f>C741+C742</f>
        <v>14778336</v>
      </c>
      <c r="D743" s="178">
        <f>D741</f>
        <v>14897514.622976987</v>
      </c>
      <c r="E743" s="178"/>
      <c r="F743" s="177"/>
      <c r="G743" s="177"/>
      <c r="H743" s="179">
        <f>SUM(H737:H742)</f>
        <v>728217</v>
      </c>
      <c r="I743" s="179">
        <f>SUM(I737:I742)</f>
        <v>730126</v>
      </c>
      <c r="J743" s="178"/>
      <c r="K743" s="177"/>
      <c r="L743" s="177"/>
      <c r="M743" s="179">
        <f>SUM(M737:M742)</f>
        <v>764611</v>
      </c>
      <c r="O743" s="132" t="s">
        <v>108</v>
      </c>
      <c r="P743" s="131">
        <f>M743/I743-1</f>
        <v>4.7231573728370169E-2</v>
      </c>
      <c r="S743" s="145">
        <f>K743-'Order(Exhibit B)'!K743</f>
        <v>0</v>
      </c>
      <c r="T743" s="115">
        <f>M743-'Order(Exhibit B)'!M743</f>
        <v>2382</v>
      </c>
    </row>
    <row r="744" spans="1:20" ht="16.5" thickTop="1">
      <c r="A744" s="136"/>
      <c r="C744" s="137"/>
      <c r="D744" s="137"/>
      <c r="E744" s="137"/>
      <c r="H744" s="139"/>
      <c r="I744" s="139"/>
      <c r="J744" s="137"/>
      <c r="M744" s="139"/>
      <c r="S744" s="145">
        <f>K744-'Order(Exhibit B)'!K744</f>
        <v>0</v>
      </c>
      <c r="T744" s="115">
        <f>M744-'Order(Exhibit B)'!M744</f>
        <v>0</v>
      </c>
    </row>
    <row r="745" spans="1:20">
      <c r="A745" s="229" t="s">
        <v>479</v>
      </c>
      <c r="C745" s="135"/>
      <c r="D745" s="135"/>
      <c r="E745" s="135"/>
      <c r="J745" s="135"/>
      <c r="S745" s="145">
        <f>K745-'Order(Exhibit B)'!K745</f>
        <v>0</v>
      </c>
      <c r="T745" s="115">
        <f>M745-'Order(Exhibit B)'!M745</f>
        <v>0</v>
      </c>
    </row>
    <row r="746" spans="1:20">
      <c r="A746" s="136" t="s">
        <v>284</v>
      </c>
      <c r="C746" s="135">
        <v>0</v>
      </c>
      <c r="D746" s="135">
        <f>ROUND($C746*D750/$C$750,0)</f>
        <v>0</v>
      </c>
      <c r="E746" s="135"/>
      <c r="F746" s="138">
        <v>7</v>
      </c>
      <c r="G746" s="138"/>
      <c r="H746" s="139">
        <f t="shared" ref="H746:I748" si="184">ROUND(C746*$F746,0)</f>
        <v>0</v>
      </c>
      <c r="I746" s="139">
        <f t="shared" si="184"/>
        <v>0</v>
      </c>
      <c r="J746" s="135"/>
      <c r="K746" s="138">
        <f>K$728</f>
        <v>7</v>
      </c>
      <c r="L746" s="138"/>
      <c r="M746" s="139">
        <f>ROUND(D746*$K746,0)</f>
        <v>0</v>
      </c>
      <c r="S746" s="145">
        <f>K746-'Order(Exhibit B)'!K746</f>
        <v>0</v>
      </c>
      <c r="T746" s="115">
        <f>M746-'Order(Exhibit B)'!M746</f>
        <v>0</v>
      </c>
    </row>
    <row r="747" spans="1:20">
      <c r="A747" s="136" t="s">
        <v>285</v>
      </c>
      <c r="C747" s="135">
        <v>0</v>
      </c>
      <c r="D747" s="135">
        <f>ROUND($C747*D$748/$C$748,0)</f>
        <v>0</v>
      </c>
      <c r="E747" s="135"/>
      <c r="F747" s="138">
        <v>49.02</v>
      </c>
      <c r="G747" s="138"/>
      <c r="H747" s="139">
        <f t="shared" si="184"/>
        <v>0</v>
      </c>
      <c r="I747" s="139">
        <f t="shared" si="184"/>
        <v>0</v>
      </c>
      <c r="J747" s="135"/>
      <c r="K747" s="138">
        <f>K$729</f>
        <v>51.34</v>
      </c>
      <c r="L747" s="138"/>
      <c r="M747" s="139">
        <f>ROUND(D747*$K747,0)</f>
        <v>0</v>
      </c>
      <c r="S747" s="145">
        <f>K747-'Order(Exhibit B)'!K747</f>
        <v>0.16000000000000369</v>
      </c>
      <c r="T747" s="115">
        <f>M747-'Order(Exhibit B)'!M747</f>
        <v>0</v>
      </c>
    </row>
    <row r="748" spans="1:20">
      <c r="A748" s="136" t="s">
        <v>286</v>
      </c>
      <c r="C748" s="135">
        <v>24</v>
      </c>
      <c r="D748" s="135">
        <v>72</v>
      </c>
      <c r="E748" s="135"/>
      <c r="F748" s="138">
        <v>4.1900000000000004</v>
      </c>
      <c r="G748" s="138"/>
      <c r="H748" s="139">
        <f t="shared" si="184"/>
        <v>101</v>
      </c>
      <c r="I748" s="139">
        <f t="shared" si="184"/>
        <v>302</v>
      </c>
      <c r="J748" s="135"/>
      <c r="K748" s="138">
        <f>K$730</f>
        <v>4.3899999999999997</v>
      </c>
      <c r="L748" s="138"/>
      <c r="M748" s="139">
        <f>ROUND(D748*$K748,0)</f>
        <v>316</v>
      </c>
      <c r="S748" s="145">
        <f>K748-'Order(Exhibit B)'!K748</f>
        <v>1.9999999999999574E-2</v>
      </c>
      <c r="T748" s="115">
        <f>M748-'Order(Exhibit B)'!M748</f>
        <v>1</v>
      </c>
    </row>
    <row r="749" spans="1:20">
      <c r="A749" s="136" t="s">
        <v>109</v>
      </c>
      <c r="C749" s="135">
        <v>12</v>
      </c>
      <c r="D749" s="135">
        <v>50.046711559665788</v>
      </c>
      <c r="E749" s="135"/>
      <c r="F749" s="138">
        <v>-0.5</v>
      </c>
      <c r="G749" s="138"/>
      <c r="H749" s="139">
        <f>ROUND($F749*C749,0)</f>
        <v>-6</v>
      </c>
      <c r="I749" s="139">
        <f>ROUND($F749*D749,0)</f>
        <v>-25</v>
      </c>
      <c r="J749" s="135"/>
      <c r="K749" s="138">
        <f>K$731</f>
        <v>-0.5</v>
      </c>
      <c r="L749" s="138"/>
      <c r="M749" s="139">
        <f>ROUND($K749*D749,0)</f>
        <v>-25</v>
      </c>
      <c r="S749" s="145">
        <f>K749-'Order(Exhibit B)'!K749</f>
        <v>0</v>
      </c>
      <c r="T749" s="115">
        <f>M749-'Order(Exhibit B)'!M749</f>
        <v>0</v>
      </c>
    </row>
    <row r="750" spans="1:20">
      <c r="A750" s="136" t="s">
        <v>287</v>
      </c>
      <c r="C750" s="135">
        <v>6054</v>
      </c>
      <c r="D750" s="135">
        <v>18938</v>
      </c>
      <c r="E750" s="135"/>
      <c r="F750" s="208">
        <v>3.5697000000000001</v>
      </c>
      <c r="G750" s="163" t="s">
        <v>112</v>
      </c>
      <c r="H750" s="139">
        <f>ROUND(C750*$F750/100,0)</f>
        <v>216</v>
      </c>
      <c r="I750" s="139">
        <f>ROUND(D750*$F750/100,0)</f>
        <v>676</v>
      </c>
      <c r="J750" s="135"/>
      <c r="K750" s="209">
        <f>K$732</f>
        <v>3.78</v>
      </c>
      <c r="L750" s="163" t="s">
        <v>112</v>
      </c>
      <c r="M750" s="139">
        <f>ROUND(D750*$K750/100,0)</f>
        <v>716</v>
      </c>
      <c r="S750" s="145">
        <f>K750-'Order(Exhibit B)'!K750</f>
        <v>1.4199999999999768E-2</v>
      </c>
      <c r="T750" s="115">
        <f>M750-'Order(Exhibit B)'!M750</f>
        <v>3</v>
      </c>
    </row>
    <row r="751" spans="1:20">
      <c r="A751" s="172" t="s">
        <v>125</v>
      </c>
      <c r="B751" s="173"/>
      <c r="C751" s="135">
        <v>1</v>
      </c>
      <c r="D751" s="135"/>
      <c r="E751" s="135"/>
      <c r="F751" s="174"/>
      <c r="G751" s="13"/>
      <c r="H751" s="139">
        <v>1</v>
      </c>
      <c r="I751" s="139"/>
      <c r="J751" s="135"/>
      <c r="K751" s="174"/>
      <c r="L751" s="13"/>
      <c r="M751" s="139"/>
      <c r="N751" s="164"/>
      <c r="O751" s="164"/>
      <c r="P751" s="164"/>
      <c r="S751" s="145">
        <f>K751-'Order(Exhibit B)'!K751</f>
        <v>0</v>
      </c>
      <c r="T751" s="115">
        <f>M751-'Order(Exhibit B)'!M751</f>
        <v>0</v>
      </c>
    </row>
    <row r="752" spans="1:20" ht="16.5" thickBot="1">
      <c r="A752" s="232" t="s">
        <v>127</v>
      </c>
      <c r="B752" s="177"/>
      <c r="C752" s="178">
        <f>C750+C751</f>
        <v>6055</v>
      </c>
      <c r="D752" s="178">
        <f>D750</f>
        <v>18938</v>
      </c>
      <c r="E752" s="178"/>
      <c r="F752" s="177"/>
      <c r="G752" s="177"/>
      <c r="H752" s="179">
        <f>SUM(H746:H751)</f>
        <v>312</v>
      </c>
      <c r="I752" s="179">
        <f>SUM(I746:I751)</f>
        <v>953</v>
      </c>
      <c r="J752" s="178"/>
      <c r="K752" s="177"/>
      <c r="L752" s="177"/>
      <c r="M752" s="179">
        <f>SUM(M746:M751)</f>
        <v>1007</v>
      </c>
      <c r="O752" s="132" t="s">
        <v>108</v>
      </c>
      <c r="P752" s="131">
        <f>M752/I752-1</f>
        <v>5.6663168940188857E-2</v>
      </c>
      <c r="S752" s="145">
        <f>K752-'Order(Exhibit B)'!K752</f>
        <v>0</v>
      </c>
      <c r="T752" s="115">
        <f>M752-'Order(Exhibit B)'!M752</f>
        <v>4</v>
      </c>
    </row>
    <row r="753" spans="1:20" ht="16.5" thickTop="1">
      <c r="A753" s="136"/>
      <c r="C753" s="137"/>
      <c r="D753" s="137"/>
      <c r="E753" s="137"/>
      <c r="H753" s="139"/>
      <c r="I753" s="139"/>
      <c r="J753" s="137"/>
      <c r="M753" s="139"/>
      <c r="S753" s="145">
        <f>K753-'Order(Exhibit B)'!K753</f>
        <v>0</v>
      </c>
      <c r="T753" s="115">
        <f>M753-'Order(Exhibit B)'!M753</f>
        <v>0</v>
      </c>
    </row>
    <row r="754" spans="1:20">
      <c r="A754" s="229" t="s">
        <v>480</v>
      </c>
      <c r="C754" s="135"/>
      <c r="D754" s="135"/>
      <c r="E754" s="135"/>
      <c r="J754" s="135"/>
      <c r="S754" s="145">
        <f>K754-'Order(Exhibit B)'!K754</f>
        <v>0</v>
      </c>
      <c r="T754" s="115">
        <f>M754-'Order(Exhibit B)'!M754</f>
        <v>0</v>
      </c>
    </row>
    <row r="755" spans="1:20">
      <c r="A755" s="136" t="s">
        <v>284</v>
      </c>
      <c r="C755" s="135">
        <v>997.24648544286299</v>
      </c>
      <c r="D755" s="135">
        <f>ROUND($C755*D759/$C$759,0)</f>
        <v>950</v>
      </c>
      <c r="E755" s="135"/>
      <c r="F755" s="138">
        <v>7</v>
      </c>
      <c r="G755" s="138"/>
      <c r="H755" s="139">
        <f t="shared" ref="H755:I757" si="185">ROUND(C755*$F755,0)</f>
        <v>6981</v>
      </c>
      <c r="I755" s="139">
        <f t="shared" si="185"/>
        <v>6650</v>
      </c>
      <c r="J755" s="135"/>
      <c r="K755" s="138">
        <f>K$728</f>
        <v>7</v>
      </c>
      <c r="L755" s="138"/>
      <c r="M755" s="139">
        <f>ROUND(D755*$K755,0)</f>
        <v>6650</v>
      </c>
      <c r="S755" s="145">
        <f>K755-'Order(Exhibit B)'!K755</f>
        <v>0</v>
      </c>
      <c r="T755" s="115">
        <f>M755-'Order(Exhibit B)'!M755</f>
        <v>0</v>
      </c>
    </row>
    <row r="756" spans="1:20">
      <c r="A756" s="136" t="s">
        <v>285</v>
      </c>
      <c r="C756" s="135">
        <v>109.008253812729</v>
      </c>
      <c r="D756" s="135">
        <f>ROUND($C756*D$757/$C$757,0)</f>
        <v>109</v>
      </c>
      <c r="E756" s="135"/>
      <c r="F756" s="138">
        <v>49.02</v>
      </c>
      <c r="G756" s="138"/>
      <c r="H756" s="139">
        <f t="shared" si="185"/>
        <v>5344</v>
      </c>
      <c r="I756" s="139">
        <f t="shared" si="185"/>
        <v>5343</v>
      </c>
      <c r="J756" s="135"/>
      <c r="K756" s="138">
        <f>K$729</f>
        <v>51.34</v>
      </c>
      <c r="L756" s="138"/>
      <c r="M756" s="139">
        <f>ROUND(D756*$K756,0)</f>
        <v>5596</v>
      </c>
      <c r="S756" s="145">
        <f>K756-'Order(Exhibit B)'!K756</f>
        <v>0.16000000000000369</v>
      </c>
      <c r="T756" s="115">
        <f>M756-'Order(Exhibit B)'!M756</f>
        <v>17</v>
      </c>
    </row>
    <row r="757" spans="1:20">
      <c r="A757" s="136" t="s">
        <v>286</v>
      </c>
      <c r="C757" s="135">
        <v>1300.26730310263</v>
      </c>
      <c r="D757" s="135">
        <v>1296</v>
      </c>
      <c r="E757" s="135"/>
      <c r="F757" s="138">
        <v>4.1900000000000004</v>
      </c>
      <c r="G757" s="138"/>
      <c r="H757" s="139">
        <f t="shared" si="185"/>
        <v>5448</v>
      </c>
      <c r="I757" s="139">
        <f t="shared" si="185"/>
        <v>5430</v>
      </c>
      <c r="J757" s="135"/>
      <c r="K757" s="138">
        <f>K$730</f>
        <v>4.3899999999999997</v>
      </c>
      <c r="L757" s="138"/>
      <c r="M757" s="139">
        <f>ROUND(D757*$K757,0)</f>
        <v>5689</v>
      </c>
      <c r="S757" s="145">
        <f>K757-'Order(Exhibit B)'!K757</f>
        <v>1.9999999999999574E-2</v>
      </c>
      <c r="T757" s="115">
        <f>M757-'Order(Exhibit B)'!M757</f>
        <v>25</v>
      </c>
    </row>
    <row r="758" spans="1:20">
      <c r="A758" s="136" t="s">
        <v>109</v>
      </c>
      <c r="C758" s="135">
        <v>268</v>
      </c>
      <c r="D758" s="135">
        <v>900.84080807398414</v>
      </c>
      <c r="E758" s="135"/>
      <c r="F758" s="138">
        <v>-0.5</v>
      </c>
      <c r="G758" s="138"/>
      <c r="H758" s="139">
        <f>ROUND($F758*C758,0)</f>
        <v>-134</v>
      </c>
      <c r="I758" s="139">
        <f>ROUND($F758*D758,0)</f>
        <v>-450</v>
      </c>
      <c r="J758" s="135"/>
      <c r="K758" s="138">
        <f>K$731</f>
        <v>-0.5</v>
      </c>
      <c r="L758" s="138"/>
      <c r="M758" s="139">
        <f>ROUND($K758*D758,0)</f>
        <v>-450</v>
      </c>
      <c r="S758" s="145">
        <f>K758-'Order(Exhibit B)'!K758</f>
        <v>0</v>
      </c>
      <c r="T758" s="115">
        <f>M758-'Order(Exhibit B)'!M758</f>
        <v>0</v>
      </c>
    </row>
    <row r="759" spans="1:20">
      <c r="A759" s="136" t="s">
        <v>287</v>
      </c>
      <c r="C759" s="135">
        <v>926031</v>
      </c>
      <c r="D759" s="135">
        <v>882456</v>
      </c>
      <c r="E759" s="135"/>
      <c r="F759" s="208">
        <v>3.5697000000000001</v>
      </c>
      <c r="G759" s="163" t="s">
        <v>112</v>
      </c>
      <c r="H759" s="139">
        <f>ROUND(C759*$F759/100,0)</f>
        <v>33057</v>
      </c>
      <c r="I759" s="139">
        <f>ROUND(D759*$F759/100,0)</f>
        <v>31501</v>
      </c>
      <c r="J759" s="135"/>
      <c r="K759" s="209">
        <f>K$732</f>
        <v>3.78</v>
      </c>
      <c r="L759" s="163" t="s">
        <v>112</v>
      </c>
      <c r="M759" s="139">
        <f>ROUND(D759*$K759/100,0)</f>
        <v>33357</v>
      </c>
      <c r="S759" s="145">
        <f>K759-'Order(Exhibit B)'!K759</f>
        <v>1.4199999999999768E-2</v>
      </c>
      <c r="T759" s="115">
        <f>M759-'Order(Exhibit B)'!M759</f>
        <v>125</v>
      </c>
    </row>
    <row r="760" spans="1:20">
      <c r="A760" s="172" t="s">
        <v>125</v>
      </c>
      <c r="B760" s="173"/>
      <c r="C760" s="135">
        <v>1238</v>
      </c>
      <c r="D760" s="135"/>
      <c r="E760" s="135"/>
      <c r="F760" s="174"/>
      <c r="G760" s="13"/>
      <c r="H760" s="139">
        <v>68</v>
      </c>
      <c r="I760" s="139"/>
      <c r="J760" s="135"/>
      <c r="K760" s="174"/>
      <c r="L760" s="13"/>
      <c r="M760" s="139"/>
      <c r="N760" s="164"/>
      <c r="O760" s="164"/>
      <c r="P760" s="164"/>
      <c r="S760" s="145">
        <f>K760-'Order(Exhibit B)'!K760</f>
        <v>0</v>
      </c>
      <c r="T760" s="115">
        <f>M760-'Order(Exhibit B)'!M760</f>
        <v>0</v>
      </c>
    </row>
    <row r="761" spans="1:20" ht="16.5" thickBot="1">
      <c r="A761" s="232" t="s">
        <v>127</v>
      </c>
      <c r="B761" s="177"/>
      <c r="C761" s="178">
        <f>C759+C760</f>
        <v>927269</v>
      </c>
      <c r="D761" s="178">
        <f t="shared" ref="D761" si="186">D759</f>
        <v>882456</v>
      </c>
      <c r="E761" s="178"/>
      <c r="F761" s="177"/>
      <c r="G761" s="177"/>
      <c r="H761" s="179">
        <f>SUM(H755:H760)</f>
        <v>50764</v>
      </c>
      <c r="I761" s="179">
        <f>SUM(I755:I760)</f>
        <v>48474</v>
      </c>
      <c r="J761" s="178"/>
      <c r="K761" s="177"/>
      <c r="L761" s="177"/>
      <c r="M761" s="179">
        <f>SUM(M755:M760)</f>
        <v>50842</v>
      </c>
      <c r="O761" s="132" t="s">
        <v>108</v>
      </c>
      <c r="P761" s="131">
        <f>M761/I761-1</f>
        <v>4.8850930395676118E-2</v>
      </c>
      <c r="S761" s="145">
        <f>K761-'Order(Exhibit B)'!K761</f>
        <v>0</v>
      </c>
      <c r="T761" s="115">
        <f>M761-'Order(Exhibit B)'!M761</f>
        <v>167</v>
      </c>
    </row>
    <row r="762" spans="1:20" ht="16.5" thickTop="1">
      <c r="C762" s="135"/>
      <c r="D762" s="135"/>
      <c r="E762" s="135"/>
      <c r="J762" s="135"/>
      <c r="S762" s="145">
        <f>K762-'Order(Exhibit B)'!K762</f>
        <v>0</v>
      </c>
      <c r="T762" s="115">
        <f>M762-'Order(Exhibit B)'!M762</f>
        <v>0</v>
      </c>
    </row>
    <row r="763" spans="1:20">
      <c r="A763" s="229" t="s">
        <v>288</v>
      </c>
      <c r="C763" s="135"/>
      <c r="D763" s="135"/>
      <c r="E763" s="135"/>
      <c r="H763" s="139"/>
      <c r="I763" s="139"/>
      <c r="J763" s="135"/>
      <c r="M763" s="139"/>
      <c r="S763" s="145">
        <f>K763-'Order(Exhibit B)'!K763</f>
        <v>0</v>
      </c>
      <c r="T763" s="115">
        <f>M763-'Order(Exhibit B)'!M763</f>
        <v>0</v>
      </c>
    </row>
    <row r="764" spans="1:20">
      <c r="A764" s="136" t="s">
        <v>143</v>
      </c>
      <c r="C764" s="135">
        <f>C771+C778+C785</f>
        <v>32996.543636363494</v>
      </c>
      <c r="D764" s="135">
        <f t="shared" ref="D764" si="187">D771+D778+D785</f>
        <v>32852.230948936682</v>
      </c>
      <c r="E764" s="135"/>
      <c r="F764" s="138">
        <v>5.5</v>
      </c>
      <c r="G764" s="138"/>
      <c r="H764" s="139">
        <f>ROUND(C764*$F764,0)</f>
        <v>181481</v>
      </c>
      <c r="I764" s="139">
        <f>ROUND(D764*$F764,0)</f>
        <v>180687</v>
      </c>
      <c r="J764" s="135"/>
      <c r="K764" s="138">
        <f>MROUND(F764*(1+P768),1)</f>
        <v>6</v>
      </c>
      <c r="L764" s="138"/>
      <c r="M764" s="139">
        <f>ROUND(D764*$K764,0)</f>
        <v>197113</v>
      </c>
      <c r="O764" s="146" t="s">
        <v>101</v>
      </c>
      <c r="P764" s="147">
        <f>M768</f>
        <v>870070</v>
      </c>
      <c r="S764" s="145">
        <f>K764-'Order(Exhibit B)'!K764</f>
        <v>0</v>
      </c>
      <c r="T764" s="115">
        <f>M764-'Order(Exhibit B)'!M764</f>
        <v>0</v>
      </c>
    </row>
    <row r="765" spans="1:20">
      <c r="A765" s="136" t="s">
        <v>109</v>
      </c>
      <c r="C765" s="135">
        <f>C772+C779+C786</f>
        <v>4396</v>
      </c>
      <c r="D765" s="135">
        <f>D772+D779+D786</f>
        <v>22835.362866568881</v>
      </c>
      <c r="E765" s="135"/>
      <c r="F765" s="138">
        <v>-0.5</v>
      </c>
      <c r="G765" s="138"/>
      <c r="H765" s="139">
        <f>ROUND($F765*C765,0)</f>
        <v>-2198</v>
      </c>
      <c r="I765" s="139">
        <f>ROUND($F765*D765,0)</f>
        <v>-11418</v>
      </c>
      <c r="J765" s="135"/>
      <c r="K765" s="138">
        <f>F765</f>
        <v>-0.5</v>
      </c>
      <c r="L765" s="138"/>
      <c r="M765" s="139">
        <f>ROUND($K765*D765,0)</f>
        <v>-11418</v>
      </c>
      <c r="O765" s="149" t="s">
        <v>103</v>
      </c>
      <c r="P765" s="150">
        <f>'Exhibit B(Rate Spread)'!M44*1000</f>
        <v>870069.55679808708</v>
      </c>
      <c r="S765" s="145">
        <f>K765-'Order(Exhibit B)'!K765</f>
        <v>0</v>
      </c>
      <c r="T765" s="115">
        <f>M765-'Order(Exhibit B)'!M765</f>
        <v>0</v>
      </c>
    </row>
    <row r="766" spans="1:20">
      <c r="A766" s="136" t="s">
        <v>287</v>
      </c>
      <c r="C766" s="135">
        <f>C773+C780+C787</f>
        <v>8370348.0083056297</v>
      </c>
      <c r="D766" s="135">
        <f>D773+D780+D787</f>
        <v>8267891.7022853922</v>
      </c>
      <c r="E766" s="135"/>
      <c r="F766" s="209">
        <v>8.0005000000000006</v>
      </c>
      <c r="G766" s="163" t="s">
        <v>112</v>
      </c>
      <c r="H766" s="139">
        <f>ROUND(C766*$F766/100,0)</f>
        <v>669670</v>
      </c>
      <c r="I766" s="139">
        <f>ROUND(D766*$F766/100,0)</f>
        <v>661473</v>
      </c>
      <c r="J766" s="135"/>
      <c r="K766" s="209">
        <f>ROUND((P765-M764-M765)/D766*100,P8)</f>
        <v>8.2774999999999999</v>
      </c>
      <c r="L766" s="163" t="s">
        <v>112</v>
      </c>
      <c r="M766" s="139">
        <f>ROUND(D766*$K766/100,0)</f>
        <v>684375</v>
      </c>
      <c r="O766" s="152" t="s">
        <v>105</v>
      </c>
      <c r="P766" s="153">
        <f>P765-P764</f>
        <v>-0.44320191291626543</v>
      </c>
      <c r="S766" s="145">
        <f>K766-'Order(Exhibit B)'!K766</f>
        <v>3.279999999999994E-2</v>
      </c>
      <c r="T766" s="115">
        <f>M766-'Order(Exhibit B)'!M766</f>
        <v>2712</v>
      </c>
    </row>
    <row r="767" spans="1:20">
      <c r="A767" s="172" t="s">
        <v>125</v>
      </c>
      <c r="B767" s="173"/>
      <c r="C767" s="135">
        <f>C774+C781+C788</f>
        <v>34885</v>
      </c>
      <c r="D767" s="135"/>
      <c r="E767" s="135"/>
      <c r="F767" s="174"/>
      <c r="G767" s="13"/>
      <c r="H767" s="139">
        <f>H774+H781+H788</f>
        <v>3516</v>
      </c>
      <c r="I767" s="139"/>
      <c r="J767" s="135"/>
      <c r="K767" s="174"/>
      <c r="L767" s="13"/>
      <c r="M767" s="139"/>
      <c r="N767" s="164"/>
      <c r="O767" s="146" t="s">
        <v>108</v>
      </c>
      <c r="P767" s="192">
        <f>P764/I768-1</f>
        <v>4.734081098584153E-2</v>
      </c>
      <c r="S767" s="145">
        <f>K767-'Order(Exhibit B)'!K767</f>
        <v>0</v>
      </c>
      <c r="T767" s="115">
        <f>M767-'Order(Exhibit B)'!M767</f>
        <v>0</v>
      </c>
    </row>
    <row r="768" spans="1:20" ht="16.5" thickBot="1">
      <c r="A768" s="232" t="s">
        <v>127</v>
      </c>
      <c r="B768" s="177"/>
      <c r="C768" s="178">
        <f t="shared" ref="C768:D768" si="188">C775+C782+C789</f>
        <v>8405233.0083056297</v>
      </c>
      <c r="D768" s="178">
        <f t="shared" si="188"/>
        <v>8267891.7022853922</v>
      </c>
      <c r="E768" s="178"/>
      <c r="F768" s="177"/>
      <c r="G768" s="177"/>
      <c r="H768" s="179">
        <f>SUM(H764:H767)</f>
        <v>852469</v>
      </c>
      <c r="I768" s="179">
        <f>SUM(I764:I767)</f>
        <v>830742</v>
      </c>
      <c r="J768" s="178"/>
      <c r="K768" s="177"/>
      <c r="L768" s="177"/>
      <c r="M768" s="179">
        <f>SUM(M764:M767)</f>
        <v>870070</v>
      </c>
      <c r="O768" s="167" t="s">
        <v>110</v>
      </c>
      <c r="P768" s="194">
        <f>P765/I768-1</f>
        <v>4.7340277484570592E-2</v>
      </c>
      <c r="S768" s="145">
        <f>K768-'Order(Exhibit B)'!K768</f>
        <v>0</v>
      </c>
      <c r="T768" s="115">
        <f>M768-'Order(Exhibit B)'!M768</f>
        <v>2712</v>
      </c>
    </row>
    <row r="769" spans="1:20" ht="16.5" thickTop="1">
      <c r="C769" s="135"/>
      <c r="D769" s="135"/>
      <c r="E769" s="135"/>
      <c r="J769" s="135"/>
      <c r="S769" s="145">
        <f>K769-'Order(Exhibit B)'!K769</f>
        <v>0</v>
      </c>
      <c r="T769" s="115">
        <f>M769-'Order(Exhibit B)'!M769</f>
        <v>0</v>
      </c>
    </row>
    <row r="770" spans="1:20">
      <c r="A770" s="229" t="s">
        <v>481</v>
      </c>
      <c r="C770" s="135"/>
      <c r="D770" s="135"/>
      <c r="E770" s="135"/>
      <c r="H770" s="139"/>
      <c r="I770" s="139"/>
      <c r="J770" s="135"/>
      <c r="M770" s="139"/>
      <c r="S770" s="145">
        <f>K770-'Order(Exhibit B)'!K770</f>
        <v>0</v>
      </c>
      <c r="T770" s="115">
        <f>M770-'Order(Exhibit B)'!M770</f>
        <v>0</v>
      </c>
    </row>
    <row r="771" spans="1:20">
      <c r="A771" s="136" t="s">
        <v>143</v>
      </c>
      <c r="C771" s="135">
        <v>14405.44</v>
      </c>
      <c r="D771" s="135">
        <v>14363</v>
      </c>
      <c r="E771" s="135"/>
      <c r="F771" s="138">
        <v>5.5</v>
      </c>
      <c r="G771" s="138"/>
      <c r="H771" s="139">
        <f>ROUND(C771*$F771,0)</f>
        <v>79230</v>
      </c>
      <c r="I771" s="139">
        <f>ROUND(D771*$F771,0)</f>
        <v>78997</v>
      </c>
      <c r="J771" s="135"/>
      <c r="K771" s="138">
        <f>K$764</f>
        <v>6</v>
      </c>
      <c r="L771" s="138"/>
      <c r="M771" s="139">
        <f>ROUND(D771*$K771,0)</f>
        <v>86178</v>
      </c>
      <c r="S771" s="145">
        <f>K771-'Order(Exhibit B)'!K771</f>
        <v>0</v>
      </c>
      <c r="T771" s="115">
        <f>M771-'Order(Exhibit B)'!M771</f>
        <v>0</v>
      </c>
    </row>
    <row r="772" spans="1:20">
      <c r="A772" s="136" t="s">
        <v>109</v>
      </c>
      <c r="C772" s="135">
        <v>2993</v>
      </c>
      <c r="D772" s="135">
        <v>9983.6238629372183</v>
      </c>
      <c r="E772" s="135"/>
      <c r="F772" s="138">
        <v>-0.5</v>
      </c>
      <c r="G772" s="138"/>
      <c r="H772" s="139">
        <f>ROUND($F772*C772,0)</f>
        <v>-1497</v>
      </c>
      <c r="I772" s="139">
        <f>ROUND($F772*D772,0)</f>
        <v>-4992</v>
      </c>
      <c r="J772" s="135"/>
      <c r="K772" s="138">
        <f>K$765</f>
        <v>-0.5</v>
      </c>
      <c r="L772" s="138"/>
      <c r="M772" s="139">
        <f>ROUND($K772*D772,0)</f>
        <v>-4992</v>
      </c>
      <c r="S772" s="145">
        <f>K772-'Order(Exhibit B)'!K772</f>
        <v>0</v>
      </c>
      <c r="T772" s="115">
        <f>M772-'Order(Exhibit B)'!M772</f>
        <v>0</v>
      </c>
    </row>
    <row r="773" spans="1:20">
      <c r="A773" s="136" t="s">
        <v>287</v>
      </c>
      <c r="C773" s="135">
        <v>3777726.7833385598</v>
      </c>
      <c r="D773" s="135">
        <v>3706094.2187096043</v>
      </c>
      <c r="E773" s="135"/>
      <c r="F773" s="209">
        <v>8.0005000000000006</v>
      </c>
      <c r="G773" s="163" t="s">
        <v>112</v>
      </c>
      <c r="H773" s="139">
        <f>ROUND(C773*$F773/100,0)</f>
        <v>302237</v>
      </c>
      <c r="I773" s="139">
        <f>ROUND(D773*$F773/100,0)</f>
        <v>296506</v>
      </c>
      <c r="J773" s="135"/>
      <c r="K773" s="209">
        <f>K$766</f>
        <v>8.2774999999999999</v>
      </c>
      <c r="L773" s="163" t="s">
        <v>112</v>
      </c>
      <c r="M773" s="139">
        <f>ROUND(D773*$K773/100,0)</f>
        <v>306772</v>
      </c>
      <c r="S773" s="145">
        <f>K773-'Order(Exhibit B)'!K773</f>
        <v>3.279999999999994E-2</v>
      </c>
      <c r="T773" s="115">
        <f>M773-'Order(Exhibit B)'!M773</f>
        <v>1216</v>
      </c>
    </row>
    <row r="774" spans="1:20">
      <c r="A774" s="172" t="s">
        <v>125</v>
      </c>
      <c r="B774" s="173"/>
      <c r="C774" s="135">
        <v>28806</v>
      </c>
      <c r="D774" s="135"/>
      <c r="E774" s="135"/>
      <c r="F774" s="174"/>
      <c r="G774" s="13"/>
      <c r="H774" s="139">
        <v>2882</v>
      </c>
      <c r="I774" s="139"/>
      <c r="J774" s="135"/>
      <c r="K774" s="174"/>
      <c r="L774" s="13"/>
      <c r="M774" s="139"/>
      <c r="N774" s="164"/>
      <c r="O774" s="164"/>
      <c r="P774" s="164"/>
      <c r="S774" s="145">
        <f>K774-'Order(Exhibit B)'!K774</f>
        <v>0</v>
      </c>
      <c r="T774" s="115">
        <f>M774-'Order(Exhibit B)'!M774</f>
        <v>0</v>
      </c>
    </row>
    <row r="775" spans="1:20" ht="16.5" thickBot="1">
      <c r="A775" s="232" t="s">
        <v>127</v>
      </c>
      <c r="B775" s="177"/>
      <c r="C775" s="178">
        <f>C773+C774</f>
        <v>3806532.7833385598</v>
      </c>
      <c r="D775" s="178">
        <f>D773</f>
        <v>3706094.2187096043</v>
      </c>
      <c r="E775" s="178"/>
      <c r="F775" s="177"/>
      <c r="G775" s="177"/>
      <c r="H775" s="179">
        <f>SUM(H771:H774)</f>
        <v>382852</v>
      </c>
      <c r="I775" s="179">
        <f>SUM(I771:I774)</f>
        <v>370511</v>
      </c>
      <c r="J775" s="178"/>
      <c r="K775" s="177"/>
      <c r="L775" s="177"/>
      <c r="M775" s="179">
        <f>SUM(M771:M774)</f>
        <v>387958</v>
      </c>
      <c r="O775" s="132" t="s">
        <v>108</v>
      </c>
      <c r="P775" s="131">
        <f>M775/I775-1</f>
        <v>4.7089020298992423E-2</v>
      </c>
      <c r="S775" s="145">
        <f>K775-'Order(Exhibit B)'!K775</f>
        <v>0</v>
      </c>
      <c r="T775" s="115">
        <f>M775-'Order(Exhibit B)'!M775</f>
        <v>1216</v>
      </c>
    </row>
    <row r="776" spans="1:20" ht="16.5" thickTop="1">
      <c r="C776" s="135"/>
      <c r="D776" s="135"/>
      <c r="E776" s="135"/>
      <c r="J776" s="135"/>
      <c r="S776" s="145">
        <f>K776-'Order(Exhibit B)'!K776</f>
        <v>0</v>
      </c>
      <c r="T776" s="115">
        <f>M776-'Order(Exhibit B)'!M776</f>
        <v>0</v>
      </c>
    </row>
    <row r="777" spans="1:20">
      <c r="A777" s="229" t="s">
        <v>482</v>
      </c>
      <c r="C777" s="135"/>
      <c r="D777" s="135"/>
      <c r="E777" s="135"/>
      <c r="H777" s="139"/>
      <c r="I777" s="139"/>
      <c r="J777" s="135"/>
      <c r="M777" s="139"/>
      <c r="S777" s="145">
        <f>K777-'Order(Exhibit B)'!K777</f>
        <v>0</v>
      </c>
      <c r="T777" s="115">
        <f>M777-'Order(Exhibit B)'!M777</f>
        <v>0</v>
      </c>
    </row>
    <row r="778" spans="1:20">
      <c r="A778" s="136" t="s">
        <v>143</v>
      </c>
      <c r="C778" s="135">
        <v>102.169090909091</v>
      </c>
      <c r="D778" s="135">
        <v>132</v>
      </c>
      <c r="E778" s="135"/>
      <c r="F778" s="138">
        <v>5.5</v>
      </c>
      <c r="G778" s="138"/>
      <c r="H778" s="139">
        <f>ROUND(C778*$F778,0)</f>
        <v>562</v>
      </c>
      <c r="I778" s="139">
        <f>ROUND(D778*$F778,0)</f>
        <v>726</v>
      </c>
      <c r="J778" s="135"/>
      <c r="K778" s="138">
        <f>K$764</f>
        <v>6</v>
      </c>
      <c r="L778" s="138"/>
      <c r="M778" s="139">
        <f>ROUND(D778*$K778,0)</f>
        <v>792</v>
      </c>
      <c r="S778" s="145">
        <f>K778-'Order(Exhibit B)'!K778</f>
        <v>0</v>
      </c>
      <c r="T778" s="115">
        <f>M778-'Order(Exhibit B)'!M778</f>
        <v>0</v>
      </c>
    </row>
    <row r="779" spans="1:20">
      <c r="A779" s="136" t="s">
        <v>109</v>
      </c>
      <c r="C779" s="135">
        <v>30</v>
      </c>
      <c r="D779" s="135">
        <v>91.752304526053933</v>
      </c>
      <c r="E779" s="135"/>
      <c r="F779" s="138">
        <v>-0.5</v>
      </c>
      <c r="G779" s="138"/>
      <c r="H779" s="139">
        <f>ROUND($F779*C779,0)</f>
        <v>-15</v>
      </c>
      <c r="I779" s="139">
        <f>ROUND($F779*D779,0)</f>
        <v>-46</v>
      </c>
      <c r="J779" s="135"/>
      <c r="K779" s="138">
        <f>K$765</f>
        <v>-0.5</v>
      </c>
      <c r="L779" s="138"/>
      <c r="M779" s="139">
        <f>ROUND($K779*D779,0)</f>
        <v>-46</v>
      </c>
      <c r="S779" s="145">
        <f>K779-'Order(Exhibit B)'!K779</f>
        <v>0</v>
      </c>
      <c r="T779" s="115">
        <f>M779-'Order(Exhibit B)'!M779</f>
        <v>0</v>
      </c>
    </row>
    <row r="780" spans="1:20">
      <c r="A780" s="136" t="s">
        <v>287</v>
      </c>
      <c r="C780" s="135">
        <v>57700</v>
      </c>
      <c r="D780" s="135">
        <v>111816</v>
      </c>
      <c r="E780" s="135"/>
      <c r="F780" s="209">
        <v>8.0005000000000006</v>
      </c>
      <c r="G780" s="163" t="s">
        <v>112</v>
      </c>
      <c r="H780" s="139">
        <f>ROUND(C780*$F780/100,0)</f>
        <v>4616</v>
      </c>
      <c r="I780" s="139">
        <f>ROUND(D780*$F780/100,0)</f>
        <v>8946</v>
      </c>
      <c r="J780" s="135"/>
      <c r="K780" s="209">
        <f>K$766</f>
        <v>8.2774999999999999</v>
      </c>
      <c r="L780" s="163" t="s">
        <v>112</v>
      </c>
      <c r="M780" s="139">
        <f>ROUND(D780*$K780/100,0)</f>
        <v>9256</v>
      </c>
      <c r="S780" s="145">
        <f>K780-'Order(Exhibit B)'!K780</f>
        <v>3.279999999999994E-2</v>
      </c>
      <c r="T780" s="115">
        <f>M780-'Order(Exhibit B)'!M780</f>
        <v>37</v>
      </c>
    </row>
    <row r="781" spans="1:20">
      <c r="A781" s="172" t="s">
        <v>125</v>
      </c>
      <c r="B781" s="173"/>
      <c r="C781" s="135">
        <v>14</v>
      </c>
      <c r="D781" s="135"/>
      <c r="E781" s="135"/>
      <c r="F781" s="174"/>
      <c r="G781" s="13"/>
      <c r="H781" s="139">
        <v>12</v>
      </c>
      <c r="I781" s="139"/>
      <c r="J781" s="135"/>
      <c r="K781" s="174"/>
      <c r="L781" s="13"/>
      <c r="M781" s="139"/>
      <c r="N781" s="164"/>
      <c r="O781" s="164"/>
      <c r="P781" s="164"/>
      <c r="S781" s="145">
        <f>K781-'Order(Exhibit B)'!K781</f>
        <v>0</v>
      </c>
      <c r="T781" s="115">
        <f>M781-'Order(Exhibit B)'!M781</f>
        <v>0</v>
      </c>
    </row>
    <row r="782" spans="1:20" ht="16.5" thickBot="1">
      <c r="A782" s="232" t="s">
        <v>127</v>
      </c>
      <c r="B782" s="177"/>
      <c r="C782" s="178">
        <f>C780+C781</f>
        <v>57714</v>
      </c>
      <c r="D782" s="178">
        <f>D780</f>
        <v>111816</v>
      </c>
      <c r="E782" s="178"/>
      <c r="F782" s="177"/>
      <c r="G782" s="177"/>
      <c r="H782" s="179">
        <f>SUM(H778:H781)</f>
        <v>5175</v>
      </c>
      <c r="I782" s="179">
        <f>SUM(I778:I781)</f>
        <v>9626</v>
      </c>
      <c r="J782" s="178"/>
      <c r="K782" s="177"/>
      <c r="L782" s="177"/>
      <c r="M782" s="179">
        <f>SUM(M778:M781)</f>
        <v>10002</v>
      </c>
      <c r="O782" s="132" t="s">
        <v>108</v>
      </c>
      <c r="P782" s="131">
        <f>M782/I782-1</f>
        <v>3.9060876792021526E-2</v>
      </c>
      <c r="S782" s="145">
        <f>K782-'Order(Exhibit B)'!K782</f>
        <v>0</v>
      </c>
      <c r="T782" s="115">
        <f>M782-'Order(Exhibit B)'!M782</f>
        <v>37</v>
      </c>
    </row>
    <row r="783" spans="1:20" ht="16.5" thickTop="1">
      <c r="C783" s="135"/>
      <c r="D783" s="135"/>
      <c r="E783" s="135"/>
      <c r="J783" s="135"/>
      <c r="S783" s="145">
        <f>K783-'Order(Exhibit B)'!K783</f>
        <v>0</v>
      </c>
      <c r="T783" s="115">
        <f>M783-'Order(Exhibit B)'!M783</f>
        <v>0</v>
      </c>
    </row>
    <row r="784" spans="1:20">
      <c r="A784" s="229" t="s">
        <v>483</v>
      </c>
      <c r="C784" s="135"/>
      <c r="D784" s="135"/>
      <c r="E784" s="135"/>
      <c r="H784" s="139"/>
      <c r="I784" s="139"/>
      <c r="J784" s="135"/>
      <c r="M784" s="139"/>
      <c r="S784" s="145">
        <f>K784-'Order(Exhibit B)'!K784</f>
        <v>0</v>
      </c>
      <c r="T784" s="115">
        <f>M784-'Order(Exhibit B)'!M784</f>
        <v>0</v>
      </c>
    </row>
    <row r="785" spans="1:20">
      <c r="A785" s="136" t="s">
        <v>143</v>
      </c>
      <c r="C785" s="135">
        <v>18488.934545454402</v>
      </c>
      <c r="D785" s="135">
        <v>18357.230948936682</v>
      </c>
      <c r="E785" s="135"/>
      <c r="F785" s="138">
        <v>5.5</v>
      </c>
      <c r="G785" s="138"/>
      <c r="H785" s="139">
        <f>ROUND(C785*$F785,0)</f>
        <v>101689</v>
      </c>
      <c r="I785" s="139">
        <f>ROUND(D785*$F785,0)</f>
        <v>100965</v>
      </c>
      <c r="J785" s="135"/>
      <c r="K785" s="138">
        <f>K$764</f>
        <v>6</v>
      </c>
      <c r="L785" s="138"/>
      <c r="M785" s="139">
        <f>ROUND(D785*$K785,0)</f>
        <v>110143</v>
      </c>
      <c r="S785" s="145">
        <f>K785-'Order(Exhibit B)'!K785</f>
        <v>0</v>
      </c>
      <c r="T785" s="115">
        <f>M785-'Order(Exhibit B)'!M785</f>
        <v>0</v>
      </c>
    </row>
    <row r="786" spans="1:20">
      <c r="A786" s="136" t="s">
        <v>109</v>
      </c>
      <c r="C786" s="135">
        <v>1373</v>
      </c>
      <c r="D786" s="135">
        <v>12759.98669910561</v>
      </c>
      <c r="E786" s="135"/>
      <c r="F786" s="138">
        <v>-0.5</v>
      </c>
      <c r="G786" s="138"/>
      <c r="H786" s="139">
        <f>ROUND($F786*C786,0)</f>
        <v>-687</v>
      </c>
      <c r="I786" s="139">
        <f>ROUND($F786*D786,0)</f>
        <v>-6380</v>
      </c>
      <c r="J786" s="135"/>
      <c r="K786" s="138">
        <f>K$765</f>
        <v>-0.5</v>
      </c>
      <c r="L786" s="138"/>
      <c r="M786" s="139">
        <f>ROUND($K786*D786,0)</f>
        <v>-6380</v>
      </c>
      <c r="S786" s="145">
        <f>K786-'Order(Exhibit B)'!K786</f>
        <v>0</v>
      </c>
      <c r="T786" s="115">
        <f>M786-'Order(Exhibit B)'!M786</f>
        <v>0</v>
      </c>
    </row>
    <row r="787" spans="1:20">
      <c r="A787" s="136" t="s">
        <v>287</v>
      </c>
      <c r="C787" s="135">
        <v>4534921.2249670699</v>
      </c>
      <c r="D787" s="135">
        <v>4449981.4835757874</v>
      </c>
      <c r="E787" s="135"/>
      <c r="F787" s="209">
        <v>8.0005000000000006</v>
      </c>
      <c r="G787" s="163" t="s">
        <v>112</v>
      </c>
      <c r="H787" s="139">
        <f>ROUND(C787*$F787/100,0)</f>
        <v>362816</v>
      </c>
      <c r="I787" s="139">
        <f>ROUND(D787*$F787/100,0)</f>
        <v>356021</v>
      </c>
      <c r="J787" s="135"/>
      <c r="K787" s="209">
        <f>K$766</f>
        <v>8.2774999999999999</v>
      </c>
      <c r="L787" s="163" t="s">
        <v>112</v>
      </c>
      <c r="M787" s="139">
        <f>ROUND(D787*$K787/100,0)</f>
        <v>368347</v>
      </c>
      <c r="S787" s="145">
        <f>K787-'Order(Exhibit B)'!K787</f>
        <v>3.279999999999994E-2</v>
      </c>
      <c r="T787" s="115">
        <f>M787-'Order(Exhibit B)'!M787</f>
        <v>1459</v>
      </c>
    </row>
    <row r="788" spans="1:20">
      <c r="A788" s="172" t="s">
        <v>125</v>
      </c>
      <c r="B788" s="173"/>
      <c r="C788" s="135">
        <v>6065</v>
      </c>
      <c r="D788" s="135"/>
      <c r="E788" s="135"/>
      <c r="F788" s="174"/>
      <c r="G788" s="13"/>
      <c r="H788" s="139">
        <v>622</v>
      </c>
      <c r="I788" s="139"/>
      <c r="J788" s="135"/>
      <c r="K788" s="174"/>
      <c r="L788" s="13"/>
      <c r="M788" s="139"/>
      <c r="N788" s="164"/>
      <c r="O788" s="164"/>
      <c r="P788" s="164"/>
      <c r="S788" s="145">
        <f>K788-'Order(Exhibit B)'!K788</f>
        <v>0</v>
      </c>
      <c r="T788" s="115">
        <f>M788-'Order(Exhibit B)'!M788</f>
        <v>0</v>
      </c>
    </row>
    <row r="789" spans="1:20" ht="16.5" thickBot="1">
      <c r="A789" s="232" t="s">
        <v>127</v>
      </c>
      <c r="B789" s="177"/>
      <c r="C789" s="178">
        <f>C787+C788</f>
        <v>4540986.2249670699</v>
      </c>
      <c r="D789" s="178">
        <f t="shared" ref="D789" si="189">D787</f>
        <v>4449981.4835757874</v>
      </c>
      <c r="E789" s="178"/>
      <c r="F789" s="177"/>
      <c r="G789" s="177"/>
      <c r="H789" s="179">
        <f>SUM(H785:H788)</f>
        <v>464440</v>
      </c>
      <c r="I789" s="179">
        <f>SUM(I785:I788)</f>
        <v>450606</v>
      </c>
      <c r="J789" s="178"/>
      <c r="K789" s="177"/>
      <c r="L789" s="177"/>
      <c r="M789" s="179">
        <f>SUM(M785:M788)</f>
        <v>472110</v>
      </c>
      <c r="O789" s="132" t="s">
        <v>108</v>
      </c>
      <c r="P789" s="131">
        <f>M789/I789-1</f>
        <v>4.7722400500659123E-2</v>
      </c>
      <c r="S789" s="145">
        <f>K789-'Order(Exhibit B)'!K789</f>
        <v>0</v>
      </c>
      <c r="T789" s="115">
        <f>M789-'Order(Exhibit B)'!M789</f>
        <v>1459</v>
      </c>
    </row>
    <row r="790" spans="1:20" ht="16.5" thickTop="1">
      <c r="A790" s="136"/>
      <c r="C790" s="135"/>
      <c r="D790" s="135"/>
      <c r="E790" s="135"/>
      <c r="F790" s="233"/>
      <c r="G790" s="234"/>
      <c r="H790" s="139"/>
      <c r="I790" s="139"/>
      <c r="J790" s="135"/>
      <c r="K790" s="233"/>
      <c r="L790" s="234"/>
      <c r="M790" s="139"/>
      <c r="S790" s="145">
        <f>K790-'Order(Exhibit B)'!K790</f>
        <v>0</v>
      </c>
      <c r="T790" s="115">
        <f>M790-'Order(Exhibit B)'!M790</f>
        <v>0</v>
      </c>
    </row>
    <row r="791" spans="1:20">
      <c r="A791" s="133" t="s">
        <v>289</v>
      </c>
      <c r="C791" s="135"/>
      <c r="D791" s="135"/>
      <c r="E791" s="135"/>
      <c r="J791" s="135"/>
      <c r="S791" s="145">
        <f>K791-'Order(Exhibit B)'!K791</f>
        <v>0</v>
      </c>
      <c r="T791" s="115">
        <f>M791-'Order(Exhibit B)'!M791</f>
        <v>0</v>
      </c>
    </row>
    <row r="792" spans="1:20">
      <c r="A792" s="136" t="s">
        <v>143</v>
      </c>
      <c r="C792" s="135">
        <f>C808+C824+C840</f>
        <v>1178294.4469998989</v>
      </c>
      <c r="D792" s="135">
        <f>D808+D824+D840</f>
        <v>1212908.1003307132</v>
      </c>
      <c r="E792" s="135"/>
      <c r="F792" s="190">
        <v>10</v>
      </c>
      <c r="G792" s="190"/>
      <c r="H792" s="139">
        <f t="shared" ref="H792:I797" si="190">ROUND($F792*C792,0)</f>
        <v>11782944</v>
      </c>
      <c r="I792" s="139">
        <f t="shared" si="190"/>
        <v>12129081</v>
      </c>
      <c r="J792" s="135"/>
      <c r="K792" s="190">
        <f>ROUND(F792*(1+$P$796),0)</f>
        <v>10</v>
      </c>
      <c r="L792" s="190"/>
      <c r="M792" s="139">
        <f t="shared" ref="M792:M797" si="191">ROUND($K792*D792,0)</f>
        <v>12129081</v>
      </c>
      <c r="O792" s="146" t="s">
        <v>101</v>
      </c>
      <c r="P792" s="147">
        <f>M805+M869</f>
        <v>181756154</v>
      </c>
      <c r="S792" s="145">
        <f>K792-'Order(Exhibit B)'!K792</f>
        <v>0</v>
      </c>
      <c r="T792" s="115">
        <f>M792-'Order(Exhibit B)'!M792</f>
        <v>0</v>
      </c>
    </row>
    <row r="793" spans="1:20">
      <c r="A793" s="136" t="s">
        <v>290</v>
      </c>
      <c r="C793" s="135">
        <f>C809+C825+C841</f>
        <v>75.600000000000009</v>
      </c>
      <c r="D793" s="135">
        <f>D809+D825+D841</f>
        <v>78</v>
      </c>
      <c r="E793" s="135"/>
      <c r="F793" s="190">
        <v>10</v>
      </c>
      <c r="G793" s="190"/>
      <c r="H793" s="139">
        <f t="shared" si="190"/>
        <v>756</v>
      </c>
      <c r="I793" s="139">
        <f t="shared" si="190"/>
        <v>780</v>
      </c>
      <c r="J793" s="135"/>
      <c r="K793" s="190">
        <f>K792</f>
        <v>10</v>
      </c>
      <c r="L793" s="190"/>
      <c r="M793" s="139">
        <f t="shared" si="191"/>
        <v>780</v>
      </c>
      <c r="O793" s="149" t="s">
        <v>103</v>
      </c>
      <c r="P793" s="150">
        <f>'Exhibit B(Rate Spread)'!M28*1000</f>
        <v>181756669.44823331</v>
      </c>
      <c r="S793" s="145">
        <f>K793-'Order(Exhibit B)'!K793</f>
        <v>0</v>
      </c>
      <c r="T793" s="115">
        <f>M793-'Order(Exhibit B)'!M793</f>
        <v>0</v>
      </c>
    </row>
    <row r="794" spans="1:20">
      <c r="A794" s="136" t="s">
        <v>106</v>
      </c>
      <c r="C794" s="135">
        <f t="shared" ref="C794:D805" si="192">C810+C826+C842</f>
        <v>0</v>
      </c>
      <c r="D794" s="135">
        <f>ROUND($C794/$C$10*D$10,0)</f>
        <v>0</v>
      </c>
      <c r="E794" s="135"/>
      <c r="F794" s="138">
        <v>2</v>
      </c>
      <c r="G794" s="138"/>
      <c r="H794" s="139">
        <f t="shared" si="190"/>
        <v>0</v>
      </c>
      <c r="I794" s="139">
        <f t="shared" si="190"/>
        <v>0</v>
      </c>
      <c r="J794" s="135"/>
      <c r="K794" s="138">
        <f>F794</f>
        <v>2</v>
      </c>
      <c r="L794" s="138"/>
      <c r="M794" s="139">
        <f t="shared" si="191"/>
        <v>0</v>
      </c>
      <c r="N794" s="148"/>
      <c r="O794" s="152" t="s">
        <v>105</v>
      </c>
      <c r="P794" s="153">
        <f>P793-P792</f>
        <v>515.44823330640793</v>
      </c>
      <c r="Q794" s="148"/>
      <c r="S794" s="145">
        <f>K794-'Order(Exhibit B)'!K794</f>
        <v>0</v>
      </c>
      <c r="T794" s="115">
        <f>M794-'Order(Exhibit B)'!M794</f>
        <v>0</v>
      </c>
    </row>
    <row r="795" spans="1:20">
      <c r="A795" s="136" t="s">
        <v>109</v>
      </c>
      <c r="C795" s="135">
        <f t="shared" si="192"/>
        <v>557019</v>
      </c>
      <c r="D795" s="135">
        <v>843084.19230046356</v>
      </c>
      <c r="E795" s="135"/>
      <c r="F795" s="138">
        <v>-0.5</v>
      </c>
      <c r="G795" s="138"/>
      <c r="H795" s="139">
        <f t="shared" si="190"/>
        <v>-278510</v>
      </c>
      <c r="I795" s="139">
        <f t="shared" si="190"/>
        <v>-421542</v>
      </c>
      <c r="J795" s="135"/>
      <c r="K795" s="138">
        <f>F795</f>
        <v>-0.5</v>
      </c>
      <c r="L795" s="138"/>
      <c r="M795" s="139">
        <f t="shared" si="191"/>
        <v>-421542</v>
      </c>
      <c r="O795" s="146" t="s">
        <v>108</v>
      </c>
      <c r="P795" s="191">
        <f>P792/(I805+I869)-1</f>
        <v>3.3275718200374893E-2</v>
      </c>
      <c r="S795" s="145">
        <f>K795-'Order(Exhibit B)'!K795</f>
        <v>0</v>
      </c>
      <c r="T795" s="115">
        <f>M795-'Order(Exhibit B)'!M795</f>
        <v>0</v>
      </c>
    </row>
    <row r="796" spans="1:20">
      <c r="A796" s="136" t="s">
        <v>291</v>
      </c>
      <c r="C796" s="135">
        <f t="shared" si="192"/>
        <v>317572.45106861461</v>
      </c>
      <c r="D796" s="135">
        <f t="shared" si="192"/>
        <v>380982</v>
      </c>
      <c r="E796" s="135"/>
      <c r="F796" s="190">
        <v>8.89</v>
      </c>
      <c r="G796" s="190"/>
      <c r="H796" s="139">
        <f t="shared" si="190"/>
        <v>2823219</v>
      </c>
      <c r="I796" s="139">
        <f t="shared" si="190"/>
        <v>3386930</v>
      </c>
      <c r="J796" s="135"/>
      <c r="K796" s="190">
        <f>ROUND(F796*(1+$P$796),2)</f>
        <v>9.19</v>
      </c>
      <c r="L796" s="190"/>
      <c r="M796" s="139">
        <f t="shared" si="191"/>
        <v>3501225</v>
      </c>
      <c r="O796" s="149" t="s">
        <v>110</v>
      </c>
      <c r="P796" s="191">
        <f>P793/(I805+I869)-1</f>
        <v>3.3278648500844721E-2</v>
      </c>
      <c r="S796" s="145">
        <f>K796-'Order(Exhibit B)'!K796</f>
        <v>2.9999999999999361E-2</v>
      </c>
      <c r="T796" s="115">
        <f>M796-'Order(Exhibit B)'!M796</f>
        <v>11430</v>
      </c>
    </row>
    <row r="797" spans="1:20">
      <c r="A797" s="136" t="s">
        <v>292</v>
      </c>
      <c r="C797" s="135">
        <f t="shared" si="192"/>
        <v>386452.48030495248</v>
      </c>
      <c r="D797" s="135">
        <f t="shared" si="192"/>
        <v>462611</v>
      </c>
      <c r="E797" s="135"/>
      <c r="F797" s="190">
        <v>7.87</v>
      </c>
      <c r="G797" s="190"/>
      <c r="H797" s="139">
        <f t="shared" si="190"/>
        <v>3041381</v>
      </c>
      <c r="I797" s="139">
        <f t="shared" si="190"/>
        <v>3640749</v>
      </c>
      <c r="J797" s="135"/>
      <c r="K797" s="190">
        <f>ROUND(F797*(1+$P$796),2)</f>
        <v>8.1300000000000008</v>
      </c>
      <c r="L797" s="190"/>
      <c r="M797" s="139">
        <f t="shared" si="191"/>
        <v>3761027</v>
      </c>
      <c r="O797" s="149" t="s">
        <v>162</v>
      </c>
      <c r="P797" s="191"/>
      <c r="S797" s="145">
        <f>K797-'Order(Exhibit B)'!K797</f>
        <v>2.000000000000135E-2</v>
      </c>
      <c r="T797" s="115">
        <f>M797-'Order(Exhibit B)'!M797</f>
        <v>9252</v>
      </c>
    </row>
    <row r="798" spans="1:20">
      <c r="A798" s="136" t="s">
        <v>293</v>
      </c>
      <c r="C798" s="135">
        <f t="shared" si="192"/>
        <v>264284599</v>
      </c>
      <c r="D798" s="135">
        <f t="shared" si="192"/>
        <v>320576251.76313418</v>
      </c>
      <c r="E798" s="135"/>
      <c r="F798" s="193">
        <v>11.712</v>
      </c>
      <c r="G798" s="202" t="s">
        <v>112</v>
      </c>
      <c r="H798" s="139">
        <f t="shared" ref="H798:I801" si="193">ROUND($F798*C798/100,0)</f>
        <v>30953012</v>
      </c>
      <c r="I798" s="139">
        <f t="shared" si="193"/>
        <v>37545891</v>
      </c>
      <c r="J798" s="135"/>
      <c r="K798" s="193">
        <f>ROUND((P793-SUM(M792:M797,M799,M801:M803,M856:M861,M863,M865:M867))/SUM(D798,D862,(D800+D864)/P799)*100,P8)</f>
        <v>12.1439</v>
      </c>
      <c r="L798" s="202" t="s">
        <v>112</v>
      </c>
      <c r="M798" s="139">
        <f>ROUND($K798*D798/100,0)</f>
        <v>38930459</v>
      </c>
      <c r="O798" s="167" t="s">
        <v>119</v>
      </c>
      <c r="P798" s="194"/>
      <c r="S798" s="145">
        <f>K798-'Order(Exhibit B)'!K798</f>
        <v>3.8700000000000401E-2</v>
      </c>
      <c r="T798" s="115">
        <f>M798-'Order(Exhibit B)'!M798</f>
        <v>124063</v>
      </c>
    </row>
    <row r="799" spans="1:20">
      <c r="A799" s="136" t="s">
        <v>294</v>
      </c>
      <c r="C799" s="135">
        <f t="shared" si="192"/>
        <v>267496252.07428494</v>
      </c>
      <c r="D799" s="135">
        <f t="shared" si="192"/>
        <v>325604478.68349415</v>
      </c>
      <c r="E799" s="135"/>
      <c r="F799" s="193">
        <v>6.5567000000000002</v>
      </c>
      <c r="G799" s="202" t="s">
        <v>112</v>
      </c>
      <c r="H799" s="139">
        <f t="shared" si="193"/>
        <v>17538927</v>
      </c>
      <c r="I799" s="139">
        <f t="shared" si="193"/>
        <v>21348909</v>
      </c>
      <c r="J799" s="135"/>
      <c r="K799" s="193">
        <f>ROUND(F799*(1+$P$796),$P$8)</f>
        <v>6.7748999999999997</v>
      </c>
      <c r="L799" s="202" t="s">
        <v>112</v>
      </c>
      <c r="M799" s="139">
        <f>ROUND($K799*D799/100,0)</f>
        <v>22059378</v>
      </c>
      <c r="O799" s="142" t="s">
        <v>166</v>
      </c>
      <c r="P799" s="143">
        <v>1.1299999999999999</v>
      </c>
      <c r="S799" s="145">
        <f>K799-'Order(Exhibit B)'!K799</f>
        <v>1.9400000000000084E-2</v>
      </c>
      <c r="T799" s="115">
        <f>M799-'Order(Exhibit B)'!M799</f>
        <v>63167</v>
      </c>
    </row>
    <row r="800" spans="1:20">
      <c r="A800" s="136" t="s">
        <v>295</v>
      </c>
      <c r="C800" s="135">
        <f t="shared" si="192"/>
        <v>528045944</v>
      </c>
      <c r="D800" s="135">
        <f t="shared" si="192"/>
        <v>628523600.49702084</v>
      </c>
      <c r="E800" s="135"/>
      <c r="F800" s="193">
        <v>10.364599999999999</v>
      </c>
      <c r="G800" s="202" t="s">
        <v>112</v>
      </c>
      <c r="H800" s="139">
        <f t="shared" si="193"/>
        <v>54729850</v>
      </c>
      <c r="I800" s="139">
        <f t="shared" si="193"/>
        <v>65143957</v>
      </c>
      <c r="J800" s="135"/>
      <c r="K800" s="193">
        <f>ROUND(K798/P799,$P$8)</f>
        <v>10.7468</v>
      </c>
      <c r="L800" s="202" t="s">
        <v>112</v>
      </c>
      <c r="M800" s="139">
        <f>ROUND($K800*D800/100,0)</f>
        <v>67546174</v>
      </c>
      <c r="O800" s="142" t="s">
        <v>296</v>
      </c>
      <c r="P800" s="143">
        <f>F798-F799</f>
        <v>5.1552999999999995</v>
      </c>
      <c r="Q800" s="162">
        <f>F798/F800</f>
        <v>1.1300001929645138</v>
      </c>
      <c r="R800" s="114">
        <f>K798/K800</f>
        <v>1.1300014888152752</v>
      </c>
      <c r="S800" s="145">
        <f>K800-'Order(Exhibit B)'!K800</f>
        <v>3.420000000000023E-2</v>
      </c>
      <c r="T800" s="115">
        <f>M800-'Order(Exhibit B)'!M800</f>
        <v>214955</v>
      </c>
    </row>
    <row r="801" spans="1:20">
      <c r="A801" s="136" t="s">
        <v>297</v>
      </c>
      <c r="C801" s="135">
        <f t="shared" si="192"/>
        <v>434379627.97725922</v>
      </c>
      <c r="D801" s="135">
        <f t="shared" si="192"/>
        <v>518415821.36793309</v>
      </c>
      <c r="E801" s="135"/>
      <c r="F801" s="193">
        <v>5.8023999999999996</v>
      </c>
      <c r="G801" s="202" t="s">
        <v>112</v>
      </c>
      <c r="H801" s="139">
        <f t="shared" si="193"/>
        <v>25204444</v>
      </c>
      <c r="I801" s="139">
        <f t="shared" si="193"/>
        <v>30080560</v>
      </c>
      <c r="J801" s="135"/>
      <c r="K801" s="193">
        <f>ROUND(K799/P799,$P$8)</f>
        <v>5.9954999999999998</v>
      </c>
      <c r="L801" s="202" t="s">
        <v>112</v>
      </c>
      <c r="M801" s="139">
        <f>ROUND($K801*D801/100,0)</f>
        <v>31081621</v>
      </c>
      <c r="P801" s="114">
        <f>K798-K799</f>
        <v>5.3690000000000007</v>
      </c>
      <c r="R801" s="114">
        <f>K799/K801</f>
        <v>1.1299974981235927</v>
      </c>
      <c r="S801" s="145">
        <f>K801-'Order(Exhibit B)'!K801</f>
        <v>1.7199999999999882E-2</v>
      </c>
      <c r="T801" s="115">
        <f>M801-'Order(Exhibit B)'!M801</f>
        <v>89168</v>
      </c>
    </row>
    <row r="802" spans="1:20">
      <c r="A802" s="136" t="s">
        <v>150</v>
      </c>
      <c r="C802" s="135">
        <f t="shared" si="192"/>
        <v>16560.729166666701</v>
      </c>
      <c r="D802" s="135">
        <f t="shared" si="192"/>
        <v>19835</v>
      </c>
      <c r="E802" s="135"/>
      <c r="F802" s="190">
        <v>-0.48</v>
      </c>
      <c r="G802" s="163"/>
      <c r="H802" s="139">
        <f>ROUND($F802*C802,0)</f>
        <v>-7949</v>
      </c>
      <c r="I802" s="139">
        <f>ROUND($F802*D802,0)</f>
        <v>-9521</v>
      </c>
      <c r="J802" s="135"/>
      <c r="K802" s="190">
        <f>F802</f>
        <v>-0.48</v>
      </c>
      <c r="L802" s="163"/>
      <c r="M802" s="139">
        <f>ROUND($K802*D802,0)</f>
        <v>-9521</v>
      </c>
      <c r="P802" s="114">
        <v>7.4249999999999998</v>
      </c>
      <c r="S802" s="145">
        <f>K802-'Order(Exhibit B)'!K802</f>
        <v>0</v>
      </c>
      <c r="T802" s="115">
        <f>M802-'Order(Exhibit B)'!M802</f>
        <v>0</v>
      </c>
    </row>
    <row r="803" spans="1:20">
      <c r="A803" s="172" t="s">
        <v>123</v>
      </c>
      <c r="C803" s="135">
        <f t="shared" si="192"/>
        <v>3202574</v>
      </c>
      <c r="D803" s="135">
        <f t="shared" si="192"/>
        <v>3838343</v>
      </c>
      <c r="E803" s="135"/>
      <c r="F803" s="174">
        <v>10.3811</v>
      </c>
      <c r="G803" s="13" t="s">
        <v>112</v>
      </c>
      <c r="H803" s="139">
        <f>ROUND($F803*C803/100,0)</f>
        <v>332462</v>
      </c>
      <c r="I803" s="139">
        <f>ROUND($F803*D803/100,0)</f>
        <v>398462</v>
      </c>
      <c r="J803" s="135"/>
      <c r="K803" s="175">
        <f>'Order(Exhibit B)'!K803</f>
        <v>11.267099999999999</v>
      </c>
      <c r="L803" s="13" t="s">
        <v>112</v>
      </c>
      <c r="M803" s="139">
        <f>ROUND($K803*D803/100,0)</f>
        <v>432470</v>
      </c>
      <c r="P803" s="145"/>
      <c r="S803" s="145">
        <f>K803-'Order(Exhibit B)'!K803</f>
        <v>0</v>
      </c>
      <c r="T803" s="115">
        <f>M803-'Order(Exhibit B)'!M803</f>
        <v>0</v>
      </c>
    </row>
    <row r="804" spans="1:20">
      <c r="A804" s="172" t="s">
        <v>125</v>
      </c>
      <c r="B804" s="173"/>
      <c r="C804" s="135">
        <f t="shared" si="192"/>
        <v>10625042</v>
      </c>
      <c r="D804" s="135"/>
      <c r="E804" s="135"/>
      <c r="F804" s="174"/>
      <c r="G804" s="13"/>
      <c r="H804" s="139">
        <f t="shared" ref="H804" si="194">H820+H836+H852</f>
        <v>1041247</v>
      </c>
      <c r="I804" s="139"/>
      <c r="J804" s="135"/>
      <c r="K804" s="174"/>
      <c r="L804" s="13"/>
      <c r="M804" s="139"/>
      <c r="N804" s="164"/>
      <c r="P804" s="145">
        <f>K803-P802</f>
        <v>3.8420999999999994</v>
      </c>
      <c r="S804" s="145">
        <f>K804-'Order(Exhibit B)'!K804</f>
        <v>0</v>
      </c>
      <c r="T804" s="115">
        <f>M804-'Order(Exhibit B)'!M804</f>
        <v>0</v>
      </c>
    </row>
    <row r="805" spans="1:20" ht="16.5" thickBot="1">
      <c r="A805" s="176" t="s">
        <v>127</v>
      </c>
      <c r="B805" s="177"/>
      <c r="C805" s="178">
        <f t="shared" si="192"/>
        <v>1508034039.0515442</v>
      </c>
      <c r="D805" s="178">
        <f t="shared" si="192"/>
        <v>1796958495.3115826</v>
      </c>
      <c r="E805" s="178"/>
      <c r="F805" s="177"/>
      <c r="G805" s="177"/>
      <c r="H805" s="179">
        <f>SUM(H792:H804)</f>
        <v>147161783</v>
      </c>
      <c r="I805" s="179">
        <f>SUM(I792:I804)</f>
        <v>173244256</v>
      </c>
      <c r="J805" s="178"/>
      <c r="K805" s="177"/>
      <c r="L805" s="177"/>
      <c r="M805" s="179">
        <f>SUM(M792:M804)</f>
        <v>179011152</v>
      </c>
      <c r="O805" s="114" t="s">
        <v>108</v>
      </c>
      <c r="P805" s="164">
        <f>M805/I805-1</f>
        <v>3.3287660631011073E-2</v>
      </c>
      <c r="S805" s="145">
        <f>K805-'Order(Exhibit B)'!K805</f>
        <v>0</v>
      </c>
      <c r="T805" s="115">
        <f>M805-'Order(Exhibit B)'!M805</f>
        <v>512035</v>
      </c>
    </row>
    <row r="806" spans="1:20" ht="16.5" thickTop="1">
      <c r="C806" s="135"/>
      <c r="D806" s="135"/>
      <c r="E806" s="135"/>
      <c r="J806" s="135"/>
      <c r="S806" s="145">
        <f>K806-'Order(Exhibit B)'!K806</f>
        <v>0</v>
      </c>
      <c r="T806" s="115">
        <f>M806-'Order(Exhibit B)'!M806</f>
        <v>0</v>
      </c>
    </row>
    <row r="807" spans="1:20">
      <c r="A807" s="133" t="s">
        <v>484</v>
      </c>
      <c r="C807" s="135"/>
      <c r="D807" s="135"/>
      <c r="E807" s="135"/>
      <c r="J807" s="135"/>
      <c r="O807" s="164" t="s">
        <v>128</v>
      </c>
      <c r="P807" s="159" t="s">
        <v>26</v>
      </c>
      <c r="Q807" s="114" t="s">
        <v>6</v>
      </c>
      <c r="S807" s="145">
        <f>K807-'Order(Exhibit B)'!K807</f>
        <v>0</v>
      </c>
      <c r="T807" s="115">
        <f>M807-'Order(Exhibit B)'!M807</f>
        <v>0</v>
      </c>
    </row>
    <row r="808" spans="1:20">
      <c r="A808" s="136" t="s">
        <v>143</v>
      </c>
      <c r="C808" s="135">
        <v>968033.14699988998</v>
      </c>
      <c r="D808" s="135">
        <v>994250.43962440221</v>
      </c>
      <c r="E808" s="135"/>
      <c r="F808" s="190">
        <v>10</v>
      </c>
      <c r="G808" s="190"/>
      <c r="H808" s="139">
        <f t="shared" ref="H808:I813" si="195">ROUND($F808*C808,0)</f>
        <v>9680331</v>
      </c>
      <c r="I808" s="139">
        <f t="shared" si="195"/>
        <v>9942504</v>
      </c>
      <c r="J808" s="135"/>
      <c r="K808" s="190">
        <f>K$792</f>
        <v>10</v>
      </c>
      <c r="L808" s="190"/>
      <c r="M808" s="139">
        <f t="shared" ref="M808:M813" si="196">ROUND($K808*D808,0)</f>
        <v>9942504</v>
      </c>
      <c r="O808" s="114" t="s">
        <v>105</v>
      </c>
      <c r="P808" s="145">
        <v>2.9561000000000002</v>
      </c>
      <c r="Q808" s="145">
        <f>Q810-Q809</f>
        <v>3.8420999999999994</v>
      </c>
      <c r="S808" s="145">
        <f>K808-'Order(Exhibit B)'!K808</f>
        <v>0</v>
      </c>
      <c r="T808" s="115">
        <f>M808-'Order(Exhibit B)'!M808</f>
        <v>0</v>
      </c>
    </row>
    <row r="809" spans="1:20">
      <c r="A809" s="136" t="s">
        <v>290</v>
      </c>
      <c r="C809" s="135">
        <v>61.033000000000001</v>
      </c>
      <c r="D809" s="135">
        <f>ROUND($C809*D$808/$C$808,0)</f>
        <v>63</v>
      </c>
      <c r="E809" s="135"/>
      <c r="F809" s="190">
        <v>10</v>
      </c>
      <c r="G809" s="190"/>
      <c r="H809" s="139">
        <f t="shared" si="195"/>
        <v>610</v>
      </c>
      <c r="I809" s="139">
        <f t="shared" si="195"/>
        <v>630</v>
      </c>
      <c r="J809" s="135"/>
      <c r="K809" s="190">
        <f>K$793</f>
        <v>10</v>
      </c>
      <c r="L809" s="190"/>
      <c r="M809" s="139">
        <f t="shared" si="196"/>
        <v>630</v>
      </c>
      <c r="O809" s="145" t="s">
        <v>129</v>
      </c>
      <c r="P809" s="145">
        <v>7.4249999999999998</v>
      </c>
      <c r="Q809" s="145">
        <f>P809</f>
        <v>7.4249999999999998</v>
      </c>
      <c r="S809" s="145">
        <f>K809-'Order(Exhibit B)'!K809</f>
        <v>0</v>
      </c>
      <c r="T809" s="115">
        <f>M809-'Order(Exhibit B)'!M809</f>
        <v>0</v>
      </c>
    </row>
    <row r="810" spans="1:20">
      <c r="A810" s="136" t="s">
        <v>106</v>
      </c>
      <c r="C810" s="135">
        <v>0</v>
      </c>
      <c r="D810" s="135">
        <f>ROUND($C810*D$808/$C$808,0)</f>
        <v>0</v>
      </c>
      <c r="E810" s="135"/>
      <c r="F810" s="138">
        <v>2</v>
      </c>
      <c r="G810" s="138"/>
      <c r="H810" s="139">
        <f t="shared" si="195"/>
        <v>0</v>
      </c>
      <c r="I810" s="139">
        <f t="shared" si="195"/>
        <v>0</v>
      </c>
      <c r="J810" s="135"/>
      <c r="K810" s="138">
        <f>K$794</f>
        <v>2</v>
      </c>
      <c r="L810" s="138"/>
      <c r="M810" s="139">
        <f t="shared" si="196"/>
        <v>0</v>
      </c>
      <c r="N810" s="148"/>
      <c r="O810" s="164" t="s">
        <v>130</v>
      </c>
      <c r="P810" s="145">
        <f>SUM(P808:P809)</f>
        <v>10.3811</v>
      </c>
      <c r="Q810" s="145">
        <f>K803</f>
        <v>11.267099999999999</v>
      </c>
      <c r="S810" s="145">
        <f>K810-'Order(Exhibit B)'!K810</f>
        <v>0</v>
      </c>
      <c r="T810" s="115">
        <f>M810-'Order(Exhibit B)'!M810</f>
        <v>0</v>
      </c>
    </row>
    <row r="811" spans="1:20">
      <c r="A811" s="136" t="s">
        <v>109</v>
      </c>
      <c r="C811" s="135">
        <v>480948</v>
      </c>
      <c r="D811" s="135">
        <v>691096.73569379665</v>
      </c>
      <c r="E811" s="135"/>
      <c r="F811" s="138">
        <v>-0.5</v>
      </c>
      <c r="G811" s="138"/>
      <c r="H811" s="139">
        <f t="shared" si="195"/>
        <v>-240474</v>
      </c>
      <c r="I811" s="139">
        <f t="shared" si="195"/>
        <v>-345548</v>
      </c>
      <c r="J811" s="135"/>
      <c r="K811" s="138">
        <f>K$795</f>
        <v>-0.5</v>
      </c>
      <c r="L811" s="138"/>
      <c r="M811" s="139">
        <f t="shared" si="196"/>
        <v>-345548</v>
      </c>
      <c r="S811" s="145">
        <f>K811-'Order(Exhibit B)'!K811</f>
        <v>0</v>
      </c>
      <c r="T811" s="115">
        <f>M811-'Order(Exhibit B)'!M811</f>
        <v>0</v>
      </c>
    </row>
    <row r="812" spans="1:20">
      <c r="A812" s="136" t="s">
        <v>291</v>
      </c>
      <c r="C812" s="135">
        <v>297711.55230595998</v>
      </c>
      <c r="D812" s="135">
        <f>ROUND(D$821*$C812/$C$821,0)</f>
        <v>359886</v>
      </c>
      <c r="E812" s="135"/>
      <c r="F812" s="190">
        <v>8.89</v>
      </c>
      <c r="G812" s="190"/>
      <c r="H812" s="139">
        <f t="shared" si="195"/>
        <v>2646656</v>
      </c>
      <c r="I812" s="139">
        <f t="shared" si="195"/>
        <v>3199387</v>
      </c>
      <c r="J812" s="135"/>
      <c r="K812" s="190">
        <f>K$796</f>
        <v>9.19</v>
      </c>
      <c r="L812" s="190"/>
      <c r="M812" s="139">
        <f t="shared" si="196"/>
        <v>3307352</v>
      </c>
      <c r="S812" s="145">
        <f>K812-'Order(Exhibit B)'!K812</f>
        <v>2.9999999999999361E-2</v>
      </c>
      <c r="T812" s="115">
        <f>M812-'Order(Exhibit B)'!M812</f>
        <v>10796</v>
      </c>
    </row>
    <row r="813" spans="1:20">
      <c r="A813" s="136" t="s">
        <v>292</v>
      </c>
      <c r="C813" s="135">
        <v>355582.12579415197</v>
      </c>
      <c r="D813" s="135">
        <f>ROUND(D$821*$C813/$C$821,0)</f>
        <v>429843</v>
      </c>
      <c r="E813" s="135"/>
      <c r="F813" s="190">
        <v>7.87</v>
      </c>
      <c r="G813" s="190"/>
      <c r="H813" s="139">
        <f t="shared" si="195"/>
        <v>2798431</v>
      </c>
      <c r="I813" s="139">
        <f t="shared" si="195"/>
        <v>3382864</v>
      </c>
      <c r="J813" s="135"/>
      <c r="K813" s="190">
        <f>K$797</f>
        <v>8.1300000000000008</v>
      </c>
      <c r="L813" s="190"/>
      <c r="M813" s="139">
        <f t="shared" si="196"/>
        <v>3494624</v>
      </c>
      <c r="S813" s="145">
        <f>K813-'Order(Exhibit B)'!K813</f>
        <v>2.000000000000135E-2</v>
      </c>
      <c r="T813" s="115">
        <f>M813-'Order(Exhibit B)'!M813</f>
        <v>8597</v>
      </c>
    </row>
    <row r="814" spans="1:20">
      <c r="A814" s="136" t="s">
        <v>293</v>
      </c>
      <c r="C814" s="135">
        <v>237084829</v>
      </c>
      <c r="D814" s="135">
        <v>290928510.46871942</v>
      </c>
      <c r="E814" s="135"/>
      <c r="F814" s="193">
        <v>11.712</v>
      </c>
      <c r="G814" s="202" t="s">
        <v>112</v>
      </c>
      <c r="H814" s="139">
        <f t="shared" ref="H814:I817" si="197">ROUND($F814*C814/100,0)</f>
        <v>27767375</v>
      </c>
      <c r="I814" s="139">
        <f t="shared" si="197"/>
        <v>34073547</v>
      </c>
      <c r="J814" s="135"/>
      <c r="K814" s="193">
        <f>K$798</f>
        <v>12.1439</v>
      </c>
      <c r="L814" s="202" t="s">
        <v>112</v>
      </c>
      <c r="M814" s="139">
        <f>ROUND($K814*D814/100,0)</f>
        <v>35330067</v>
      </c>
      <c r="S814" s="145">
        <f>K814-'Order(Exhibit B)'!K814</f>
        <v>3.8700000000000401E-2</v>
      </c>
      <c r="T814" s="115">
        <f>M814-'Order(Exhibit B)'!M814</f>
        <v>112589</v>
      </c>
    </row>
    <row r="815" spans="1:20">
      <c r="A815" s="136" t="s">
        <v>294</v>
      </c>
      <c r="C815" s="135">
        <v>246818743.89453647</v>
      </c>
      <c r="D815" s="135">
        <v>302873067.92202133</v>
      </c>
      <c r="E815" s="135"/>
      <c r="F815" s="193">
        <v>6.5567000000000002</v>
      </c>
      <c r="G815" s="202" t="s">
        <v>112</v>
      </c>
      <c r="H815" s="139">
        <f t="shared" si="197"/>
        <v>16183165</v>
      </c>
      <c r="I815" s="139">
        <f t="shared" si="197"/>
        <v>19858478</v>
      </c>
      <c r="J815" s="135"/>
      <c r="K815" s="193">
        <f>K$799</f>
        <v>6.7748999999999997</v>
      </c>
      <c r="L815" s="202" t="s">
        <v>112</v>
      </c>
      <c r="M815" s="139">
        <f>ROUND($K815*D815/100,0)</f>
        <v>20519347</v>
      </c>
      <c r="S815" s="145">
        <f>K815-'Order(Exhibit B)'!K815</f>
        <v>1.9400000000000084E-2</v>
      </c>
      <c r="T815" s="115">
        <f>M815-'Order(Exhibit B)'!M815</f>
        <v>58757</v>
      </c>
    </row>
    <row r="816" spans="1:20">
      <c r="A816" s="136" t="s">
        <v>295</v>
      </c>
      <c r="C816" s="135">
        <v>466762887</v>
      </c>
      <c r="D816" s="135">
        <v>566219606.16186285</v>
      </c>
      <c r="E816" s="135"/>
      <c r="F816" s="193">
        <v>10.364599999999999</v>
      </c>
      <c r="G816" s="202" t="s">
        <v>112</v>
      </c>
      <c r="H816" s="139">
        <f t="shared" si="197"/>
        <v>48378106</v>
      </c>
      <c r="I816" s="139">
        <f t="shared" si="197"/>
        <v>58686397</v>
      </c>
      <c r="J816" s="135"/>
      <c r="K816" s="193">
        <f>K$800</f>
        <v>10.7468</v>
      </c>
      <c r="L816" s="202" t="s">
        <v>112</v>
      </c>
      <c r="M816" s="139">
        <f>ROUND($K816*D816/100,0)</f>
        <v>60850489</v>
      </c>
      <c r="S816" s="145">
        <f>K816-'Order(Exhibit B)'!K816</f>
        <v>3.420000000000023E-2</v>
      </c>
      <c r="T816" s="115">
        <f>M816-'Order(Exhibit B)'!M816</f>
        <v>193647</v>
      </c>
    </row>
    <row r="817" spans="1:20">
      <c r="A817" s="136" t="s">
        <v>297</v>
      </c>
      <c r="C817" s="135">
        <v>390220069.57729995</v>
      </c>
      <c r="D817" s="135">
        <f>D821-D814-D815-D816-D819</f>
        <v>473367228.34288549</v>
      </c>
      <c r="E817" s="135"/>
      <c r="F817" s="193">
        <v>5.8023999999999996</v>
      </c>
      <c r="G817" s="202" t="s">
        <v>112</v>
      </c>
      <c r="H817" s="139">
        <f t="shared" si="197"/>
        <v>22642129</v>
      </c>
      <c r="I817" s="139">
        <f t="shared" si="197"/>
        <v>27466660</v>
      </c>
      <c r="J817" s="135"/>
      <c r="K817" s="193">
        <f>K$801</f>
        <v>5.9954999999999998</v>
      </c>
      <c r="L817" s="202" t="s">
        <v>112</v>
      </c>
      <c r="M817" s="139">
        <f>ROUND($K817*D817/100,0)</f>
        <v>28380732</v>
      </c>
      <c r="S817" s="145">
        <f>K817-'Order(Exhibit B)'!K817</f>
        <v>1.7199999999999882E-2</v>
      </c>
      <c r="T817" s="115">
        <f>M817-'Order(Exhibit B)'!M817</f>
        <v>81419</v>
      </c>
    </row>
    <row r="818" spans="1:20">
      <c r="A818" s="136" t="s">
        <v>150</v>
      </c>
      <c r="C818" s="135">
        <v>14962.729166666701</v>
      </c>
      <c r="D818" s="135">
        <f>ROUND(D$821*$C818/$C$821,0)</f>
        <v>18088</v>
      </c>
      <c r="E818" s="135"/>
      <c r="F818" s="190">
        <v>-0.48</v>
      </c>
      <c r="G818" s="163"/>
      <c r="H818" s="139">
        <f>ROUND($F818*C818,0)</f>
        <v>-7182</v>
      </c>
      <c r="I818" s="139">
        <f>ROUND($F818*D818,0)</f>
        <v>-8682</v>
      </c>
      <c r="J818" s="135"/>
      <c r="K818" s="190">
        <f>K$802</f>
        <v>-0.48</v>
      </c>
      <c r="L818" s="163"/>
      <c r="M818" s="139">
        <f>ROUND($K818*D818,0)</f>
        <v>-8682</v>
      </c>
      <c r="S818" s="145">
        <f>K818-'Order(Exhibit B)'!K818</f>
        <v>0</v>
      </c>
      <c r="T818" s="115">
        <f>M818-'Order(Exhibit B)'!M818</f>
        <v>0</v>
      </c>
    </row>
    <row r="819" spans="1:20">
      <c r="A819" s="172" t="s">
        <v>123</v>
      </c>
      <c r="C819" s="135">
        <v>2949489</v>
      </c>
      <c r="D819" s="135">
        <f>ROUND(D$821*$C819/$C$821,0)</f>
        <v>3565468</v>
      </c>
      <c r="E819" s="135"/>
      <c r="F819" s="174">
        <v>10.3811</v>
      </c>
      <c r="G819" s="13" t="s">
        <v>112</v>
      </c>
      <c r="H819" s="139">
        <f>ROUND($F819*C819/100,0)</f>
        <v>306189</v>
      </c>
      <c r="I819" s="139">
        <f>ROUND($F819*D819/100,0)</f>
        <v>370135</v>
      </c>
      <c r="J819" s="135"/>
      <c r="K819" s="174">
        <f>K$803</f>
        <v>11.267099999999999</v>
      </c>
      <c r="L819" s="13" t="s">
        <v>112</v>
      </c>
      <c r="M819" s="139">
        <f>ROUND($K819*D819/100,0)</f>
        <v>401725</v>
      </c>
      <c r="S819" s="145">
        <f>K819-'Order(Exhibit B)'!K819</f>
        <v>0</v>
      </c>
      <c r="T819" s="115">
        <f>M819-'Order(Exhibit B)'!M819</f>
        <v>0</v>
      </c>
    </row>
    <row r="820" spans="1:20">
      <c r="A820" s="172" t="s">
        <v>125</v>
      </c>
      <c r="B820" s="173"/>
      <c r="C820" s="135">
        <v>10313585</v>
      </c>
      <c r="D820" s="135"/>
      <c r="E820" s="135"/>
      <c r="F820" s="174"/>
      <c r="G820" s="13"/>
      <c r="H820" s="139">
        <v>992633</v>
      </c>
      <c r="I820" s="139"/>
      <c r="J820" s="135"/>
      <c r="K820" s="174"/>
      <c r="L820" s="13"/>
      <c r="M820" s="139"/>
      <c r="N820" s="164"/>
      <c r="O820" s="164"/>
      <c r="P820" s="164"/>
      <c r="S820" s="145">
        <f>K820-'Order(Exhibit B)'!K820</f>
        <v>0</v>
      </c>
      <c r="T820" s="115">
        <f>M820-'Order(Exhibit B)'!M820</f>
        <v>0</v>
      </c>
    </row>
    <row r="821" spans="1:20" ht="16.5" thickBot="1">
      <c r="A821" s="176" t="s">
        <v>127</v>
      </c>
      <c r="B821" s="177"/>
      <c r="C821" s="178">
        <f>SUM(C814:C817,C819:C820)</f>
        <v>1354149603.4718366</v>
      </c>
      <c r="D821" s="178">
        <v>1636953880.8954892</v>
      </c>
      <c r="E821" s="178"/>
      <c r="F821" s="177"/>
      <c r="G821" s="177"/>
      <c r="H821" s="179">
        <f>SUM(H808:H820)</f>
        <v>131147969</v>
      </c>
      <c r="I821" s="179">
        <f>SUM(I808:I820)</f>
        <v>156626372</v>
      </c>
      <c r="J821" s="178"/>
      <c r="K821" s="177"/>
      <c r="L821" s="177"/>
      <c r="M821" s="179">
        <f>SUM(M808:M820)</f>
        <v>161873240</v>
      </c>
      <c r="O821" s="114" t="s">
        <v>108</v>
      </c>
      <c r="P821" s="164">
        <f>M821/I821-1</f>
        <v>3.3499262818907694E-2</v>
      </c>
      <c r="S821" s="145">
        <f>K821-'Order(Exhibit B)'!K821</f>
        <v>0</v>
      </c>
      <c r="T821" s="115">
        <f>M821-'Order(Exhibit B)'!M821</f>
        <v>465805</v>
      </c>
    </row>
    <row r="822" spans="1:20" ht="16.5" thickTop="1">
      <c r="C822" s="135"/>
      <c r="D822" s="135"/>
      <c r="E822" s="135"/>
      <c r="J822" s="135"/>
      <c r="S822" s="145">
        <f>K822-'Order(Exhibit B)'!K822</f>
        <v>0</v>
      </c>
      <c r="T822" s="115">
        <f>M822-'Order(Exhibit B)'!M822</f>
        <v>0</v>
      </c>
    </row>
    <row r="823" spans="1:20">
      <c r="A823" s="133" t="s">
        <v>485</v>
      </c>
      <c r="C823" s="135"/>
      <c r="D823" s="135"/>
      <c r="E823" s="135"/>
      <c r="J823" s="135"/>
      <c r="S823" s="145">
        <f>K823-'Order(Exhibit B)'!K823</f>
        <v>0</v>
      </c>
      <c r="T823" s="115">
        <f>M823-'Order(Exhibit B)'!M823</f>
        <v>0</v>
      </c>
    </row>
    <row r="824" spans="1:20">
      <c r="A824" s="136" t="s">
        <v>143</v>
      </c>
      <c r="C824" s="135">
        <v>36346.2489999998</v>
      </c>
      <c r="D824" s="135">
        <v>36617.660706310984</v>
      </c>
      <c r="E824" s="135"/>
      <c r="F824" s="190">
        <v>10</v>
      </c>
      <c r="G824" s="190"/>
      <c r="H824" s="139">
        <f t="shared" ref="H824:I829" si="198">ROUND($F824*C824,0)</f>
        <v>363462</v>
      </c>
      <c r="I824" s="139">
        <f t="shared" si="198"/>
        <v>366177</v>
      </c>
      <c r="J824" s="135"/>
      <c r="K824" s="190">
        <f>K$792</f>
        <v>10</v>
      </c>
      <c r="L824" s="190"/>
      <c r="M824" s="139">
        <f t="shared" ref="M824:M829" si="199">ROUND($K824*D824,0)</f>
        <v>366177</v>
      </c>
      <c r="S824" s="145">
        <f>K824-'Order(Exhibit B)'!K824</f>
        <v>0</v>
      </c>
      <c r="T824" s="115">
        <f>M824-'Order(Exhibit B)'!M824</f>
        <v>0</v>
      </c>
    </row>
    <row r="825" spans="1:20">
      <c r="A825" s="136" t="s">
        <v>290</v>
      </c>
      <c r="C825" s="135">
        <v>6.9</v>
      </c>
      <c r="D825" s="135">
        <f>ROUND($C825*D$824/$C$824,0)</f>
        <v>7</v>
      </c>
      <c r="E825" s="135"/>
      <c r="F825" s="190">
        <v>10</v>
      </c>
      <c r="G825" s="190"/>
      <c r="H825" s="139">
        <f t="shared" si="198"/>
        <v>69</v>
      </c>
      <c r="I825" s="139">
        <f t="shared" si="198"/>
        <v>70</v>
      </c>
      <c r="J825" s="135"/>
      <c r="K825" s="190">
        <f>K$793</f>
        <v>10</v>
      </c>
      <c r="L825" s="190"/>
      <c r="M825" s="139">
        <f t="shared" si="199"/>
        <v>70</v>
      </c>
      <c r="S825" s="145">
        <f>K825-'Order(Exhibit B)'!K825</f>
        <v>0</v>
      </c>
      <c r="T825" s="115">
        <f>M825-'Order(Exhibit B)'!M825</f>
        <v>0</v>
      </c>
    </row>
    <row r="826" spans="1:20">
      <c r="A826" s="136" t="s">
        <v>106</v>
      </c>
      <c r="C826" s="135">
        <v>0</v>
      </c>
      <c r="D826" s="135">
        <f>ROUND($C826*D$824/$C$824,0)</f>
        <v>0</v>
      </c>
      <c r="E826" s="135"/>
      <c r="F826" s="138">
        <v>2</v>
      </c>
      <c r="G826" s="138"/>
      <c r="H826" s="139">
        <f t="shared" si="198"/>
        <v>0</v>
      </c>
      <c r="I826" s="139">
        <f t="shared" si="198"/>
        <v>0</v>
      </c>
      <c r="J826" s="135"/>
      <c r="K826" s="138">
        <f>K$794</f>
        <v>2</v>
      </c>
      <c r="L826" s="138"/>
      <c r="M826" s="139">
        <f t="shared" si="199"/>
        <v>0</v>
      </c>
      <c r="N826" s="148"/>
      <c r="O826" s="148"/>
      <c r="P826" s="148"/>
      <c r="Q826" s="148"/>
      <c r="S826" s="145">
        <f>K826-'Order(Exhibit B)'!K826</f>
        <v>0</v>
      </c>
      <c r="T826" s="115">
        <f>M826-'Order(Exhibit B)'!M826</f>
        <v>0</v>
      </c>
    </row>
    <row r="827" spans="1:20">
      <c r="A827" s="136" t="s">
        <v>109</v>
      </c>
      <c r="C827" s="135">
        <v>14701</v>
      </c>
      <c r="D827" s="135">
        <v>25452.687546645189</v>
      </c>
      <c r="E827" s="135"/>
      <c r="F827" s="138">
        <v>-0.5</v>
      </c>
      <c r="G827" s="138"/>
      <c r="H827" s="139">
        <f t="shared" si="198"/>
        <v>-7351</v>
      </c>
      <c r="I827" s="139">
        <f t="shared" si="198"/>
        <v>-12726</v>
      </c>
      <c r="J827" s="135"/>
      <c r="K827" s="138">
        <f>K$795</f>
        <v>-0.5</v>
      </c>
      <c r="L827" s="138"/>
      <c r="M827" s="139">
        <f t="shared" si="199"/>
        <v>-12726</v>
      </c>
      <c r="S827" s="145">
        <f>K827-'Order(Exhibit B)'!K827</f>
        <v>0</v>
      </c>
      <c r="T827" s="115">
        <f>M827-'Order(Exhibit B)'!M827</f>
        <v>0</v>
      </c>
    </row>
    <row r="828" spans="1:20">
      <c r="A828" s="136" t="s">
        <v>291</v>
      </c>
      <c r="C828" s="135">
        <v>11923.7829021372</v>
      </c>
      <c r="D828" s="135">
        <f>ROUND($C828*D$837/$C$837,0)</f>
        <v>13036</v>
      </c>
      <c r="E828" s="135"/>
      <c r="F828" s="190">
        <v>8.89</v>
      </c>
      <c r="G828" s="190"/>
      <c r="H828" s="139">
        <f t="shared" si="198"/>
        <v>106002</v>
      </c>
      <c r="I828" s="139">
        <f t="shared" si="198"/>
        <v>115890</v>
      </c>
      <c r="J828" s="135"/>
      <c r="K828" s="190">
        <f>K$796</f>
        <v>9.19</v>
      </c>
      <c r="L828" s="190"/>
      <c r="M828" s="139">
        <f t="shared" si="199"/>
        <v>119801</v>
      </c>
      <c r="S828" s="145">
        <f>K828-'Order(Exhibit B)'!K828</f>
        <v>2.9999999999999361E-2</v>
      </c>
      <c r="T828" s="115">
        <f>M828-'Order(Exhibit B)'!M828</f>
        <v>391</v>
      </c>
    </row>
    <row r="829" spans="1:20">
      <c r="A829" s="136" t="s">
        <v>292</v>
      </c>
      <c r="C829" s="135">
        <v>18259.679796696299</v>
      </c>
      <c r="D829" s="135">
        <f>ROUND($C829*D$837/$C$837,0)</f>
        <v>19962</v>
      </c>
      <c r="E829" s="135"/>
      <c r="F829" s="190">
        <v>7.87</v>
      </c>
      <c r="G829" s="190"/>
      <c r="H829" s="139">
        <f t="shared" si="198"/>
        <v>143704</v>
      </c>
      <c r="I829" s="139">
        <f t="shared" si="198"/>
        <v>157101</v>
      </c>
      <c r="J829" s="135"/>
      <c r="K829" s="190">
        <f>K$797</f>
        <v>8.1300000000000008</v>
      </c>
      <c r="L829" s="190"/>
      <c r="M829" s="139">
        <f t="shared" si="199"/>
        <v>162291</v>
      </c>
      <c r="S829" s="145">
        <f>K829-'Order(Exhibit B)'!K829</f>
        <v>2.000000000000135E-2</v>
      </c>
      <c r="T829" s="115">
        <f>M829-'Order(Exhibit B)'!M829</f>
        <v>399</v>
      </c>
    </row>
    <row r="830" spans="1:20">
      <c r="A830" s="136" t="s">
        <v>293</v>
      </c>
      <c r="C830" s="135">
        <v>8021934</v>
      </c>
      <c r="D830" s="135">
        <v>9309448.3104247097</v>
      </c>
      <c r="E830" s="135"/>
      <c r="F830" s="193">
        <v>11.712</v>
      </c>
      <c r="G830" s="202" t="s">
        <v>112</v>
      </c>
      <c r="H830" s="139">
        <f t="shared" ref="H830:I833" si="200">ROUND($F830*C830/100,0)</f>
        <v>939529</v>
      </c>
      <c r="I830" s="139">
        <f t="shared" si="200"/>
        <v>1090323</v>
      </c>
      <c r="J830" s="135"/>
      <c r="K830" s="193">
        <f>K$798</f>
        <v>12.1439</v>
      </c>
      <c r="L830" s="202" t="s">
        <v>112</v>
      </c>
      <c r="M830" s="139">
        <f>ROUND($K830*D830/100,0)</f>
        <v>1130530</v>
      </c>
      <c r="S830" s="145">
        <f>K830-'Order(Exhibit B)'!K830</f>
        <v>3.8700000000000401E-2</v>
      </c>
      <c r="T830" s="115">
        <f>M830-'Order(Exhibit B)'!M830</f>
        <v>3603</v>
      </c>
    </row>
    <row r="831" spans="1:20">
      <c r="A831" s="136" t="s">
        <v>294</v>
      </c>
      <c r="C831" s="135">
        <v>8027889</v>
      </c>
      <c r="D831" s="135">
        <v>9316359.083398981</v>
      </c>
      <c r="E831" s="135"/>
      <c r="F831" s="193">
        <v>6.5567000000000002</v>
      </c>
      <c r="G831" s="202" t="s">
        <v>112</v>
      </c>
      <c r="H831" s="139">
        <f t="shared" si="200"/>
        <v>526365</v>
      </c>
      <c r="I831" s="139">
        <f t="shared" si="200"/>
        <v>610846</v>
      </c>
      <c r="J831" s="135"/>
      <c r="K831" s="193">
        <f>K$799</f>
        <v>6.7748999999999997</v>
      </c>
      <c r="L831" s="202" t="s">
        <v>112</v>
      </c>
      <c r="M831" s="139">
        <f>ROUND($K831*D831/100,0)</f>
        <v>631174</v>
      </c>
      <c r="S831" s="145">
        <f>K831-'Order(Exhibit B)'!K831</f>
        <v>1.9400000000000084E-2</v>
      </c>
      <c r="T831" s="115">
        <f>M831-'Order(Exhibit B)'!M831</f>
        <v>1807</v>
      </c>
    </row>
    <row r="832" spans="1:20">
      <c r="A832" s="136" t="s">
        <v>295</v>
      </c>
      <c r="C832" s="135">
        <v>16985677</v>
      </c>
      <c r="D832" s="135">
        <v>17999909.309717909</v>
      </c>
      <c r="E832" s="135"/>
      <c r="F832" s="193">
        <v>10.364599999999999</v>
      </c>
      <c r="G832" s="202" t="s">
        <v>112</v>
      </c>
      <c r="H832" s="139">
        <f t="shared" si="200"/>
        <v>1760497</v>
      </c>
      <c r="I832" s="139">
        <f t="shared" si="200"/>
        <v>1865619</v>
      </c>
      <c r="J832" s="135"/>
      <c r="K832" s="193">
        <f>K$800</f>
        <v>10.7468</v>
      </c>
      <c r="L832" s="202" t="s">
        <v>112</v>
      </c>
      <c r="M832" s="139">
        <f>ROUND($K832*D832/100,0)</f>
        <v>1934414</v>
      </c>
      <c r="S832" s="145">
        <f>K832-'Order(Exhibit B)'!K832</f>
        <v>3.420000000000023E-2</v>
      </c>
      <c r="T832" s="115">
        <f>M832-'Order(Exhibit B)'!M832</f>
        <v>6156</v>
      </c>
    </row>
    <row r="833" spans="1:20">
      <c r="A833" s="136" t="s">
        <v>297</v>
      </c>
      <c r="C833" s="135">
        <v>14814563</v>
      </c>
      <c r="D833" s="135">
        <f>D837-D830-D831-D832-D835</f>
        <v>15699155.851315342</v>
      </c>
      <c r="E833" s="135"/>
      <c r="F833" s="193">
        <v>5.8023999999999996</v>
      </c>
      <c r="G833" s="202" t="s">
        <v>112</v>
      </c>
      <c r="H833" s="139">
        <f t="shared" si="200"/>
        <v>859600</v>
      </c>
      <c r="I833" s="139">
        <f t="shared" si="200"/>
        <v>910928</v>
      </c>
      <c r="J833" s="135"/>
      <c r="K833" s="193">
        <f>K$801</f>
        <v>5.9954999999999998</v>
      </c>
      <c r="L833" s="202" t="s">
        <v>112</v>
      </c>
      <c r="M833" s="139">
        <f>ROUND($K833*D833/100,0)</f>
        <v>941243</v>
      </c>
      <c r="S833" s="145">
        <f>K833-'Order(Exhibit B)'!K833</f>
        <v>1.7199999999999882E-2</v>
      </c>
      <c r="T833" s="115">
        <f>M833-'Order(Exhibit B)'!M833</f>
        <v>2700</v>
      </c>
    </row>
    <row r="834" spans="1:20">
      <c r="A834" s="136" t="s">
        <v>150</v>
      </c>
      <c r="C834" s="135">
        <v>1598</v>
      </c>
      <c r="D834" s="135">
        <f>ROUND(D$837*$C834/$C$837,0)</f>
        <v>1747</v>
      </c>
      <c r="E834" s="135"/>
      <c r="F834" s="190">
        <v>-0.48</v>
      </c>
      <c r="G834" s="163"/>
      <c r="H834" s="139">
        <f>ROUND($F834*C834,0)</f>
        <v>-767</v>
      </c>
      <c r="I834" s="139">
        <f>ROUND($F834*D834,0)</f>
        <v>-839</v>
      </c>
      <c r="J834" s="135"/>
      <c r="K834" s="190">
        <f>K$802</f>
        <v>-0.48</v>
      </c>
      <c r="L834" s="163"/>
      <c r="M834" s="139">
        <f>ROUND($K834*D834,0)</f>
        <v>-839</v>
      </c>
      <c r="S834" s="145">
        <f>K834-'Order(Exhibit B)'!K834</f>
        <v>0</v>
      </c>
      <c r="T834" s="115">
        <f>M834-'Order(Exhibit B)'!M834</f>
        <v>0</v>
      </c>
    </row>
    <row r="835" spans="1:20">
      <c r="A835" s="172" t="s">
        <v>123</v>
      </c>
      <c r="C835" s="135">
        <v>204094</v>
      </c>
      <c r="D835" s="135">
        <f>ROUND(D$837*$C835/$C$837,0)</f>
        <v>223126</v>
      </c>
      <c r="E835" s="135"/>
      <c r="F835" s="174">
        <v>10.3811</v>
      </c>
      <c r="G835" s="13" t="s">
        <v>112</v>
      </c>
      <c r="H835" s="139">
        <f>ROUND($F835*C835/100,0)</f>
        <v>21187</v>
      </c>
      <c r="I835" s="139">
        <f>ROUND($F835*D835/100,0)</f>
        <v>23163</v>
      </c>
      <c r="J835" s="135"/>
      <c r="K835" s="174">
        <f>K$803</f>
        <v>11.267099999999999</v>
      </c>
      <c r="L835" s="13" t="s">
        <v>112</v>
      </c>
      <c r="M835" s="139">
        <f>ROUND($K835*D835/100,0)</f>
        <v>25140</v>
      </c>
      <c r="S835" s="145">
        <f>K835-'Order(Exhibit B)'!K835</f>
        <v>0</v>
      </c>
      <c r="T835" s="115">
        <f>M835-'Order(Exhibit B)'!M835</f>
        <v>0</v>
      </c>
    </row>
    <row r="836" spans="1:20">
      <c r="A836" s="172" t="s">
        <v>125</v>
      </c>
      <c r="B836" s="173"/>
      <c r="C836" s="135">
        <v>11601</v>
      </c>
      <c r="D836" s="135"/>
      <c r="E836" s="135"/>
      <c r="F836" s="174"/>
      <c r="G836" s="13"/>
      <c r="H836" s="139">
        <v>10665</v>
      </c>
      <c r="I836" s="139"/>
      <c r="J836" s="135"/>
      <c r="K836" s="174"/>
      <c r="L836" s="13"/>
      <c r="M836" s="139"/>
      <c r="N836" s="164"/>
      <c r="O836" s="164"/>
      <c r="P836" s="164"/>
      <c r="S836" s="145">
        <f>K836-'Order(Exhibit B)'!K836</f>
        <v>0</v>
      </c>
      <c r="T836" s="115">
        <f>M836-'Order(Exhibit B)'!M836</f>
        <v>0</v>
      </c>
    </row>
    <row r="837" spans="1:20" ht="16.5" thickBot="1">
      <c r="A837" s="176" t="s">
        <v>127</v>
      </c>
      <c r="B837" s="177"/>
      <c r="C837" s="178">
        <f>SUM(C830:C833,C835:C836)</f>
        <v>48065758</v>
      </c>
      <c r="D837" s="178">
        <v>52547998.554856941</v>
      </c>
      <c r="E837" s="178"/>
      <c r="F837" s="177"/>
      <c r="G837" s="177"/>
      <c r="H837" s="179">
        <f>SUM(H824:H836)</f>
        <v>4722962</v>
      </c>
      <c r="I837" s="179">
        <f>SUM(I824:I836)</f>
        <v>5126552</v>
      </c>
      <c r="J837" s="178"/>
      <c r="K837" s="177"/>
      <c r="L837" s="177"/>
      <c r="M837" s="179">
        <f>SUM(M824:M836)</f>
        <v>5297275</v>
      </c>
      <c r="O837" s="114" t="s">
        <v>108</v>
      </c>
      <c r="P837" s="164">
        <f>M837/I837-1</f>
        <v>3.3301720142505209E-2</v>
      </c>
      <c r="S837" s="145">
        <f>K837-'Order(Exhibit B)'!K837</f>
        <v>0</v>
      </c>
      <c r="T837" s="115">
        <f>M837-'Order(Exhibit B)'!M837</f>
        <v>15056</v>
      </c>
    </row>
    <row r="838" spans="1:20" ht="16.5" thickTop="1">
      <c r="C838" s="135"/>
      <c r="D838" s="135"/>
      <c r="E838" s="135"/>
      <c r="J838" s="135"/>
      <c r="S838" s="145">
        <f>K838-'Order(Exhibit B)'!K838</f>
        <v>0</v>
      </c>
      <c r="T838" s="115">
        <f>M838-'Order(Exhibit B)'!M838</f>
        <v>0</v>
      </c>
    </row>
    <row r="839" spans="1:20">
      <c r="A839" s="133" t="s">
        <v>486</v>
      </c>
      <c r="C839" s="135"/>
      <c r="D839" s="135"/>
      <c r="E839" s="135"/>
      <c r="J839" s="135"/>
      <c r="S839" s="145">
        <f>K839-'Order(Exhibit B)'!K839</f>
        <v>0</v>
      </c>
      <c r="T839" s="115">
        <f>M839-'Order(Exhibit B)'!M839</f>
        <v>0</v>
      </c>
    </row>
    <row r="840" spans="1:20">
      <c r="A840" s="136" t="s">
        <v>143</v>
      </c>
      <c r="C840" s="135">
        <v>173915.051000009</v>
      </c>
      <c r="D840" s="135">
        <v>182040</v>
      </c>
      <c r="E840" s="135"/>
      <c r="F840" s="190">
        <v>10</v>
      </c>
      <c r="G840" s="190"/>
      <c r="H840" s="139">
        <f t="shared" ref="H840:I845" si="201">ROUND($F840*C840,0)</f>
        <v>1739151</v>
      </c>
      <c r="I840" s="139">
        <f t="shared" si="201"/>
        <v>1820400</v>
      </c>
      <c r="J840" s="135"/>
      <c r="K840" s="190">
        <f>K$792</f>
        <v>10</v>
      </c>
      <c r="L840" s="190"/>
      <c r="M840" s="139">
        <f t="shared" ref="M840:M845" si="202">ROUND($K840*D840,0)</f>
        <v>1820400</v>
      </c>
      <c r="S840" s="145">
        <f>K840-'Order(Exhibit B)'!K840</f>
        <v>0</v>
      </c>
      <c r="T840" s="115">
        <f>M840-'Order(Exhibit B)'!M840</f>
        <v>0</v>
      </c>
    </row>
    <row r="841" spans="1:20">
      <c r="A841" s="136" t="s">
        <v>290</v>
      </c>
      <c r="C841" s="135">
        <v>7.6669999999999998</v>
      </c>
      <c r="D841" s="135">
        <f>ROUND($C841*D$840/$C$840,0)</f>
        <v>8</v>
      </c>
      <c r="E841" s="135"/>
      <c r="F841" s="190">
        <v>10</v>
      </c>
      <c r="G841" s="190"/>
      <c r="H841" s="139">
        <f t="shared" si="201"/>
        <v>77</v>
      </c>
      <c r="I841" s="139">
        <f t="shared" si="201"/>
        <v>80</v>
      </c>
      <c r="J841" s="135"/>
      <c r="K841" s="190">
        <f>K$793</f>
        <v>10</v>
      </c>
      <c r="L841" s="190"/>
      <c r="M841" s="139">
        <f t="shared" si="202"/>
        <v>80</v>
      </c>
      <c r="S841" s="145">
        <f>K841-'Order(Exhibit B)'!K841</f>
        <v>0</v>
      </c>
      <c r="T841" s="115">
        <f>M841-'Order(Exhibit B)'!M841</f>
        <v>0</v>
      </c>
    </row>
    <row r="842" spans="1:20">
      <c r="A842" s="136" t="s">
        <v>106</v>
      </c>
      <c r="C842" s="135">
        <v>0</v>
      </c>
      <c r="D842" s="135">
        <f>ROUND($C842*D$840/$C$840,0)</f>
        <v>0</v>
      </c>
      <c r="E842" s="135"/>
      <c r="F842" s="138">
        <v>2</v>
      </c>
      <c r="G842" s="138"/>
      <c r="H842" s="139">
        <f t="shared" si="201"/>
        <v>0</v>
      </c>
      <c r="I842" s="139">
        <f t="shared" si="201"/>
        <v>0</v>
      </c>
      <c r="J842" s="135"/>
      <c r="K842" s="138">
        <f>K$794</f>
        <v>2</v>
      </c>
      <c r="L842" s="138"/>
      <c r="M842" s="139">
        <f t="shared" si="202"/>
        <v>0</v>
      </c>
      <c r="N842" s="148"/>
      <c r="O842" s="148"/>
      <c r="P842" s="148"/>
      <c r="Q842" s="148"/>
      <c r="S842" s="145">
        <f>K842-'Order(Exhibit B)'!K842</f>
        <v>0</v>
      </c>
      <c r="T842" s="115">
        <f>M842-'Order(Exhibit B)'!M842</f>
        <v>0</v>
      </c>
    </row>
    <row r="843" spans="1:20">
      <c r="A843" s="136" t="s">
        <v>109</v>
      </c>
      <c r="C843" s="135">
        <v>61370</v>
      </c>
      <c r="D843" s="135">
        <v>126534.76906002166</v>
      </c>
      <c r="E843" s="135"/>
      <c r="F843" s="138">
        <v>-0.5</v>
      </c>
      <c r="G843" s="138"/>
      <c r="H843" s="139">
        <f t="shared" si="201"/>
        <v>-30685</v>
      </c>
      <c r="I843" s="139">
        <f t="shared" si="201"/>
        <v>-63267</v>
      </c>
      <c r="J843" s="135"/>
      <c r="K843" s="138">
        <f>K$795</f>
        <v>-0.5</v>
      </c>
      <c r="L843" s="138"/>
      <c r="M843" s="139">
        <f t="shared" si="202"/>
        <v>-63267</v>
      </c>
      <c r="S843" s="145">
        <f>K843-'Order(Exhibit B)'!K843</f>
        <v>0</v>
      </c>
      <c r="T843" s="115">
        <f>M843-'Order(Exhibit B)'!M843</f>
        <v>0</v>
      </c>
    </row>
    <row r="844" spans="1:20">
      <c r="A844" s="136" t="s">
        <v>291</v>
      </c>
      <c r="C844" s="135">
        <v>7937.1158605174396</v>
      </c>
      <c r="D844" s="135">
        <f>ROUND($C844*D$853/$C$853,0)</f>
        <v>8060</v>
      </c>
      <c r="E844" s="135"/>
      <c r="F844" s="190">
        <v>8.89</v>
      </c>
      <c r="G844" s="190"/>
      <c r="H844" s="139">
        <f t="shared" si="201"/>
        <v>70561</v>
      </c>
      <c r="I844" s="139">
        <f t="shared" si="201"/>
        <v>71653</v>
      </c>
      <c r="J844" s="135"/>
      <c r="K844" s="190">
        <f>K$796</f>
        <v>9.19</v>
      </c>
      <c r="L844" s="190"/>
      <c r="M844" s="139">
        <f t="shared" si="202"/>
        <v>74071</v>
      </c>
      <c r="S844" s="145">
        <f>K844-'Order(Exhibit B)'!K844</f>
        <v>2.9999999999999361E-2</v>
      </c>
      <c r="T844" s="115">
        <f>M844-'Order(Exhibit B)'!M844</f>
        <v>241</v>
      </c>
    </row>
    <row r="845" spans="1:20">
      <c r="A845" s="136" t="s">
        <v>292</v>
      </c>
      <c r="C845" s="135">
        <v>12610.6747141042</v>
      </c>
      <c r="D845" s="135">
        <f>ROUND($C845*D$853/$C$853,0)</f>
        <v>12806</v>
      </c>
      <c r="E845" s="135"/>
      <c r="F845" s="190">
        <v>7.87</v>
      </c>
      <c r="G845" s="190"/>
      <c r="H845" s="139">
        <f t="shared" si="201"/>
        <v>99246</v>
      </c>
      <c r="I845" s="139">
        <f t="shared" si="201"/>
        <v>100783</v>
      </c>
      <c r="J845" s="135"/>
      <c r="K845" s="190">
        <f>K$797</f>
        <v>8.1300000000000008</v>
      </c>
      <c r="L845" s="190"/>
      <c r="M845" s="139">
        <f t="shared" si="202"/>
        <v>104113</v>
      </c>
      <c r="S845" s="145">
        <f>K845-'Order(Exhibit B)'!K845</f>
        <v>2.000000000000135E-2</v>
      </c>
      <c r="T845" s="115">
        <f>M845-'Order(Exhibit B)'!M845</f>
        <v>256</v>
      </c>
    </row>
    <row r="846" spans="1:20">
      <c r="A846" s="136" t="s">
        <v>293</v>
      </c>
      <c r="C846" s="135">
        <v>19177836</v>
      </c>
      <c r="D846" s="135">
        <v>20338292.983990081</v>
      </c>
      <c r="E846" s="135"/>
      <c r="F846" s="193">
        <v>11.712</v>
      </c>
      <c r="G846" s="202" t="s">
        <v>112</v>
      </c>
      <c r="H846" s="139">
        <f t="shared" ref="H846:I849" si="203">ROUND($F846*C846/100,0)</f>
        <v>2246108</v>
      </c>
      <c r="I846" s="139">
        <f t="shared" si="203"/>
        <v>2382021</v>
      </c>
      <c r="J846" s="135"/>
      <c r="K846" s="193">
        <f>K$798</f>
        <v>12.1439</v>
      </c>
      <c r="L846" s="202" t="s">
        <v>112</v>
      </c>
      <c r="M846" s="139">
        <f>ROUND($K846*D846/100,0)</f>
        <v>2469862</v>
      </c>
      <c r="S846" s="145">
        <f>K846-'Order(Exhibit B)'!K846</f>
        <v>3.8700000000000401E-2</v>
      </c>
      <c r="T846" s="115">
        <f>M846-'Order(Exhibit B)'!M846</f>
        <v>7871</v>
      </c>
    </row>
    <row r="847" spans="1:20">
      <c r="A847" s="136" t="s">
        <v>294</v>
      </c>
      <c r="C847" s="135">
        <v>12649619.179748476</v>
      </c>
      <c r="D847" s="135">
        <v>13415051.678073831</v>
      </c>
      <c r="E847" s="135"/>
      <c r="F847" s="193">
        <v>6.5567000000000002</v>
      </c>
      <c r="G847" s="202" t="s">
        <v>112</v>
      </c>
      <c r="H847" s="139">
        <f t="shared" si="203"/>
        <v>829398</v>
      </c>
      <c r="I847" s="139">
        <f t="shared" si="203"/>
        <v>879585</v>
      </c>
      <c r="J847" s="135"/>
      <c r="K847" s="193">
        <f>K$799</f>
        <v>6.7748999999999997</v>
      </c>
      <c r="L847" s="202" t="s">
        <v>112</v>
      </c>
      <c r="M847" s="139">
        <f>ROUND($K847*D847/100,0)</f>
        <v>908856</v>
      </c>
      <c r="S847" s="145">
        <f>K847-'Order(Exhibit B)'!K847</f>
        <v>1.9400000000000084E-2</v>
      </c>
      <c r="T847" s="115">
        <f>M847-'Order(Exhibit B)'!M847</f>
        <v>2602</v>
      </c>
    </row>
    <row r="848" spans="1:20">
      <c r="A848" s="136" t="s">
        <v>295</v>
      </c>
      <c r="C848" s="135">
        <v>44297380</v>
      </c>
      <c r="D848" s="135">
        <v>44304085.025440149</v>
      </c>
      <c r="E848" s="135"/>
      <c r="F848" s="193">
        <v>10.364599999999999</v>
      </c>
      <c r="G848" s="202" t="s">
        <v>112</v>
      </c>
      <c r="H848" s="139">
        <f t="shared" si="203"/>
        <v>4591246</v>
      </c>
      <c r="I848" s="139">
        <f t="shared" si="203"/>
        <v>4591941</v>
      </c>
      <c r="J848" s="135"/>
      <c r="K848" s="193">
        <f>K$800</f>
        <v>10.7468</v>
      </c>
      <c r="L848" s="202" t="s">
        <v>112</v>
      </c>
      <c r="M848" s="139">
        <f>ROUND($K848*D848/100,0)</f>
        <v>4761271</v>
      </c>
      <c r="S848" s="145">
        <f>K848-'Order(Exhibit B)'!K848</f>
        <v>3.420000000000023E-2</v>
      </c>
      <c r="T848" s="115">
        <f>M848-'Order(Exhibit B)'!M848</f>
        <v>15152</v>
      </c>
    </row>
    <row r="849" spans="1:20">
      <c r="A849" s="136" t="s">
        <v>297</v>
      </c>
      <c r="C849" s="135">
        <v>29344995.399959262</v>
      </c>
      <c r="D849" s="135">
        <f>D853-D846-D847-D848-D851</f>
        <v>29349437.173732288</v>
      </c>
      <c r="E849" s="135"/>
      <c r="F849" s="193">
        <v>5.8023999999999996</v>
      </c>
      <c r="G849" s="202" t="s">
        <v>112</v>
      </c>
      <c r="H849" s="139">
        <f t="shared" si="203"/>
        <v>1702714</v>
      </c>
      <c r="I849" s="139">
        <f t="shared" si="203"/>
        <v>1702972</v>
      </c>
      <c r="J849" s="135"/>
      <c r="K849" s="193">
        <f>K$801</f>
        <v>5.9954999999999998</v>
      </c>
      <c r="L849" s="202" t="s">
        <v>112</v>
      </c>
      <c r="M849" s="139">
        <f>ROUND($K849*D849/100,0)</f>
        <v>1759646</v>
      </c>
      <c r="S849" s="145">
        <f>K849-'Order(Exhibit B)'!K849</f>
        <v>1.7199999999999882E-2</v>
      </c>
      <c r="T849" s="115">
        <f>M849-'Order(Exhibit B)'!M849</f>
        <v>5049</v>
      </c>
    </row>
    <row r="850" spans="1:20">
      <c r="A850" s="136" t="s">
        <v>150</v>
      </c>
      <c r="C850" s="135">
        <v>0</v>
      </c>
      <c r="D850" s="135">
        <f>ROUND($C850*D$853/$C$853,0)</f>
        <v>0</v>
      </c>
      <c r="E850" s="135"/>
      <c r="F850" s="190">
        <v>-0.48</v>
      </c>
      <c r="G850" s="163"/>
      <c r="H850" s="139">
        <f>ROUND($F850*C850,0)</f>
        <v>0</v>
      </c>
      <c r="I850" s="139">
        <f>ROUND($F850*D850,0)</f>
        <v>0</v>
      </c>
      <c r="J850" s="135"/>
      <c r="K850" s="190">
        <f>K$802</f>
        <v>-0.48</v>
      </c>
      <c r="L850" s="163"/>
      <c r="M850" s="139">
        <f>ROUND($K850*D850,0)</f>
        <v>0</v>
      </c>
      <c r="S850" s="145">
        <f>K850-'Order(Exhibit B)'!K850</f>
        <v>0</v>
      </c>
      <c r="T850" s="115">
        <f>M850-'Order(Exhibit B)'!M850</f>
        <v>0</v>
      </c>
    </row>
    <row r="851" spans="1:20">
      <c r="A851" s="172" t="s">
        <v>123</v>
      </c>
      <c r="C851" s="135">
        <v>48991</v>
      </c>
      <c r="D851" s="135">
        <f>ROUND($C851*D$853/$C$853,0)</f>
        <v>49749</v>
      </c>
      <c r="E851" s="135"/>
      <c r="F851" s="174">
        <v>10.3811</v>
      </c>
      <c r="G851" s="13" t="s">
        <v>112</v>
      </c>
      <c r="H851" s="139">
        <f>ROUND($F851*C851/100,0)</f>
        <v>5086</v>
      </c>
      <c r="I851" s="139">
        <f>ROUND($F851*D851/100,0)</f>
        <v>5164</v>
      </c>
      <c r="J851" s="135"/>
      <c r="K851" s="174">
        <f>K$803</f>
        <v>11.267099999999999</v>
      </c>
      <c r="L851" s="13" t="s">
        <v>112</v>
      </c>
      <c r="M851" s="139">
        <f>ROUND($K851*D851/100,0)</f>
        <v>5605</v>
      </c>
      <c r="S851" s="145">
        <f>K851-'Order(Exhibit B)'!K851</f>
        <v>0</v>
      </c>
      <c r="T851" s="115">
        <f>M851-'Order(Exhibit B)'!M851</f>
        <v>0</v>
      </c>
    </row>
    <row r="852" spans="1:20">
      <c r="A852" s="172" t="s">
        <v>125</v>
      </c>
      <c r="B852" s="173"/>
      <c r="C852" s="135">
        <v>299856</v>
      </c>
      <c r="D852" s="135"/>
      <c r="E852" s="135"/>
      <c r="F852" s="174"/>
      <c r="G852" s="13"/>
      <c r="H852" s="139">
        <v>37949</v>
      </c>
      <c r="I852" s="139"/>
      <c r="J852" s="135"/>
      <c r="K852" s="174"/>
      <c r="L852" s="13"/>
      <c r="M852" s="139"/>
      <c r="N852" s="164"/>
      <c r="O852" s="164"/>
      <c r="P852" s="164"/>
      <c r="S852" s="145">
        <f>K852-'Order(Exhibit B)'!K852</f>
        <v>0</v>
      </c>
      <c r="T852" s="115">
        <f>M852-'Order(Exhibit B)'!M852</f>
        <v>0</v>
      </c>
    </row>
    <row r="853" spans="1:20" ht="16.5" thickBot="1">
      <c r="A853" s="176" t="s">
        <v>127</v>
      </c>
      <c r="B853" s="177"/>
      <c r="C853" s="178">
        <f>SUM(C846:C849,C851:C852)</f>
        <v>105818677.57970774</v>
      </c>
      <c r="D853" s="178">
        <v>107456615.86123635</v>
      </c>
      <c r="E853" s="178"/>
      <c r="F853" s="177"/>
      <c r="G853" s="177"/>
      <c r="H853" s="179">
        <f>SUM(H840:H852)</f>
        <v>11290851</v>
      </c>
      <c r="I853" s="179">
        <f>SUM(I840:I852)</f>
        <v>11491332</v>
      </c>
      <c r="J853" s="178"/>
      <c r="K853" s="177"/>
      <c r="L853" s="177"/>
      <c r="M853" s="179">
        <f>SUM(M840:M852)</f>
        <v>11840637</v>
      </c>
      <c r="O853" s="114" t="s">
        <v>108</v>
      </c>
      <c r="P853" s="164">
        <f>M853/I853-1</f>
        <v>3.0397259429977286E-2</v>
      </c>
      <c r="S853" s="145">
        <f>K853-'Order(Exhibit B)'!K853</f>
        <v>0</v>
      </c>
      <c r="T853" s="115">
        <f>M853-'Order(Exhibit B)'!M853</f>
        <v>31171</v>
      </c>
    </row>
    <row r="854" spans="1:20" ht="16.5" thickTop="1">
      <c r="C854" s="135"/>
      <c r="D854" s="135"/>
      <c r="E854" s="135"/>
      <c r="J854" s="135"/>
      <c r="S854" s="145">
        <f>K854-'Order(Exhibit B)'!K854</f>
        <v>0</v>
      </c>
      <c r="T854" s="115">
        <f>M854-'Order(Exhibit B)'!M854</f>
        <v>0</v>
      </c>
    </row>
    <row r="855" spans="1:20">
      <c r="A855" s="133" t="s">
        <v>298</v>
      </c>
      <c r="C855" s="135"/>
      <c r="D855" s="135"/>
      <c r="E855" s="135"/>
      <c r="J855" s="135"/>
      <c r="S855" s="145">
        <f>K855-'Order(Exhibit B)'!K855</f>
        <v>0</v>
      </c>
      <c r="T855" s="115">
        <f>M855-'Order(Exhibit B)'!M855</f>
        <v>0</v>
      </c>
    </row>
    <row r="856" spans="1:20">
      <c r="A856" s="136" t="s">
        <v>143</v>
      </c>
      <c r="C856" s="135">
        <f t="shared" ref="C856:D869" si="204">C872+C888+C904</f>
        <v>19614.536</v>
      </c>
      <c r="D856" s="135">
        <f t="shared" si="204"/>
        <v>23029</v>
      </c>
      <c r="E856" s="135"/>
      <c r="F856" s="190">
        <v>10</v>
      </c>
      <c r="G856" s="190"/>
      <c r="H856" s="139">
        <f t="shared" ref="H856:I861" si="205">ROUND($F856*C856,0)</f>
        <v>196145</v>
      </c>
      <c r="I856" s="139">
        <f t="shared" si="205"/>
        <v>230290</v>
      </c>
      <c r="J856" s="135"/>
      <c r="K856" s="190">
        <f>K$792</f>
        <v>10</v>
      </c>
      <c r="L856" s="190"/>
      <c r="M856" s="139">
        <f t="shared" ref="M856:M861" si="206">ROUND($K856*D856,0)</f>
        <v>230290</v>
      </c>
      <c r="O856" s="164" t="s">
        <v>128</v>
      </c>
      <c r="P856" s="159" t="s">
        <v>26</v>
      </c>
      <c r="Q856" s="114" t="s">
        <v>6</v>
      </c>
      <c r="S856" s="145">
        <f>K856-'Order(Exhibit B)'!K856</f>
        <v>0</v>
      </c>
      <c r="T856" s="115">
        <f>M856-'Order(Exhibit B)'!M856</f>
        <v>0</v>
      </c>
    </row>
    <row r="857" spans="1:20">
      <c r="A857" s="136" t="s">
        <v>290</v>
      </c>
      <c r="C857" s="135">
        <f t="shared" si="204"/>
        <v>5</v>
      </c>
      <c r="D857" s="135">
        <f t="shared" si="204"/>
        <v>6</v>
      </c>
      <c r="E857" s="135"/>
      <c r="F857" s="190">
        <v>10</v>
      </c>
      <c r="G857" s="190"/>
      <c r="H857" s="139">
        <f t="shared" si="205"/>
        <v>50</v>
      </c>
      <c r="I857" s="139">
        <f t="shared" si="205"/>
        <v>60</v>
      </c>
      <c r="J857" s="135"/>
      <c r="K857" s="190">
        <f>K$793</f>
        <v>10</v>
      </c>
      <c r="L857" s="190"/>
      <c r="M857" s="139">
        <f t="shared" si="206"/>
        <v>60</v>
      </c>
      <c r="O857" s="114" t="s">
        <v>105</v>
      </c>
      <c r="P857" s="145">
        <v>2.9561000000000002</v>
      </c>
      <c r="Q857" s="145">
        <f>Q859-Q858</f>
        <v>3.8420999999999994</v>
      </c>
      <c r="S857" s="145">
        <f>K857-'Order(Exhibit B)'!K857</f>
        <v>0</v>
      </c>
      <c r="T857" s="115">
        <f>M857-'Order(Exhibit B)'!M857</f>
        <v>0</v>
      </c>
    </row>
    <row r="858" spans="1:20">
      <c r="A858" s="136" t="s">
        <v>106</v>
      </c>
      <c r="C858" s="135">
        <f t="shared" si="204"/>
        <v>872.71500000000003</v>
      </c>
      <c r="D858" s="135">
        <f t="shared" si="204"/>
        <v>1043</v>
      </c>
      <c r="E858" s="135"/>
      <c r="F858" s="190">
        <v>2</v>
      </c>
      <c r="G858" s="190"/>
      <c r="H858" s="139">
        <f t="shared" si="205"/>
        <v>1745</v>
      </c>
      <c r="I858" s="139">
        <f t="shared" si="205"/>
        <v>2086</v>
      </c>
      <c r="J858" s="135"/>
      <c r="K858" s="138">
        <f>K$794</f>
        <v>2</v>
      </c>
      <c r="L858" s="190"/>
      <c r="M858" s="139">
        <f t="shared" si="206"/>
        <v>2086</v>
      </c>
      <c r="O858" s="114" t="s">
        <v>129</v>
      </c>
      <c r="P858" s="145">
        <v>7.4249999999999998</v>
      </c>
      <c r="Q858" s="145">
        <f>P858</f>
        <v>7.4249999999999998</v>
      </c>
      <c r="S858" s="145">
        <f>K858-'Order(Exhibit B)'!K858</f>
        <v>0</v>
      </c>
      <c r="T858" s="115">
        <f>M858-'Order(Exhibit B)'!M858</f>
        <v>0</v>
      </c>
    </row>
    <row r="859" spans="1:20">
      <c r="A859" s="136" t="s">
        <v>109</v>
      </c>
      <c r="C859" s="135">
        <f t="shared" si="204"/>
        <v>10437</v>
      </c>
      <c r="D859" s="135">
        <v>16007.30167371588</v>
      </c>
      <c r="E859" s="135"/>
      <c r="F859" s="138">
        <v>-0.5</v>
      </c>
      <c r="G859" s="138"/>
      <c r="H859" s="139">
        <f t="shared" si="205"/>
        <v>-5219</v>
      </c>
      <c r="I859" s="139">
        <f t="shared" si="205"/>
        <v>-8004</v>
      </c>
      <c r="J859" s="135"/>
      <c r="K859" s="138">
        <f>K$795</f>
        <v>-0.5</v>
      </c>
      <c r="L859" s="138"/>
      <c r="M859" s="139">
        <f t="shared" si="206"/>
        <v>-8004</v>
      </c>
      <c r="O859" s="114" t="s">
        <v>130</v>
      </c>
      <c r="P859" s="145">
        <f>F803</f>
        <v>10.3811</v>
      </c>
      <c r="Q859" s="145">
        <f>K803</f>
        <v>11.267099999999999</v>
      </c>
      <c r="S859" s="145">
        <f>K859-'Order(Exhibit B)'!K859</f>
        <v>0</v>
      </c>
      <c r="T859" s="115">
        <f>M859-'Order(Exhibit B)'!M859</f>
        <v>0</v>
      </c>
    </row>
    <row r="860" spans="1:20">
      <c r="A860" s="136" t="s">
        <v>291</v>
      </c>
      <c r="C860" s="135">
        <f t="shared" si="204"/>
        <v>7631.8796400449983</v>
      </c>
      <c r="D860" s="135">
        <f t="shared" si="204"/>
        <v>9542</v>
      </c>
      <c r="E860" s="135"/>
      <c r="F860" s="190">
        <v>8.89</v>
      </c>
      <c r="G860" s="190"/>
      <c r="H860" s="139">
        <f t="shared" si="205"/>
        <v>67847</v>
      </c>
      <c r="I860" s="139">
        <f t="shared" si="205"/>
        <v>84828</v>
      </c>
      <c r="J860" s="135"/>
      <c r="K860" s="190">
        <f>K$796</f>
        <v>9.19</v>
      </c>
      <c r="L860" s="190"/>
      <c r="M860" s="139">
        <f t="shared" si="206"/>
        <v>87691</v>
      </c>
      <c r="Q860" s="145"/>
      <c r="S860" s="145">
        <f>K860-'Order(Exhibit B)'!K860</f>
        <v>2.9999999999999361E-2</v>
      </c>
      <c r="T860" s="115">
        <f>M860-'Order(Exhibit B)'!M860</f>
        <v>286</v>
      </c>
    </row>
    <row r="861" spans="1:20">
      <c r="A861" s="136" t="s">
        <v>292</v>
      </c>
      <c r="C861" s="135">
        <f t="shared" si="204"/>
        <v>11559.214739517101</v>
      </c>
      <c r="D861" s="135">
        <f t="shared" si="204"/>
        <v>14431</v>
      </c>
      <c r="E861" s="135"/>
      <c r="F861" s="190">
        <v>7.87</v>
      </c>
      <c r="G861" s="190"/>
      <c r="H861" s="139">
        <f t="shared" si="205"/>
        <v>90971</v>
      </c>
      <c r="I861" s="139">
        <f t="shared" si="205"/>
        <v>113572</v>
      </c>
      <c r="J861" s="135"/>
      <c r="K861" s="190">
        <f>K$797</f>
        <v>8.1300000000000008</v>
      </c>
      <c r="L861" s="190"/>
      <c r="M861" s="139">
        <f t="shared" si="206"/>
        <v>117324</v>
      </c>
      <c r="Q861" s="145"/>
      <c r="S861" s="145">
        <f>K861-'Order(Exhibit B)'!K861</f>
        <v>2.000000000000135E-2</v>
      </c>
      <c r="T861" s="115">
        <f>M861-'Order(Exhibit B)'!M861</f>
        <v>289</v>
      </c>
    </row>
    <row r="862" spans="1:20">
      <c r="A862" s="136" t="s">
        <v>293</v>
      </c>
      <c r="C862" s="135">
        <f t="shared" si="204"/>
        <v>3163039</v>
      </c>
      <c r="D862" s="135">
        <f t="shared" si="204"/>
        <v>4358713.0510266982</v>
      </c>
      <c r="E862" s="135"/>
      <c r="F862" s="193">
        <v>11.712</v>
      </c>
      <c r="G862" s="202" t="s">
        <v>112</v>
      </c>
      <c r="H862" s="139">
        <f t="shared" ref="H862:I865" si="207">ROUND($F862*C862/100,0)</f>
        <v>370455</v>
      </c>
      <c r="I862" s="139">
        <f t="shared" si="207"/>
        <v>510492</v>
      </c>
      <c r="J862" s="135"/>
      <c r="K862" s="193">
        <f>K$798</f>
        <v>12.1439</v>
      </c>
      <c r="L862" s="202" t="s">
        <v>112</v>
      </c>
      <c r="M862" s="139">
        <f>ROUND($K862*D862/100,0)</f>
        <v>529318</v>
      </c>
      <c r="S862" s="145">
        <f>K862-'Order(Exhibit B)'!K862</f>
        <v>3.8700000000000401E-2</v>
      </c>
      <c r="T862" s="115">
        <f>M862-'Order(Exhibit B)'!M862</f>
        <v>1687</v>
      </c>
    </row>
    <row r="863" spans="1:20">
      <c r="A863" s="136" t="s">
        <v>294</v>
      </c>
      <c r="C863" s="135">
        <f t="shared" si="204"/>
        <v>2958600</v>
      </c>
      <c r="D863" s="135">
        <f t="shared" si="204"/>
        <v>4066457.9683057899</v>
      </c>
      <c r="E863" s="135"/>
      <c r="F863" s="193">
        <v>6.5567000000000002</v>
      </c>
      <c r="G863" s="202" t="s">
        <v>112</v>
      </c>
      <c r="H863" s="139">
        <f t="shared" si="207"/>
        <v>193987</v>
      </c>
      <c r="I863" s="139">
        <f t="shared" si="207"/>
        <v>266625</v>
      </c>
      <c r="J863" s="135"/>
      <c r="K863" s="193">
        <f>K$799</f>
        <v>6.7748999999999997</v>
      </c>
      <c r="L863" s="202" t="s">
        <v>112</v>
      </c>
      <c r="M863" s="139">
        <f>ROUND($K863*D863/100,0)</f>
        <v>275498</v>
      </c>
      <c r="S863" s="145">
        <f>K863-'Order(Exhibit B)'!K863</f>
        <v>1.9400000000000084E-2</v>
      </c>
      <c r="T863" s="115">
        <f>M863-'Order(Exhibit B)'!M863</f>
        <v>788</v>
      </c>
    </row>
    <row r="864" spans="1:20">
      <c r="A864" s="136" t="s">
        <v>295</v>
      </c>
      <c r="C864" s="135">
        <f t="shared" si="204"/>
        <v>7769554</v>
      </c>
      <c r="D864" s="135">
        <f t="shared" si="204"/>
        <v>9500741.9457801636</v>
      </c>
      <c r="E864" s="135"/>
      <c r="F864" s="193">
        <v>10.364599999999999</v>
      </c>
      <c r="G864" s="202" t="s">
        <v>112</v>
      </c>
      <c r="H864" s="139">
        <f t="shared" si="207"/>
        <v>805283</v>
      </c>
      <c r="I864" s="139">
        <f t="shared" si="207"/>
        <v>984714</v>
      </c>
      <c r="J864" s="135"/>
      <c r="K864" s="193">
        <f>K$800</f>
        <v>10.7468</v>
      </c>
      <c r="L864" s="202" t="s">
        <v>112</v>
      </c>
      <c r="M864" s="139">
        <f>ROUND($K864*D864/100,0)</f>
        <v>1021026</v>
      </c>
      <c r="S864" s="145">
        <f>K864-'Order(Exhibit B)'!K864</f>
        <v>3.420000000000023E-2</v>
      </c>
      <c r="T864" s="115">
        <f>M864-'Order(Exhibit B)'!M864</f>
        <v>3250</v>
      </c>
    </row>
    <row r="865" spans="1:20">
      <c r="A865" s="136" t="s">
        <v>297</v>
      </c>
      <c r="C865" s="135">
        <f t="shared" si="204"/>
        <v>6660837</v>
      </c>
      <c r="D865" s="135">
        <f t="shared" si="204"/>
        <v>8168010.4363982277</v>
      </c>
      <c r="E865" s="135"/>
      <c r="F865" s="193">
        <v>5.8023999999999996</v>
      </c>
      <c r="G865" s="202" t="s">
        <v>112</v>
      </c>
      <c r="H865" s="139">
        <f t="shared" si="207"/>
        <v>386488</v>
      </c>
      <c r="I865" s="139">
        <f t="shared" si="207"/>
        <v>473941</v>
      </c>
      <c r="J865" s="135"/>
      <c r="K865" s="193">
        <f>K$801</f>
        <v>5.9954999999999998</v>
      </c>
      <c r="L865" s="202" t="s">
        <v>112</v>
      </c>
      <c r="M865" s="139">
        <f>ROUND($K865*D865/100,0)</f>
        <v>489713</v>
      </c>
      <c r="S865" s="145">
        <f>K865-'Order(Exhibit B)'!K865</f>
        <v>1.7199999999999882E-2</v>
      </c>
      <c r="T865" s="115">
        <f>M865-'Order(Exhibit B)'!M865</f>
        <v>1405</v>
      </c>
    </row>
    <row r="866" spans="1:20">
      <c r="A866" s="136" t="s">
        <v>150</v>
      </c>
      <c r="C866" s="135">
        <f t="shared" si="204"/>
        <v>0</v>
      </c>
      <c r="D866" s="135">
        <f t="shared" si="204"/>
        <v>0</v>
      </c>
      <c r="E866" s="135"/>
      <c r="F866" s="190">
        <v>-0.48</v>
      </c>
      <c r="G866" s="163"/>
      <c r="H866" s="139">
        <f>ROUND($F866*C866,0)</f>
        <v>0</v>
      </c>
      <c r="I866" s="139">
        <f>ROUND($F866*D866,0)</f>
        <v>0</v>
      </c>
      <c r="J866" s="135"/>
      <c r="K866" s="190">
        <f>K$802</f>
        <v>-0.48</v>
      </c>
      <c r="L866" s="163"/>
      <c r="M866" s="139">
        <f>ROUND($K866*D866,0)</f>
        <v>0</v>
      </c>
      <c r="S866" s="145">
        <f>K866-'Order(Exhibit B)'!K866</f>
        <v>0</v>
      </c>
      <c r="T866" s="115">
        <f>M866-'Order(Exhibit B)'!M866</f>
        <v>0</v>
      </c>
    </row>
    <row r="867" spans="1:20">
      <c r="A867" s="172" t="s">
        <v>123</v>
      </c>
      <c r="C867" s="135">
        <f t="shared" si="204"/>
        <v>0</v>
      </c>
      <c r="D867" s="135">
        <f>ROUND($C867*D$853/$C$853,0)</f>
        <v>0</v>
      </c>
      <c r="E867" s="135"/>
      <c r="F867" s="174">
        <v>10.3811</v>
      </c>
      <c r="G867" s="13" t="s">
        <v>112</v>
      </c>
      <c r="H867" s="139">
        <f>ROUND($F867*C867/100,0)</f>
        <v>0</v>
      </c>
      <c r="I867" s="139">
        <f>ROUND($F867*D867/100,0)</f>
        <v>0</v>
      </c>
      <c r="J867" s="135"/>
      <c r="K867" s="174">
        <f>K$803</f>
        <v>11.267099999999999</v>
      </c>
      <c r="L867" s="13" t="s">
        <v>112</v>
      </c>
      <c r="M867" s="139">
        <f>ROUND($K867*D867/100,0)</f>
        <v>0</v>
      </c>
      <c r="S867" s="145">
        <f>K867-'Order(Exhibit B)'!K867</f>
        <v>0</v>
      </c>
      <c r="T867" s="115">
        <f>M867-'Order(Exhibit B)'!M867</f>
        <v>0</v>
      </c>
    </row>
    <row r="868" spans="1:20">
      <c r="A868" s="172" t="s">
        <v>125</v>
      </c>
      <c r="B868" s="173"/>
      <c r="C868" s="135">
        <f t="shared" si="204"/>
        <v>138544</v>
      </c>
      <c r="D868" s="135"/>
      <c r="E868" s="135"/>
      <c r="F868" s="174"/>
      <c r="G868" s="13"/>
      <c r="H868" s="139">
        <f t="shared" ref="H868" si="208">H884+H900+H916</f>
        <v>14264</v>
      </c>
      <c r="I868" s="139"/>
      <c r="J868" s="135"/>
      <c r="K868" s="174"/>
      <c r="L868" s="13"/>
      <c r="M868" s="139"/>
      <c r="N868" s="164"/>
      <c r="O868" s="164"/>
      <c r="P868" s="164"/>
      <c r="S868" s="145">
        <f>K868-'Order(Exhibit B)'!K868</f>
        <v>0</v>
      </c>
      <c r="T868" s="115">
        <f>M868-'Order(Exhibit B)'!M868</f>
        <v>0</v>
      </c>
    </row>
    <row r="869" spans="1:20" ht="16.5" thickBot="1">
      <c r="A869" s="176" t="s">
        <v>127</v>
      </c>
      <c r="B869" s="177"/>
      <c r="C869" s="178">
        <f t="shared" si="204"/>
        <v>20690574</v>
      </c>
      <c r="D869" s="178">
        <f>D885+D901+D917</f>
        <v>26093923.401510876</v>
      </c>
      <c r="E869" s="178"/>
      <c r="F869" s="177"/>
      <c r="G869" s="177"/>
      <c r="H869" s="179">
        <f>SUM(H856:H868)</f>
        <v>2122016</v>
      </c>
      <c r="I869" s="179">
        <f>SUM(I856:I868)</f>
        <v>2658604</v>
      </c>
      <c r="J869" s="178"/>
      <c r="K869" s="177"/>
      <c r="L869" s="177"/>
      <c r="M869" s="179">
        <f>SUM(M856:M868)</f>
        <v>2745002</v>
      </c>
      <c r="O869" s="114" t="s">
        <v>108</v>
      </c>
      <c r="P869" s="164">
        <f>M869/I869-1</f>
        <v>3.2497506210026117E-2</v>
      </c>
      <c r="S869" s="145">
        <f>K869-'Order(Exhibit B)'!K869</f>
        <v>0</v>
      </c>
      <c r="T869" s="115">
        <f>M869-'Order(Exhibit B)'!M869</f>
        <v>7705</v>
      </c>
    </row>
    <row r="870" spans="1:20" ht="16.5" thickTop="1">
      <c r="C870" s="135"/>
      <c r="D870" s="135"/>
      <c r="E870" s="135"/>
      <c r="J870" s="135"/>
      <c r="S870" s="145">
        <f>K870-'Order(Exhibit B)'!K870</f>
        <v>0</v>
      </c>
      <c r="T870" s="115">
        <f>M870-'Order(Exhibit B)'!M870</f>
        <v>0</v>
      </c>
    </row>
    <row r="871" spans="1:20">
      <c r="A871" s="133" t="s">
        <v>487</v>
      </c>
      <c r="C871" s="135"/>
      <c r="D871" s="135"/>
      <c r="E871" s="135"/>
      <c r="J871" s="135"/>
      <c r="S871" s="145">
        <f>K871-'Order(Exhibit B)'!K871</f>
        <v>0</v>
      </c>
      <c r="T871" s="115">
        <f>M871-'Order(Exhibit B)'!M871</f>
        <v>0</v>
      </c>
    </row>
    <row r="872" spans="1:20">
      <c r="A872" s="136" t="s">
        <v>143</v>
      </c>
      <c r="C872" s="135">
        <v>13061.466</v>
      </c>
      <c r="D872" s="135">
        <v>15882</v>
      </c>
      <c r="E872" s="135"/>
      <c r="F872" s="190">
        <v>10</v>
      </c>
      <c r="G872" s="190"/>
      <c r="H872" s="139">
        <f t="shared" ref="H872:I877" si="209">ROUND($F872*C872,0)</f>
        <v>130615</v>
      </c>
      <c r="I872" s="139">
        <f t="shared" si="209"/>
        <v>158820</v>
      </c>
      <c r="J872" s="135"/>
      <c r="K872" s="190">
        <f>K$792</f>
        <v>10</v>
      </c>
      <c r="L872" s="190"/>
      <c r="M872" s="139">
        <f t="shared" ref="M872:M877" si="210">ROUND($K872*D872,0)</f>
        <v>158820</v>
      </c>
      <c r="S872" s="145">
        <f>K872-'Order(Exhibit B)'!K872</f>
        <v>0</v>
      </c>
      <c r="T872" s="115">
        <f>M872-'Order(Exhibit B)'!M872</f>
        <v>0</v>
      </c>
    </row>
    <row r="873" spans="1:20">
      <c r="A873" s="136" t="s">
        <v>290</v>
      </c>
      <c r="C873" s="135">
        <v>4</v>
      </c>
      <c r="D873" s="135">
        <f>ROUND($C873*D$872/$C$872,0)</f>
        <v>5</v>
      </c>
      <c r="E873" s="135"/>
      <c r="F873" s="190">
        <v>10</v>
      </c>
      <c r="G873" s="190"/>
      <c r="H873" s="139">
        <f t="shared" si="209"/>
        <v>40</v>
      </c>
      <c r="I873" s="139">
        <f t="shared" si="209"/>
        <v>50</v>
      </c>
      <c r="J873" s="135"/>
      <c r="K873" s="190">
        <f>K$793</f>
        <v>10</v>
      </c>
      <c r="L873" s="190"/>
      <c r="M873" s="139">
        <f t="shared" si="210"/>
        <v>50</v>
      </c>
      <c r="S873" s="145">
        <f>K873-'Order(Exhibit B)'!K873</f>
        <v>0</v>
      </c>
      <c r="T873" s="115">
        <f>M873-'Order(Exhibit B)'!M873</f>
        <v>0</v>
      </c>
    </row>
    <row r="874" spans="1:20">
      <c r="A874" s="136" t="s">
        <v>106</v>
      </c>
      <c r="C874" s="135">
        <v>740.71500000000003</v>
      </c>
      <c r="D874" s="135">
        <f>ROUND($C874*D$872/$C$872,0)</f>
        <v>901</v>
      </c>
      <c r="E874" s="135"/>
      <c r="F874" s="190">
        <v>2</v>
      </c>
      <c r="G874" s="190"/>
      <c r="H874" s="139">
        <f t="shared" si="209"/>
        <v>1481</v>
      </c>
      <c r="I874" s="139">
        <f t="shared" si="209"/>
        <v>1802</v>
      </c>
      <c r="J874" s="135"/>
      <c r="K874" s="138">
        <f>K$794</f>
        <v>2</v>
      </c>
      <c r="L874" s="190"/>
      <c r="M874" s="139">
        <f t="shared" si="210"/>
        <v>1802</v>
      </c>
      <c r="S874" s="145">
        <f>K874-'Order(Exhibit B)'!K874</f>
        <v>0</v>
      </c>
      <c r="T874" s="115">
        <f>M874-'Order(Exhibit B)'!M874</f>
        <v>0</v>
      </c>
    </row>
    <row r="875" spans="1:20">
      <c r="A875" s="136" t="s">
        <v>109</v>
      </c>
      <c r="C875" s="135">
        <v>6255</v>
      </c>
      <c r="D875" s="135">
        <v>11039.470458202944</v>
      </c>
      <c r="E875" s="135"/>
      <c r="F875" s="138">
        <v>-0.5</v>
      </c>
      <c r="G875" s="138"/>
      <c r="H875" s="139">
        <f t="shared" si="209"/>
        <v>-3128</v>
      </c>
      <c r="I875" s="139">
        <f t="shared" si="209"/>
        <v>-5520</v>
      </c>
      <c r="J875" s="135"/>
      <c r="K875" s="138">
        <f>K$795</f>
        <v>-0.5</v>
      </c>
      <c r="L875" s="138"/>
      <c r="M875" s="139">
        <f t="shared" si="210"/>
        <v>-5520</v>
      </c>
      <c r="S875" s="145">
        <f>K875-'Order(Exhibit B)'!K875</f>
        <v>0</v>
      </c>
      <c r="T875" s="115">
        <f>M875-'Order(Exhibit B)'!M875</f>
        <v>0</v>
      </c>
    </row>
    <row r="876" spans="1:20">
      <c r="A876" s="136" t="s">
        <v>291</v>
      </c>
      <c r="C876" s="135">
        <v>6635.4915635545603</v>
      </c>
      <c r="D876" s="135">
        <f>ROUND(D$885*$C876/$C$885,0)</f>
        <v>8382</v>
      </c>
      <c r="E876" s="135"/>
      <c r="F876" s="190">
        <v>8.89</v>
      </c>
      <c r="G876" s="190"/>
      <c r="H876" s="139">
        <f t="shared" si="209"/>
        <v>58990</v>
      </c>
      <c r="I876" s="139">
        <f t="shared" si="209"/>
        <v>74516</v>
      </c>
      <c r="J876" s="135"/>
      <c r="K876" s="190">
        <f>K$796</f>
        <v>9.19</v>
      </c>
      <c r="L876" s="190"/>
      <c r="M876" s="139">
        <f t="shared" si="210"/>
        <v>77031</v>
      </c>
      <c r="S876" s="145">
        <f>K876-'Order(Exhibit B)'!K876</f>
        <v>2.9999999999999361E-2</v>
      </c>
      <c r="T876" s="115">
        <f>M876-'Order(Exhibit B)'!M876</f>
        <v>252</v>
      </c>
    </row>
    <row r="877" spans="1:20">
      <c r="A877" s="136" t="s">
        <v>292</v>
      </c>
      <c r="C877" s="135">
        <v>10028.3646759847</v>
      </c>
      <c r="D877" s="135">
        <f>ROUND(D$885*$C877/$C$885,0)</f>
        <v>12668</v>
      </c>
      <c r="E877" s="135"/>
      <c r="F877" s="190">
        <v>7.87</v>
      </c>
      <c r="G877" s="190"/>
      <c r="H877" s="139">
        <f t="shared" si="209"/>
        <v>78923</v>
      </c>
      <c r="I877" s="139">
        <f t="shared" si="209"/>
        <v>99697</v>
      </c>
      <c r="J877" s="135"/>
      <c r="K877" s="190">
        <f>K$797</f>
        <v>8.1300000000000008</v>
      </c>
      <c r="L877" s="190"/>
      <c r="M877" s="139">
        <f t="shared" si="210"/>
        <v>102991</v>
      </c>
      <c r="S877" s="145">
        <f>K877-'Order(Exhibit B)'!K877</f>
        <v>2.000000000000135E-2</v>
      </c>
      <c r="T877" s="115">
        <f>M877-'Order(Exhibit B)'!M877</f>
        <v>254</v>
      </c>
    </row>
    <row r="878" spans="1:20">
      <c r="A878" s="136" t="s">
        <v>293</v>
      </c>
      <c r="C878" s="135">
        <v>2669396</v>
      </c>
      <c r="D878" s="135">
        <v>3619906.584952781</v>
      </c>
      <c r="E878" s="135"/>
      <c r="F878" s="193">
        <v>11.712</v>
      </c>
      <c r="G878" s="202" t="s">
        <v>112</v>
      </c>
      <c r="H878" s="139">
        <f t="shared" ref="H878:I881" si="211">ROUND($F878*C878/100,0)</f>
        <v>312640</v>
      </c>
      <c r="I878" s="139">
        <f t="shared" si="211"/>
        <v>423963</v>
      </c>
      <c r="J878" s="135"/>
      <c r="K878" s="193">
        <f>K$798</f>
        <v>12.1439</v>
      </c>
      <c r="L878" s="202" t="s">
        <v>112</v>
      </c>
      <c r="M878" s="139">
        <f>ROUND($K878*D878/100,0)</f>
        <v>439598</v>
      </c>
      <c r="S878" s="145">
        <f>K878-'Order(Exhibit B)'!K878</f>
        <v>3.8700000000000401E-2</v>
      </c>
      <c r="T878" s="115">
        <f>M878-'Order(Exhibit B)'!M878</f>
        <v>1401</v>
      </c>
    </row>
    <row r="879" spans="1:20">
      <c r="A879" s="136" t="s">
        <v>294</v>
      </c>
      <c r="C879" s="135">
        <v>2500151</v>
      </c>
      <c r="D879" s="135">
        <v>3390397.3289374374</v>
      </c>
      <c r="E879" s="135"/>
      <c r="F879" s="193">
        <v>6.5567000000000002</v>
      </c>
      <c r="G879" s="202" t="s">
        <v>112</v>
      </c>
      <c r="H879" s="139">
        <f t="shared" si="211"/>
        <v>163927</v>
      </c>
      <c r="I879" s="139">
        <f t="shared" si="211"/>
        <v>222298</v>
      </c>
      <c r="J879" s="135"/>
      <c r="K879" s="193">
        <f>K$799</f>
        <v>6.7748999999999997</v>
      </c>
      <c r="L879" s="202" t="s">
        <v>112</v>
      </c>
      <c r="M879" s="139">
        <f>ROUND($K879*D879/100,0)</f>
        <v>229696</v>
      </c>
      <c r="S879" s="145">
        <f>K879-'Order(Exhibit B)'!K879</f>
        <v>1.9400000000000084E-2</v>
      </c>
      <c r="T879" s="115">
        <f>M879-'Order(Exhibit B)'!M879</f>
        <v>658</v>
      </c>
    </row>
    <row r="880" spans="1:20">
      <c r="A880" s="136" t="s">
        <v>295</v>
      </c>
      <c r="C880" s="135">
        <v>6286652</v>
      </c>
      <c r="D880" s="135">
        <v>7771977.4180507306</v>
      </c>
      <c r="E880" s="135"/>
      <c r="F880" s="193">
        <v>10.364599999999999</v>
      </c>
      <c r="G880" s="202" t="s">
        <v>112</v>
      </c>
      <c r="H880" s="139">
        <f t="shared" si="211"/>
        <v>651586</v>
      </c>
      <c r="I880" s="139">
        <f t="shared" si="211"/>
        <v>805534</v>
      </c>
      <c r="J880" s="135"/>
      <c r="K880" s="193">
        <f>K$800</f>
        <v>10.7468</v>
      </c>
      <c r="L880" s="202" t="s">
        <v>112</v>
      </c>
      <c r="M880" s="139">
        <f>ROUND($K880*D880/100,0)</f>
        <v>835239</v>
      </c>
      <c r="S880" s="145">
        <f>K880-'Order(Exhibit B)'!K880</f>
        <v>3.420000000000023E-2</v>
      </c>
      <c r="T880" s="115">
        <f>M880-'Order(Exhibit B)'!M880</f>
        <v>2658</v>
      </c>
    </row>
    <row r="881" spans="1:20">
      <c r="A881" s="136" t="s">
        <v>297</v>
      </c>
      <c r="C881" s="135">
        <v>5456720</v>
      </c>
      <c r="D881" s="135">
        <f>D885-D878-D879-D880-D883</f>
        <v>6745960.2689358015</v>
      </c>
      <c r="E881" s="135"/>
      <c r="F881" s="193">
        <v>5.8023999999999996</v>
      </c>
      <c r="G881" s="202" t="s">
        <v>112</v>
      </c>
      <c r="H881" s="139">
        <f t="shared" si="211"/>
        <v>316621</v>
      </c>
      <c r="I881" s="139">
        <f t="shared" si="211"/>
        <v>391428</v>
      </c>
      <c r="J881" s="135"/>
      <c r="K881" s="193">
        <f>K$801</f>
        <v>5.9954999999999998</v>
      </c>
      <c r="L881" s="202" t="s">
        <v>112</v>
      </c>
      <c r="M881" s="139">
        <f>ROUND($K881*D881/100,0)</f>
        <v>404454</v>
      </c>
      <c r="S881" s="145">
        <f>K881-'Order(Exhibit B)'!K881</f>
        <v>1.7199999999999882E-2</v>
      </c>
      <c r="T881" s="115">
        <f>M881-'Order(Exhibit B)'!M881</f>
        <v>1160</v>
      </c>
    </row>
    <row r="882" spans="1:20">
      <c r="A882" s="136" t="s">
        <v>150</v>
      </c>
      <c r="C882" s="135">
        <v>0</v>
      </c>
      <c r="D882" s="135">
        <f>ROUND(D$885*$C882/$C$885,0)</f>
        <v>0</v>
      </c>
      <c r="E882" s="135"/>
      <c r="F882" s="190">
        <v>-0.48</v>
      </c>
      <c r="G882" s="163"/>
      <c r="H882" s="139">
        <f>ROUND($F882*C882,0)</f>
        <v>0</v>
      </c>
      <c r="I882" s="139">
        <f>ROUND($F882*D882,0)</f>
        <v>0</v>
      </c>
      <c r="J882" s="135"/>
      <c r="K882" s="190">
        <f>K$802</f>
        <v>-0.48</v>
      </c>
      <c r="L882" s="163"/>
      <c r="M882" s="139">
        <f>ROUND($K882*D882,0)</f>
        <v>0</v>
      </c>
      <c r="S882" s="145">
        <f>K882-'Order(Exhibit B)'!K882</f>
        <v>0</v>
      </c>
      <c r="T882" s="115">
        <f>M882-'Order(Exhibit B)'!M882</f>
        <v>0</v>
      </c>
    </row>
    <row r="883" spans="1:20">
      <c r="A883" s="172" t="s">
        <v>123</v>
      </c>
      <c r="C883" s="135">
        <v>0</v>
      </c>
      <c r="D883" s="135">
        <f>ROUND(D$885*$C883/$C$885,0)</f>
        <v>0</v>
      </c>
      <c r="E883" s="135"/>
      <c r="F883" s="174">
        <v>10.3811</v>
      </c>
      <c r="G883" s="13" t="s">
        <v>112</v>
      </c>
      <c r="H883" s="139">
        <f>ROUND($F883*C883/100,0)</f>
        <v>0</v>
      </c>
      <c r="I883" s="139">
        <f>ROUND($F883*D883/100,0)</f>
        <v>0</v>
      </c>
      <c r="J883" s="135"/>
      <c r="K883" s="174">
        <f>K$803</f>
        <v>11.267099999999999</v>
      </c>
      <c r="L883" s="13" t="s">
        <v>112</v>
      </c>
      <c r="M883" s="139">
        <f>ROUND($K883*D883/100,0)</f>
        <v>0</v>
      </c>
      <c r="S883" s="145">
        <f>K883-'Order(Exhibit B)'!K883</f>
        <v>0</v>
      </c>
      <c r="T883" s="115">
        <f>M883-'Order(Exhibit B)'!M883</f>
        <v>0</v>
      </c>
    </row>
    <row r="884" spans="1:20">
      <c r="A884" s="172" t="s">
        <v>125</v>
      </c>
      <c r="B884" s="173"/>
      <c r="C884" s="135">
        <v>128965</v>
      </c>
      <c r="D884" s="135"/>
      <c r="E884" s="135"/>
      <c r="F884" s="174"/>
      <c r="G884" s="13"/>
      <c r="H884" s="139">
        <v>12970</v>
      </c>
      <c r="I884" s="139"/>
      <c r="J884" s="135"/>
      <c r="K884" s="174"/>
      <c r="L884" s="13"/>
      <c r="M884" s="139"/>
      <c r="N884" s="164"/>
      <c r="O884" s="164"/>
      <c r="P884" s="164"/>
      <c r="S884" s="145">
        <f>K884-'Order(Exhibit B)'!K884</f>
        <v>0</v>
      </c>
      <c r="T884" s="115">
        <f>M884-'Order(Exhibit B)'!M884</f>
        <v>0</v>
      </c>
    </row>
    <row r="885" spans="1:20" ht="16.5" thickBot="1">
      <c r="A885" s="176" t="s">
        <v>127</v>
      </c>
      <c r="B885" s="177"/>
      <c r="C885" s="178">
        <f>SUM(C878:C881,C883:C884)</f>
        <v>17041884</v>
      </c>
      <c r="D885" s="178">
        <v>21528241.600876749</v>
      </c>
      <c r="E885" s="178"/>
      <c r="F885" s="177"/>
      <c r="G885" s="177"/>
      <c r="H885" s="179">
        <f>SUM(H872:H884)</f>
        <v>1724665</v>
      </c>
      <c r="I885" s="179">
        <f>SUM(I872:I884)</f>
        <v>2172588</v>
      </c>
      <c r="J885" s="178"/>
      <c r="K885" s="177"/>
      <c r="L885" s="177"/>
      <c r="M885" s="179">
        <f>SUM(M872:M884)</f>
        <v>2244161</v>
      </c>
      <c r="O885" s="114" t="s">
        <v>108</v>
      </c>
      <c r="P885" s="164">
        <f>M885/I885-1</f>
        <v>3.2943659819533178E-2</v>
      </c>
      <c r="S885" s="145">
        <f>K885-'Order(Exhibit B)'!K885</f>
        <v>0</v>
      </c>
      <c r="T885" s="115">
        <f>M885-'Order(Exhibit B)'!M885</f>
        <v>6383</v>
      </c>
    </row>
    <row r="886" spans="1:20" ht="16.5" thickTop="1">
      <c r="C886" s="135"/>
      <c r="D886" s="135"/>
      <c r="E886" s="135"/>
      <c r="J886" s="135"/>
      <c r="S886" s="145">
        <f>K886-'Order(Exhibit B)'!K886</f>
        <v>0</v>
      </c>
      <c r="T886" s="115">
        <f>M886-'Order(Exhibit B)'!M886</f>
        <v>0</v>
      </c>
    </row>
    <row r="887" spans="1:20">
      <c r="A887" s="133" t="s">
        <v>488</v>
      </c>
      <c r="C887" s="135"/>
      <c r="D887" s="135"/>
      <c r="E887" s="135"/>
      <c r="J887" s="135"/>
      <c r="S887" s="145">
        <f>K887-'Order(Exhibit B)'!K887</f>
        <v>0</v>
      </c>
      <c r="T887" s="115">
        <f>M887-'Order(Exhibit B)'!M887</f>
        <v>0</v>
      </c>
    </row>
    <row r="888" spans="1:20">
      <c r="A888" s="136" t="s">
        <v>143</v>
      </c>
      <c r="C888" s="135">
        <v>249.06700000000001</v>
      </c>
      <c r="D888" s="135">
        <v>216</v>
      </c>
      <c r="E888" s="135"/>
      <c r="F888" s="190">
        <v>10</v>
      </c>
      <c r="G888" s="190"/>
      <c r="H888" s="139">
        <f t="shared" ref="H888:I893" si="212">ROUND($F888*C888,0)</f>
        <v>2491</v>
      </c>
      <c r="I888" s="139">
        <f t="shared" si="212"/>
        <v>2160</v>
      </c>
      <c r="J888" s="135"/>
      <c r="K888" s="190">
        <f>K$792</f>
        <v>10</v>
      </c>
      <c r="L888" s="190"/>
      <c r="M888" s="139">
        <f t="shared" ref="M888:M893" si="213">ROUND($K888*D888,0)</f>
        <v>2160</v>
      </c>
      <c r="S888" s="145">
        <f>K888-'Order(Exhibit B)'!K888</f>
        <v>0</v>
      </c>
      <c r="T888" s="115">
        <f>M888-'Order(Exhibit B)'!M888</f>
        <v>0</v>
      </c>
    </row>
    <row r="889" spans="1:20">
      <c r="A889" s="136" t="s">
        <v>290</v>
      </c>
      <c r="C889" s="135">
        <v>0</v>
      </c>
      <c r="D889" s="135">
        <f>ROUND($C889*D$888/$C$888,0)</f>
        <v>0</v>
      </c>
      <c r="E889" s="135"/>
      <c r="F889" s="190">
        <v>10</v>
      </c>
      <c r="G889" s="190"/>
      <c r="H889" s="139">
        <f t="shared" si="212"/>
        <v>0</v>
      </c>
      <c r="I889" s="139">
        <f t="shared" si="212"/>
        <v>0</v>
      </c>
      <c r="J889" s="135"/>
      <c r="K889" s="190">
        <f>K$793</f>
        <v>10</v>
      </c>
      <c r="L889" s="190"/>
      <c r="M889" s="139">
        <f t="shared" si="213"/>
        <v>0</v>
      </c>
      <c r="S889" s="145">
        <f>K889-'Order(Exhibit B)'!K889</f>
        <v>0</v>
      </c>
      <c r="T889" s="115">
        <f>M889-'Order(Exhibit B)'!M889</f>
        <v>0</v>
      </c>
    </row>
    <row r="890" spans="1:20">
      <c r="A890" s="136" t="s">
        <v>106</v>
      </c>
      <c r="C890" s="135">
        <v>12</v>
      </c>
      <c r="D890" s="135">
        <f>ROUND($C890*D$888/$C$888,0)</f>
        <v>10</v>
      </c>
      <c r="E890" s="135"/>
      <c r="F890" s="190">
        <v>2</v>
      </c>
      <c r="G890" s="190"/>
      <c r="H890" s="139">
        <f t="shared" si="212"/>
        <v>24</v>
      </c>
      <c r="I890" s="139">
        <f t="shared" si="212"/>
        <v>20</v>
      </c>
      <c r="J890" s="135"/>
      <c r="K890" s="138">
        <f>K$794</f>
        <v>2</v>
      </c>
      <c r="L890" s="190"/>
      <c r="M890" s="139">
        <f t="shared" si="213"/>
        <v>20</v>
      </c>
      <c r="S890" s="145">
        <f>K890-'Order(Exhibit B)'!K890</f>
        <v>0</v>
      </c>
      <c r="T890" s="115">
        <f>M890-'Order(Exhibit B)'!M890</f>
        <v>0</v>
      </c>
    </row>
    <row r="891" spans="1:20">
      <c r="A891" s="136" t="s">
        <v>109</v>
      </c>
      <c r="C891" s="135">
        <v>105</v>
      </c>
      <c r="D891" s="135">
        <v>150.14013467899736</v>
      </c>
      <c r="E891" s="135"/>
      <c r="F891" s="138">
        <v>-0.5</v>
      </c>
      <c r="G891" s="138"/>
      <c r="H891" s="139">
        <f t="shared" si="212"/>
        <v>-53</v>
      </c>
      <c r="I891" s="139">
        <f t="shared" si="212"/>
        <v>-75</v>
      </c>
      <c r="J891" s="135"/>
      <c r="K891" s="138">
        <f>K$795</f>
        <v>-0.5</v>
      </c>
      <c r="L891" s="138"/>
      <c r="M891" s="139">
        <f t="shared" si="213"/>
        <v>-75</v>
      </c>
      <c r="S891" s="145">
        <f>K891-'Order(Exhibit B)'!K891</f>
        <v>0</v>
      </c>
      <c r="T891" s="115">
        <f>M891-'Order(Exhibit B)'!M891</f>
        <v>0</v>
      </c>
    </row>
    <row r="892" spans="1:20">
      <c r="A892" s="136" t="s">
        <v>291</v>
      </c>
      <c r="C892" s="135">
        <v>176.34645669291299</v>
      </c>
      <c r="D892" s="135">
        <f>ROUND(D$901*$C892/$C$901,0)</f>
        <v>85</v>
      </c>
      <c r="E892" s="135"/>
      <c r="F892" s="190">
        <v>8.89</v>
      </c>
      <c r="G892" s="190"/>
      <c r="H892" s="139">
        <f t="shared" si="212"/>
        <v>1568</v>
      </c>
      <c r="I892" s="139">
        <f t="shared" si="212"/>
        <v>756</v>
      </c>
      <c r="J892" s="135"/>
      <c r="K892" s="190">
        <f>K$796</f>
        <v>9.19</v>
      </c>
      <c r="L892" s="190"/>
      <c r="M892" s="139">
        <f t="shared" si="213"/>
        <v>781</v>
      </c>
      <c r="S892" s="145">
        <f>K892-'Order(Exhibit B)'!K892</f>
        <v>2.9999999999999361E-2</v>
      </c>
      <c r="T892" s="115">
        <f>M892-'Order(Exhibit B)'!M892</f>
        <v>2</v>
      </c>
    </row>
    <row r="893" spans="1:20">
      <c r="A893" s="136" t="s">
        <v>292</v>
      </c>
      <c r="C893" s="135">
        <v>293.48919949174098</v>
      </c>
      <c r="D893" s="135">
        <f>ROUND(D$901*$C893/$C$901,0)</f>
        <v>141</v>
      </c>
      <c r="E893" s="135"/>
      <c r="F893" s="190">
        <v>7.87</v>
      </c>
      <c r="G893" s="190"/>
      <c r="H893" s="139">
        <f t="shared" si="212"/>
        <v>2310</v>
      </c>
      <c r="I893" s="139">
        <f t="shared" si="212"/>
        <v>1110</v>
      </c>
      <c r="J893" s="135"/>
      <c r="K893" s="190">
        <f>K$797</f>
        <v>8.1300000000000008</v>
      </c>
      <c r="L893" s="190"/>
      <c r="M893" s="139">
        <f t="shared" si="213"/>
        <v>1146</v>
      </c>
      <c r="S893" s="145">
        <f>K893-'Order(Exhibit B)'!K893</f>
        <v>2.000000000000135E-2</v>
      </c>
      <c r="T893" s="115">
        <f>M893-'Order(Exhibit B)'!M893</f>
        <v>2</v>
      </c>
    </row>
    <row r="894" spans="1:20">
      <c r="A894" s="136" t="s">
        <v>293</v>
      </c>
      <c r="C894" s="135">
        <v>46878</v>
      </c>
      <c r="D894" s="135">
        <v>19162.588085249281</v>
      </c>
      <c r="E894" s="135"/>
      <c r="F894" s="193">
        <v>11.712</v>
      </c>
      <c r="G894" s="202" t="s">
        <v>112</v>
      </c>
      <c r="H894" s="139">
        <f t="shared" ref="H894:I897" si="214">ROUND($F894*C894/100,0)</f>
        <v>5490</v>
      </c>
      <c r="I894" s="139">
        <f t="shared" si="214"/>
        <v>2244</v>
      </c>
      <c r="J894" s="135"/>
      <c r="K894" s="193">
        <f>K$798</f>
        <v>12.1439</v>
      </c>
      <c r="L894" s="202" t="s">
        <v>112</v>
      </c>
      <c r="M894" s="139">
        <f>ROUND($K894*D894/100,0)</f>
        <v>2327</v>
      </c>
      <c r="S894" s="145">
        <f>K894-'Order(Exhibit B)'!K894</f>
        <v>3.8700000000000401E-2</v>
      </c>
      <c r="T894" s="115">
        <f>M894-'Order(Exhibit B)'!M894</f>
        <v>7</v>
      </c>
    </row>
    <row r="895" spans="1:20">
      <c r="A895" s="136" t="s">
        <v>294</v>
      </c>
      <c r="C895" s="135">
        <v>51916</v>
      </c>
      <c r="D895" s="135">
        <v>21222.000150044838</v>
      </c>
      <c r="E895" s="135"/>
      <c r="F895" s="193">
        <v>6.5567000000000002</v>
      </c>
      <c r="G895" s="202" t="s">
        <v>112</v>
      </c>
      <c r="H895" s="139">
        <f t="shared" si="214"/>
        <v>3404</v>
      </c>
      <c r="I895" s="139">
        <f t="shared" si="214"/>
        <v>1391</v>
      </c>
      <c r="J895" s="135"/>
      <c r="K895" s="193">
        <f>K$799</f>
        <v>6.7748999999999997</v>
      </c>
      <c r="L895" s="202" t="s">
        <v>112</v>
      </c>
      <c r="M895" s="139">
        <f>ROUND($K895*D895/100,0)</f>
        <v>1438</v>
      </c>
      <c r="S895" s="145">
        <f>K895-'Order(Exhibit B)'!K895</f>
        <v>1.9400000000000084E-2</v>
      </c>
      <c r="T895" s="115">
        <f>M895-'Order(Exhibit B)'!M895</f>
        <v>4</v>
      </c>
    </row>
    <row r="896" spans="1:20">
      <c r="A896" s="136" t="s">
        <v>295</v>
      </c>
      <c r="C896" s="135">
        <v>103559</v>
      </c>
      <c r="D896" s="135">
        <v>54132.170552106931</v>
      </c>
      <c r="E896" s="135"/>
      <c r="F896" s="193">
        <v>10.364599999999999</v>
      </c>
      <c r="G896" s="202" t="s">
        <v>112</v>
      </c>
      <c r="H896" s="139">
        <f t="shared" si="214"/>
        <v>10733</v>
      </c>
      <c r="I896" s="139">
        <f t="shared" si="214"/>
        <v>5611</v>
      </c>
      <c r="J896" s="135"/>
      <c r="K896" s="193">
        <f>K$800</f>
        <v>10.7468</v>
      </c>
      <c r="L896" s="202" t="s">
        <v>112</v>
      </c>
      <c r="M896" s="139">
        <f>ROUND($K896*D896/100,0)</f>
        <v>5817</v>
      </c>
      <c r="S896" s="145">
        <f>K896-'Order(Exhibit B)'!K896</f>
        <v>3.420000000000023E-2</v>
      </c>
      <c r="T896" s="115">
        <f>M896-'Order(Exhibit B)'!M896</f>
        <v>18</v>
      </c>
    </row>
    <row r="897" spans="1:20">
      <c r="A897" s="136" t="s">
        <v>297</v>
      </c>
      <c r="C897" s="135">
        <v>57631</v>
      </c>
      <c r="D897" s="135">
        <f>D901-D894-D895-D896-D899</f>
        <v>30124.770624363642</v>
      </c>
      <c r="E897" s="135"/>
      <c r="F897" s="193">
        <v>5.8023999999999996</v>
      </c>
      <c r="G897" s="202" t="s">
        <v>112</v>
      </c>
      <c r="H897" s="139">
        <f t="shared" si="214"/>
        <v>3344</v>
      </c>
      <c r="I897" s="139">
        <f t="shared" si="214"/>
        <v>1748</v>
      </c>
      <c r="J897" s="135"/>
      <c r="K897" s="193">
        <f>K$801</f>
        <v>5.9954999999999998</v>
      </c>
      <c r="L897" s="202" t="s">
        <v>112</v>
      </c>
      <c r="M897" s="139">
        <f>ROUND($K897*D897/100,0)</f>
        <v>1806</v>
      </c>
      <c r="S897" s="145">
        <f>K897-'Order(Exhibit B)'!K897</f>
        <v>1.7199999999999882E-2</v>
      </c>
      <c r="T897" s="115">
        <f>M897-'Order(Exhibit B)'!M897</f>
        <v>5</v>
      </c>
    </row>
    <row r="898" spans="1:20">
      <c r="A898" s="136" t="s">
        <v>150</v>
      </c>
      <c r="C898" s="135">
        <v>0</v>
      </c>
      <c r="D898" s="135">
        <f>ROUND(D$901*$C898/$C$901,0)</f>
        <v>0</v>
      </c>
      <c r="E898" s="135"/>
      <c r="F898" s="190">
        <v>-0.48</v>
      </c>
      <c r="G898" s="163"/>
      <c r="H898" s="139">
        <f>ROUND($F898*C898,0)</f>
        <v>0</v>
      </c>
      <c r="I898" s="139">
        <f>ROUND($F898*D898,0)</f>
        <v>0</v>
      </c>
      <c r="J898" s="135"/>
      <c r="K898" s="190">
        <f>K$802</f>
        <v>-0.48</v>
      </c>
      <c r="L898" s="163"/>
      <c r="M898" s="139">
        <f>ROUND($K898*D898,0)</f>
        <v>0</v>
      </c>
      <c r="S898" s="145">
        <f>K898-'Order(Exhibit B)'!K898</f>
        <v>0</v>
      </c>
      <c r="T898" s="115">
        <f>M898-'Order(Exhibit B)'!M898</f>
        <v>0</v>
      </c>
    </row>
    <row r="899" spans="1:20">
      <c r="A899" s="172" t="s">
        <v>123</v>
      </c>
      <c r="C899" s="135">
        <v>0</v>
      </c>
      <c r="D899" s="135">
        <f>ROUND(D$901*$C899/$C$901,0)</f>
        <v>0</v>
      </c>
      <c r="E899" s="135"/>
      <c r="F899" s="174">
        <v>10.3811</v>
      </c>
      <c r="G899" s="13" t="s">
        <v>112</v>
      </c>
      <c r="H899" s="139">
        <f>ROUND($F899*C899/100,0)</f>
        <v>0</v>
      </c>
      <c r="I899" s="139">
        <f>ROUND($F899*D899/100,0)</f>
        <v>0</v>
      </c>
      <c r="J899" s="135"/>
      <c r="K899" s="174">
        <f>K$803</f>
        <v>11.267099999999999</v>
      </c>
      <c r="L899" s="13" t="s">
        <v>112</v>
      </c>
      <c r="M899" s="139">
        <f>ROUND($K899*D899/100,0)</f>
        <v>0</v>
      </c>
      <c r="S899" s="145">
        <f>K899-'Order(Exhibit B)'!K899</f>
        <v>0</v>
      </c>
      <c r="T899" s="115">
        <f>M899-'Order(Exhibit B)'!M899</f>
        <v>0</v>
      </c>
    </row>
    <row r="900" spans="1:20">
      <c r="A900" s="172" t="s">
        <v>125</v>
      </c>
      <c r="B900" s="173"/>
      <c r="C900" s="135">
        <v>63</v>
      </c>
      <c r="D900" s="135"/>
      <c r="E900" s="135"/>
      <c r="F900" s="174"/>
      <c r="G900" s="13"/>
      <c r="H900" s="139">
        <v>66</v>
      </c>
      <c r="I900" s="139"/>
      <c r="J900" s="135"/>
      <c r="K900" s="174"/>
      <c r="L900" s="13"/>
      <c r="M900" s="139"/>
      <c r="N900" s="164"/>
      <c r="O900" s="164"/>
      <c r="P900" s="164"/>
      <c r="S900" s="145">
        <f>K900-'Order(Exhibit B)'!K900</f>
        <v>0</v>
      </c>
      <c r="T900" s="115">
        <f>M900-'Order(Exhibit B)'!M900</f>
        <v>0</v>
      </c>
    </row>
    <row r="901" spans="1:20" ht="16.5" thickBot="1">
      <c r="A901" s="176" t="s">
        <v>127</v>
      </c>
      <c r="B901" s="177"/>
      <c r="C901" s="178">
        <f>SUM(C894:C897,C899:C900)</f>
        <v>260047</v>
      </c>
      <c r="D901" s="178">
        <v>124641.5294117647</v>
      </c>
      <c r="E901" s="178"/>
      <c r="F901" s="177"/>
      <c r="G901" s="177"/>
      <c r="H901" s="179">
        <f>SUM(H888:H900)</f>
        <v>29377</v>
      </c>
      <c r="I901" s="179">
        <f>SUM(I888:I900)</f>
        <v>14965</v>
      </c>
      <c r="J901" s="178"/>
      <c r="K901" s="177"/>
      <c r="L901" s="177"/>
      <c r="M901" s="179">
        <f>SUM(M888:M900)</f>
        <v>15420</v>
      </c>
      <c r="O901" s="114" t="s">
        <v>108</v>
      </c>
      <c r="P901" s="164">
        <f>M901/I901-1</f>
        <v>3.0404276645506156E-2</v>
      </c>
      <c r="S901" s="145">
        <f>K901-'Order(Exhibit B)'!K901</f>
        <v>0</v>
      </c>
      <c r="T901" s="115">
        <f>M901-'Order(Exhibit B)'!M901</f>
        <v>38</v>
      </c>
    </row>
    <row r="902" spans="1:20" ht="16.5" thickTop="1">
      <c r="C902" s="135"/>
      <c r="D902" s="135"/>
      <c r="E902" s="135"/>
      <c r="J902" s="135"/>
      <c r="S902" s="145">
        <f>K902-'Order(Exhibit B)'!K902</f>
        <v>0</v>
      </c>
      <c r="T902" s="115">
        <f>M902-'Order(Exhibit B)'!M902</f>
        <v>0</v>
      </c>
    </row>
    <row r="903" spans="1:20">
      <c r="A903" s="133" t="s">
        <v>489</v>
      </c>
      <c r="C903" s="135"/>
      <c r="D903" s="135"/>
      <c r="E903" s="135"/>
      <c r="J903" s="135"/>
      <c r="S903" s="145">
        <f>K903-'Order(Exhibit B)'!K903</f>
        <v>0</v>
      </c>
      <c r="T903" s="115">
        <f>M903-'Order(Exhibit B)'!M903</f>
        <v>0</v>
      </c>
    </row>
    <row r="904" spans="1:20">
      <c r="A904" s="136" t="s">
        <v>143</v>
      </c>
      <c r="C904" s="135">
        <v>6304.0029999999997</v>
      </c>
      <c r="D904" s="135">
        <v>6931</v>
      </c>
      <c r="E904" s="135"/>
      <c r="F904" s="190">
        <v>10</v>
      </c>
      <c r="G904" s="190"/>
      <c r="H904" s="139">
        <f t="shared" ref="H904:I909" si="215">ROUND($F904*C904,0)</f>
        <v>63040</v>
      </c>
      <c r="I904" s="139">
        <f t="shared" si="215"/>
        <v>69310</v>
      </c>
      <c r="J904" s="135"/>
      <c r="K904" s="190">
        <f>K$792</f>
        <v>10</v>
      </c>
      <c r="L904" s="190"/>
      <c r="M904" s="139">
        <f t="shared" ref="M904:M909" si="216">ROUND($K904*D904,0)</f>
        <v>69310</v>
      </c>
      <c r="S904" s="145">
        <f>K904-'Order(Exhibit B)'!K904</f>
        <v>0</v>
      </c>
      <c r="T904" s="115">
        <f>M904-'Order(Exhibit B)'!M904</f>
        <v>0</v>
      </c>
    </row>
    <row r="905" spans="1:20">
      <c r="A905" s="136" t="s">
        <v>290</v>
      </c>
      <c r="C905" s="135">
        <v>1</v>
      </c>
      <c r="D905" s="135">
        <f>ROUND($C905*D$904/$C$904,0)</f>
        <v>1</v>
      </c>
      <c r="E905" s="135"/>
      <c r="F905" s="190">
        <v>10</v>
      </c>
      <c r="G905" s="190"/>
      <c r="H905" s="139">
        <f t="shared" si="215"/>
        <v>10</v>
      </c>
      <c r="I905" s="139">
        <f t="shared" si="215"/>
        <v>10</v>
      </c>
      <c r="J905" s="135"/>
      <c r="K905" s="190">
        <f>K$793</f>
        <v>10</v>
      </c>
      <c r="L905" s="190"/>
      <c r="M905" s="139">
        <f t="shared" si="216"/>
        <v>10</v>
      </c>
      <c r="S905" s="145">
        <f>K905-'Order(Exhibit B)'!K905</f>
        <v>0</v>
      </c>
      <c r="T905" s="115">
        <f>M905-'Order(Exhibit B)'!M905</f>
        <v>0</v>
      </c>
    </row>
    <row r="906" spans="1:20">
      <c r="A906" s="136" t="s">
        <v>106</v>
      </c>
      <c r="C906" s="135">
        <v>120</v>
      </c>
      <c r="D906" s="135">
        <f>ROUND($C906*D$904/$C$904,0)</f>
        <v>132</v>
      </c>
      <c r="E906" s="135"/>
      <c r="F906" s="190">
        <v>2</v>
      </c>
      <c r="G906" s="190"/>
      <c r="H906" s="139">
        <f t="shared" si="215"/>
        <v>240</v>
      </c>
      <c r="I906" s="139">
        <f t="shared" si="215"/>
        <v>264</v>
      </c>
      <c r="J906" s="135"/>
      <c r="K906" s="138">
        <f>K$794</f>
        <v>2</v>
      </c>
      <c r="L906" s="190"/>
      <c r="M906" s="139">
        <f t="shared" si="216"/>
        <v>264</v>
      </c>
      <c r="S906" s="145">
        <f>K906-'Order(Exhibit B)'!K906</f>
        <v>0</v>
      </c>
      <c r="T906" s="115">
        <f>M906-'Order(Exhibit B)'!M906</f>
        <v>0</v>
      </c>
    </row>
    <row r="907" spans="1:20">
      <c r="A907" s="136" t="s">
        <v>109</v>
      </c>
      <c r="C907" s="135">
        <v>4077</v>
      </c>
      <c r="D907" s="135">
        <v>4817.691080833938</v>
      </c>
      <c r="E907" s="135"/>
      <c r="F907" s="138">
        <v>-0.5</v>
      </c>
      <c r="G907" s="138"/>
      <c r="H907" s="139">
        <f t="shared" si="215"/>
        <v>-2039</v>
      </c>
      <c r="I907" s="139">
        <f t="shared" si="215"/>
        <v>-2409</v>
      </c>
      <c r="J907" s="135"/>
      <c r="K907" s="138">
        <f>K$795</f>
        <v>-0.5</v>
      </c>
      <c r="L907" s="138"/>
      <c r="M907" s="139">
        <f t="shared" si="216"/>
        <v>-2409</v>
      </c>
      <c r="S907" s="145">
        <f>K907-'Order(Exhibit B)'!K907</f>
        <v>0</v>
      </c>
      <c r="T907" s="115">
        <f>M907-'Order(Exhibit B)'!M907</f>
        <v>0</v>
      </c>
    </row>
    <row r="908" spans="1:20">
      <c r="A908" s="136" t="s">
        <v>291</v>
      </c>
      <c r="C908" s="135">
        <v>820.04161979752496</v>
      </c>
      <c r="D908" s="135">
        <f>ROUND($C908*D$917/$C$917,0)</f>
        <v>1075</v>
      </c>
      <c r="E908" s="135"/>
      <c r="F908" s="190">
        <v>8.89</v>
      </c>
      <c r="G908" s="190"/>
      <c r="H908" s="139">
        <f t="shared" si="215"/>
        <v>7290</v>
      </c>
      <c r="I908" s="139">
        <f t="shared" si="215"/>
        <v>9557</v>
      </c>
      <c r="J908" s="135"/>
      <c r="K908" s="190">
        <f>K$796</f>
        <v>9.19</v>
      </c>
      <c r="L908" s="190"/>
      <c r="M908" s="139">
        <f t="shared" si="216"/>
        <v>9879</v>
      </c>
      <c r="S908" s="145">
        <f>K908-'Order(Exhibit B)'!K908</f>
        <v>2.9999999999999361E-2</v>
      </c>
      <c r="T908" s="115">
        <f>M908-'Order(Exhibit B)'!M908</f>
        <v>32</v>
      </c>
    </row>
    <row r="909" spans="1:20">
      <c r="A909" s="136" t="s">
        <v>292</v>
      </c>
      <c r="C909" s="135">
        <v>1237.3608640406601</v>
      </c>
      <c r="D909" s="135">
        <f>ROUND($C909*D$917/$C$917,0)</f>
        <v>1622</v>
      </c>
      <c r="E909" s="135"/>
      <c r="F909" s="190">
        <v>7.87</v>
      </c>
      <c r="G909" s="190"/>
      <c r="H909" s="139">
        <f t="shared" si="215"/>
        <v>9738</v>
      </c>
      <c r="I909" s="139">
        <f t="shared" si="215"/>
        <v>12765</v>
      </c>
      <c r="J909" s="135"/>
      <c r="K909" s="190">
        <f>K$797</f>
        <v>8.1300000000000008</v>
      </c>
      <c r="L909" s="190"/>
      <c r="M909" s="139">
        <f t="shared" si="216"/>
        <v>13187</v>
      </c>
      <c r="S909" s="145">
        <f>K909-'Order(Exhibit B)'!K909</f>
        <v>2.000000000000135E-2</v>
      </c>
      <c r="T909" s="115">
        <f>M909-'Order(Exhibit B)'!M909</f>
        <v>33</v>
      </c>
    </row>
    <row r="910" spans="1:20">
      <c r="A910" s="136" t="s">
        <v>293</v>
      </c>
      <c r="C910" s="135">
        <v>446765</v>
      </c>
      <c r="D910" s="135">
        <v>719643.87798866828</v>
      </c>
      <c r="E910" s="135"/>
      <c r="F910" s="193">
        <v>11.712</v>
      </c>
      <c r="G910" s="202" t="s">
        <v>112</v>
      </c>
      <c r="H910" s="139">
        <f t="shared" ref="H910:I913" si="217">ROUND($F910*C910/100,0)</f>
        <v>52325</v>
      </c>
      <c r="I910" s="139">
        <f t="shared" si="217"/>
        <v>84285</v>
      </c>
      <c r="J910" s="135"/>
      <c r="K910" s="193">
        <f>K$798</f>
        <v>12.1439</v>
      </c>
      <c r="L910" s="202" t="s">
        <v>112</v>
      </c>
      <c r="M910" s="139">
        <f>ROUND($K910*D910/100,0)</f>
        <v>87393</v>
      </c>
      <c r="S910" s="145">
        <f>K910-'Order(Exhibit B)'!K910</f>
        <v>3.8700000000000401E-2</v>
      </c>
      <c r="T910" s="115">
        <f>M910-'Order(Exhibit B)'!M910</f>
        <v>279</v>
      </c>
    </row>
    <row r="911" spans="1:20">
      <c r="A911" s="136" t="s">
        <v>294</v>
      </c>
      <c r="C911" s="135">
        <v>406533</v>
      </c>
      <c r="D911" s="135">
        <v>654838.63921830745</v>
      </c>
      <c r="E911" s="135"/>
      <c r="F911" s="193">
        <v>6.5567000000000002</v>
      </c>
      <c r="G911" s="202" t="s">
        <v>112</v>
      </c>
      <c r="H911" s="139">
        <f t="shared" si="217"/>
        <v>26655</v>
      </c>
      <c r="I911" s="139">
        <f t="shared" si="217"/>
        <v>42936</v>
      </c>
      <c r="J911" s="135"/>
      <c r="K911" s="193">
        <f>K$799</f>
        <v>6.7748999999999997</v>
      </c>
      <c r="L911" s="202" t="s">
        <v>112</v>
      </c>
      <c r="M911" s="139">
        <f>ROUND($K911*D911/100,0)</f>
        <v>44365</v>
      </c>
      <c r="S911" s="145">
        <f>K911-'Order(Exhibit B)'!K911</f>
        <v>1.9400000000000084E-2</v>
      </c>
      <c r="T911" s="115">
        <f>M911-'Order(Exhibit B)'!M911</f>
        <v>127</v>
      </c>
    </row>
    <row r="912" spans="1:20">
      <c r="A912" s="136" t="s">
        <v>295</v>
      </c>
      <c r="C912" s="135">
        <v>1379343</v>
      </c>
      <c r="D912" s="135">
        <v>1674632.3571773258</v>
      </c>
      <c r="E912" s="135"/>
      <c r="F912" s="193">
        <v>10.364599999999999</v>
      </c>
      <c r="G912" s="202" t="s">
        <v>112</v>
      </c>
      <c r="H912" s="139">
        <f t="shared" si="217"/>
        <v>142963</v>
      </c>
      <c r="I912" s="139">
        <f t="shared" si="217"/>
        <v>173569</v>
      </c>
      <c r="J912" s="135"/>
      <c r="K912" s="193">
        <f>K$800</f>
        <v>10.7468</v>
      </c>
      <c r="L912" s="202" t="s">
        <v>112</v>
      </c>
      <c r="M912" s="139">
        <f>ROUND($K912*D912/100,0)</f>
        <v>179969</v>
      </c>
      <c r="S912" s="145">
        <f>K912-'Order(Exhibit B)'!K912</f>
        <v>3.420000000000023E-2</v>
      </c>
      <c r="T912" s="115">
        <f>M912-'Order(Exhibit B)'!M912</f>
        <v>572</v>
      </c>
    </row>
    <row r="913" spans="1:20">
      <c r="A913" s="136" t="s">
        <v>297</v>
      </c>
      <c r="C913" s="135">
        <v>1146486</v>
      </c>
      <c r="D913" s="135">
        <f>D917-D910-D911-D912-D915</f>
        <v>1391925.3968380627</v>
      </c>
      <c r="E913" s="135"/>
      <c r="F913" s="193">
        <v>5.8023999999999996</v>
      </c>
      <c r="G913" s="202" t="s">
        <v>112</v>
      </c>
      <c r="H913" s="139">
        <f t="shared" si="217"/>
        <v>66524</v>
      </c>
      <c r="I913" s="139">
        <f t="shared" si="217"/>
        <v>80765</v>
      </c>
      <c r="J913" s="135"/>
      <c r="K913" s="193">
        <f>K$801</f>
        <v>5.9954999999999998</v>
      </c>
      <c r="L913" s="202" t="s">
        <v>112</v>
      </c>
      <c r="M913" s="139">
        <f>ROUND($K913*D913/100,0)</f>
        <v>83453</v>
      </c>
      <c r="S913" s="145">
        <f>K913-'Order(Exhibit B)'!K913</f>
        <v>1.7199999999999882E-2</v>
      </c>
      <c r="T913" s="115">
        <f>M913-'Order(Exhibit B)'!M913</f>
        <v>240</v>
      </c>
    </row>
    <row r="914" spans="1:20">
      <c r="A914" s="136" t="s">
        <v>150</v>
      </c>
      <c r="C914" s="135">
        <v>0</v>
      </c>
      <c r="D914" s="135">
        <f>ROUND($C914*D$917/$C$917,0)</f>
        <v>0</v>
      </c>
      <c r="E914" s="135"/>
      <c r="F914" s="190">
        <v>-0.48</v>
      </c>
      <c r="G914" s="163"/>
      <c r="H914" s="139">
        <f>ROUND($F914*C914,0)</f>
        <v>0</v>
      </c>
      <c r="I914" s="139">
        <f>ROUND($F914*D914,0)</f>
        <v>0</v>
      </c>
      <c r="J914" s="135"/>
      <c r="K914" s="190">
        <f>K$802</f>
        <v>-0.48</v>
      </c>
      <c r="L914" s="163"/>
      <c r="M914" s="139">
        <f>ROUND($K914*D914,0)</f>
        <v>0</v>
      </c>
      <c r="S914" s="145">
        <f>K914-'Order(Exhibit B)'!K914</f>
        <v>0</v>
      </c>
      <c r="T914" s="115">
        <f>M914-'Order(Exhibit B)'!M914</f>
        <v>0</v>
      </c>
    </row>
    <row r="915" spans="1:20">
      <c r="A915" s="172" t="s">
        <v>123</v>
      </c>
      <c r="C915" s="135">
        <v>0</v>
      </c>
      <c r="D915" s="135">
        <f>ROUND($C915*D$917/$C$917,0)</f>
        <v>0</v>
      </c>
      <c r="E915" s="135"/>
      <c r="F915" s="174">
        <v>10.3811</v>
      </c>
      <c r="G915" s="13" t="s">
        <v>112</v>
      </c>
      <c r="H915" s="139">
        <f>ROUND($F915*C915/100,0)</f>
        <v>0</v>
      </c>
      <c r="I915" s="139">
        <f>ROUND($F915*D915/100,0)</f>
        <v>0</v>
      </c>
      <c r="J915" s="135"/>
      <c r="K915" s="174">
        <f>K$803</f>
        <v>11.267099999999999</v>
      </c>
      <c r="L915" s="13" t="s">
        <v>112</v>
      </c>
      <c r="M915" s="139">
        <f>ROUND($K915*D915/100,0)</f>
        <v>0</v>
      </c>
      <c r="S915" s="145">
        <f>K915-'Order(Exhibit B)'!K915</f>
        <v>0</v>
      </c>
      <c r="T915" s="115">
        <f>M915-'Order(Exhibit B)'!M915</f>
        <v>0</v>
      </c>
    </row>
    <row r="916" spans="1:20">
      <c r="A916" s="172" t="s">
        <v>125</v>
      </c>
      <c r="B916" s="173"/>
      <c r="C916" s="135">
        <v>9516</v>
      </c>
      <c r="D916" s="135"/>
      <c r="E916" s="135"/>
      <c r="F916" s="174"/>
      <c r="G916" s="13"/>
      <c r="H916" s="139">
        <v>1228</v>
      </c>
      <c r="I916" s="139"/>
      <c r="J916" s="135"/>
      <c r="K916" s="174"/>
      <c r="L916" s="13"/>
      <c r="M916" s="139"/>
      <c r="N916" s="164"/>
      <c r="O916" s="164"/>
      <c r="P916" s="164"/>
      <c r="S916" s="145">
        <f>K916-'Order(Exhibit B)'!K916</f>
        <v>0</v>
      </c>
      <c r="T916" s="115">
        <f>M916-'Order(Exhibit B)'!M916</f>
        <v>0</v>
      </c>
    </row>
    <row r="917" spans="1:20" ht="16.5" thickBot="1">
      <c r="A917" s="176" t="s">
        <v>127</v>
      </c>
      <c r="B917" s="177"/>
      <c r="C917" s="178">
        <f>SUM(C910:C913,C915:C916)</f>
        <v>3388643</v>
      </c>
      <c r="D917" s="178">
        <v>4441040.2712223642</v>
      </c>
      <c r="E917" s="178"/>
      <c r="F917" s="177"/>
      <c r="G917" s="177"/>
      <c r="H917" s="179">
        <f>SUM(H904:H916)</f>
        <v>367974</v>
      </c>
      <c r="I917" s="179">
        <f>SUM(I904:I916)</f>
        <v>471052</v>
      </c>
      <c r="J917" s="178"/>
      <c r="K917" s="177"/>
      <c r="L917" s="177"/>
      <c r="M917" s="179">
        <f>SUM(M904:M916)</f>
        <v>485421</v>
      </c>
      <c r="O917" s="114" t="s">
        <v>108</v>
      </c>
      <c r="P917" s="164">
        <f>M917/I917-1</f>
        <v>3.0504063245671453E-2</v>
      </c>
      <c r="S917" s="145">
        <f>K917-'Order(Exhibit B)'!K917</f>
        <v>0</v>
      </c>
      <c r="T917" s="115">
        <f>M917-'Order(Exhibit B)'!M917</f>
        <v>1283</v>
      </c>
    </row>
    <row r="918" spans="1:20" ht="16.5" thickTop="1">
      <c r="S918" s="145">
        <f>K918-'Order(Exhibit B)'!K918</f>
        <v>0</v>
      </c>
      <c r="T918" s="115">
        <f>M918-'Order(Exhibit B)'!M918</f>
        <v>0</v>
      </c>
    </row>
    <row r="919" spans="1:20">
      <c r="A919" s="133" t="s">
        <v>299</v>
      </c>
      <c r="C919" s="135"/>
      <c r="D919" s="135"/>
      <c r="E919" s="135"/>
      <c r="F919" s="193"/>
      <c r="G919" s="193"/>
      <c r="J919" s="135"/>
      <c r="K919" s="193"/>
      <c r="L919" s="193"/>
      <c r="S919" s="145">
        <f>K919-'Order(Exhibit B)'!K919</f>
        <v>0</v>
      </c>
      <c r="T919" s="115">
        <f>M919-'Order(Exhibit B)'!M919</f>
        <v>0</v>
      </c>
    </row>
    <row r="920" spans="1:20">
      <c r="A920" s="235" t="s">
        <v>300</v>
      </c>
      <c r="C920" s="135"/>
      <c r="D920" s="135"/>
      <c r="E920" s="135"/>
      <c r="J920" s="135"/>
      <c r="S920" s="145">
        <f>K920-'Order(Exhibit B)'!K920</f>
        <v>0</v>
      </c>
      <c r="T920" s="115">
        <f>M920-'Order(Exhibit B)'!M920</f>
        <v>0</v>
      </c>
    </row>
    <row r="921" spans="1:20">
      <c r="A921" s="136" t="s">
        <v>301</v>
      </c>
      <c r="B921" s="220"/>
      <c r="C921" s="135">
        <f>C987+C1053</f>
        <v>0</v>
      </c>
      <c r="D921" s="135">
        <f t="shared" ref="D921" si="218">D987+D1053</f>
        <v>0</v>
      </c>
      <c r="E921" s="135"/>
      <c r="F921" s="138">
        <v>137</v>
      </c>
      <c r="G921" s="138"/>
      <c r="H921" s="139">
        <f t="shared" ref="H921:I923" si="219">ROUND($F921*C921,0)</f>
        <v>0</v>
      </c>
      <c r="I921" s="139">
        <f t="shared" si="219"/>
        <v>0</v>
      </c>
      <c r="J921" s="135"/>
      <c r="K921" s="138">
        <f>'Exhibit D(Sch31-32 Rate)'!F31</f>
        <v>139</v>
      </c>
      <c r="L921" s="138"/>
      <c r="M921" s="139">
        <f>ROUND($K921*D921,0)</f>
        <v>0</v>
      </c>
      <c r="O921" s="132" t="s">
        <v>302</v>
      </c>
      <c r="P921" s="236"/>
      <c r="S921" s="145">
        <f>K921-'Order(Exhibit B)'!K921</f>
        <v>0</v>
      </c>
      <c r="T921" s="115">
        <f>M921-'Order(Exhibit B)'!M921</f>
        <v>0</v>
      </c>
    </row>
    <row r="922" spans="1:20">
      <c r="A922" s="136" t="s">
        <v>109</v>
      </c>
      <c r="C922" s="135">
        <f>C988+C1054</f>
        <v>0</v>
      </c>
      <c r="D922" s="135">
        <f>D988+D1054</f>
        <v>0</v>
      </c>
      <c r="E922" s="135"/>
      <c r="F922" s="138">
        <v>-0.5</v>
      </c>
      <c r="G922" s="138"/>
      <c r="H922" s="139">
        <f t="shared" si="219"/>
        <v>0</v>
      </c>
      <c r="I922" s="139">
        <f t="shared" si="219"/>
        <v>0</v>
      </c>
      <c r="J922" s="135"/>
      <c r="K922" s="138">
        <f>F922</f>
        <v>-0.5</v>
      </c>
      <c r="L922" s="138"/>
      <c r="M922" s="139">
        <f>ROUND($K922*D922,0)</f>
        <v>0</v>
      </c>
      <c r="O922" s="146" t="s">
        <v>101</v>
      </c>
      <c r="P922" s="147">
        <f>M983</f>
        <v>19035503</v>
      </c>
      <c r="S922" s="145">
        <f>K922-'Order(Exhibit B)'!K922</f>
        <v>0</v>
      </c>
      <c r="T922" s="115">
        <f>M922-'Order(Exhibit B)'!M922</f>
        <v>0</v>
      </c>
    </row>
    <row r="923" spans="1:20">
      <c r="A923" s="136" t="s">
        <v>303</v>
      </c>
      <c r="B923" s="220"/>
      <c r="C923" s="135">
        <f>C989+C1055</f>
        <v>0</v>
      </c>
      <c r="D923" s="135">
        <f>D989+D1055</f>
        <v>0</v>
      </c>
      <c r="E923" s="135"/>
      <c r="F923" s="138">
        <v>5.75</v>
      </c>
      <c r="G923" s="138"/>
      <c r="H923" s="139">
        <f t="shared" si="219"/>
        <v>0</v>
      </c>
      <c r="I923" s="139">
        <f t="shared" si="219"/>
        <v>0</v>
      </c>
      <c r="J923" s="135"/>
      <c r="K923" s="138">
        <f>'Exhibit D(Sch31-32 Rate)'!L37</f>
        <v>5.94</v>
      </c>
      <c r="L923" s="138"/>
      <c r="M923" s="139">
        <f>ROUND($K923*D923,0)</f>
        <v>0</v>
      </c>
      <c r="O923" s="149" t="s">
        <v>103</v>
      </c>
      <c r="P923" s="150">
        <f>'Exhibit B(Rate Spread)'!M29*1000</f>
        <v>19372043.560590606</v>
      </c>
      <c r="S923" s="145">
        <f>K923-'Order(Exhibit B)'!K923</f>
        <v>2.0000000000000462E-2</v>
      </c>
      <c r="T923" s="115">
        <f>M923-'Order(Exhibit B)'!M923</f>
        <v>0</v>
      </c>
    </row>
    <row r="924" spans="1:20">
      <c r="A924" s="136" t="s">
        <v>304</v>
      </c>
      <c r="B924" s="220"/>
      <c r="C924" s="135"/>
      <c r="D924" s="135"/>
      <c r="E924" s="135"/>
      <c r="F924" s="190"/>
      <c r="G924" s="190"/>
      <c r="H924" s="139"/>
      <c r="I924" s="139"/>
      <c r="J924" s="135"/>
      <c r="K924" s="190"/>
      <c r="L924" s="190"/>
      <c r="M924" s="139"/>
      <c r="O924" s="152" t="s">
        <v>105</v>
      </c>
      <c r="P924" s="153">
        <f>P923-P922</f>
        <v>336540.56059060618</v>
      </c>
      <c r="S924" s="145">
        <f>K924-'Order(Exhibit B)'!K924</f>
        <v>0</v>
      </c>
      <c r="T924" s="115">
        <f>M924-'Order(Exhibit B)'!M924</f>
        <v>0</v>
      </c>
    </row>
    <row r="925" spans="1:20">
      <c r="A925" s="136" t="s">
        <v>305</v>
      </c>
      <c r="B925" s="220"/>
      <c r="C925" s="135"/>
      <c r="D925" s="135"/>
      <c r="E925" s="135"/>
      <c r="F925" s="237"/>
      <c r="G925" s="237"/>
      <c r="H925" s="139"/>
      <c r="I925" s="139"/>
      <c r="J925" s="135"/>
      <c r="K925" s="237"/>
      <c r="L925" s="237"/>
      <c r="M925" s="139"/>
      <c r="O925" s="146" t="s">
        <v>108</v>
      </c>
      <c r="P925" s="192">
        <f>P922/I983-1</f>
        <v>2.9145372904094247E-2</v>
      </c>
      <c r="S925" s="145">
        <f>K925-'Order(Exhibit B)'!K925</f>
        <v>0</v>
      </c>
      <c r="T925" s="115">
        <f>M925-'Order(Exhibit B)'!M925</f>
        <v>0</v>
      </c>
    </row>
    <row r="926" spans="1:20">
      <c r="A926" s="136" t="s">
        <v>306</v>
      </c>
      <c r="B926" s="220"/>
      <c r="C926" s="135">
        <f>C992+C1058</f>
        <v>0</v>
      </c>
      <c r="D926" s="135">
        <f t="shared" ref="D926:D927" si="220">D992+D1058</f>
        <v>0</v>
      </c>
      <c r="E926" s="135"/>
      <c r="F926" s="237">
        <v>0.9</v>
      </c>
      <c r="G926" s="237"/>
      <c r="H926" s="139">
        <f>ROUND($F926*C926,0)</f>
        <v>0</v>
      </c>
      <c r="I926" s="139">
        <f>ROUND($F926*D926,0)</f>
        <v>0</v>
      </c>
      <c r="J926" s="135"/>
      <c r="K926" s="138">
        <f>'Exhibit D(Sch31-32 Rate)'!L42</f>
        <v>0.73</v>
      </c>
      <c r="L926" s="237"/>
      <c r="M926" s="139">
        <f>ROUND($K926*D926,0)</f>
        <v>0</v>
      </c>
      <c r="O926" s="149" t="s">
        <v>110</v>
      </c>
      <c r="P926" s="191">
        <f>P923/I983-1</f>
        <v>4.7340277484570592E-2</v>
      </c>
      <c r="S926" s="145">
        <f>K926-'Order(Exhibit B)'!K926</f>
        <v>1.0000000000000009E-2</v>
      </c>
      <c r="T926" s="115">
        <f>M926-'Order(Exhibit B)'!M926</f>
        <v>0</v>
      </c>
    </row>
    <row r="927" spans="1:20">
      <c r="A927" s="136" t="s">
        <v>307</v>
      </c>
      <c r="B927" s="220"/>
      <c r="C927" s="135">
        <f>C993+C1059</f>
        <v>0</v>
      </c>
      <c r="D927" s="135">
        <f t="shared" si="220"/>
        <v>0</v>
      </c>
      <c r="E927" s="135"/>
      <c r="F927" s="237">
        <v>0.8</v>
      </c>
      <c r="G927" s="237"/>
      <c r="H927" s="139">
        <f>ROUND($F927*C927,0)</f>
        <v>0</v>
      </c>
      <c r="I927" s="139">
        <f>ROUND($F927*D927,0)</f>
        <v>0</v>
      </c>
      <c r="J927" s="135"/>
      <c r="K927" s="138">
        <f>'Exhibit D(Sch31-32 Rate)'!L43</f>
        <v>0.64</v>
      </c>
      <c r="L927" s="237"/>
      <c r="M927" s="139">
        <f>ROUND($K927*D927,0)</f>
        <v>0</v>
      </c>
      <c r="O927" s="167"/>
      <c r="P927" s="194"/>
      <c r="S927" s="145">
        <f>K927-'Order(Exhibit B)'!K927</f>
        <v>0</v>
      </c>
      <c r="T927" s="115">
        <f>M927-'Order(Exhibit B)'!M927</f>
        <v>0</v>
      </c>
    </row>
    <row r="928" spans="1:20">
      <c r="A928" s="136" t="s">
        <v>308</v>
      </c>
      <c r="B928" s="220"/>
      <c r="C928" s="135"/>
      <c r="D928" s="135"/>
      <c r="E928" s="135"/>
      <c r="F928" s="238"/>
      <c r="G928" s="238"/>
      <c r="H928" s="139"/>
      <c r="I928" s="139"/>
      <c r="J928" s="135"/>
      <c r="K928" s="238"/>
      <c r="L928" s="238"/>
      <c r="M928" s="139"/>
      <c r="S928" s="145">
        <f>K928-'Order(Exhibit B)'!K928</f>
        <v>0</v>
      </c>
      <c r="T928" s="115">
        <f>M928-'Order(Exhibit B)'!M928</f>
        <v>0</v>
      </c>
    </row>
    <row r="929" spans="1:20">
      <c r="A929" s="136" t="s">
        <v>306</v>
      </c>
      <c r="B929" s="220"/>
      <c r="C929" s="135">
        <f>C995+C1061</f>
        <v>0</v>
      </c>
      <c r="D929" s="135">
        <f t="shared" ref="D929:D930" si="221">D995+D1061</f>
        <v>0</v>
      </c>
      <c r="E929" s="135"/>
      <c r="F929" s="238">
        <v>0.45</v>
      </c>
      <c r="G929" s="238"/>
      <c r="H929" s="139">
        <f>ROUND($F929*C929,0)</f>
        <v>0</v>
      </c>
      <c r="I929" s="139">
        <f>ROUND($F929*D929,0)</f>
        <v>0</v>
      </c>
      <c r="J929" s="135"/>
      <c r="K929" s="138">
        <f>K926/2</f>
        <v>0.36499999999999999</v>
      </c>
      <c r="L929" s="238"/>
      <c r="M929" s="139">
        <f>ROUND($K929*D929,0)</f>
        <v>0</v>
      </c>
      <c r="S929" s="145">
        <f>K929-'Order(Exhibit B)'!K929</f>
        <v>5.0000000000000044E-3</v>
      </c>
      <c r="T929" s="115">
        <f>M929-'Order(Exhibit B)'!M929</f>
        <v>0</v>
      </c>
    </row>
    <row r="930" spans="1:20">
      <c r="A930" s="136" t="s">
        <v>307</v>
      </c>
      <c r="B930" s="220"/>
      <c r="C930" s="135">
        <f>C996+C1062</f>
        <v>0</v>
      </c>
      <c r="D930" s="135">
        <f t="shared" si="221"/>
        <v>0</v>
      </c>
      <c r="E930" s="135"/>
      <c r="F930" s="238">
        <v>0.4</v>
      </c>
      <c r="G930" s="238"/>
      <c r="H930" s="139">
        <f>ROUND($F930*C930,0)</f>
        <v>0</v>
      </c>
      <c r="I930" s="139">
        <f>ROUND($F930*D930,0)</f>
        <v>0</v>
      </c>
      <c r="J930" s="135"/>
      <c r="K930" s="138">
        <f>K927/2</f>
        <v>0.32</v>
      </c>
      <c r="L930" s="238"/>
      <c r="M930" s="139">
        <f>ROUND($K930*D930,0)</f>
        <v>0</v>
      </c>
      <c r="S930" s="145">
        <f>K930-'Order(Exhibit B)'!K930</f>
        <v>0</v>
      </c>
      <c r="T930" s="115">
        <f>M930-'Order(Exhibit B)'!M930</f>
        <v>0</v>
      </c>
    </row>
    <row r="931" spans="1:20">
      <c r="A931" s="136" t="s">
        <v>309</v>
      </c>
      <c r="B931" s="220"/>
      <c r="C931" s="135"/>
      <c r="D931" s="135"/>
      <c r="E931" s="135"/>
      <c r="F931" s="138"/>
      <c r="G931" s="138"/>
      <c r="H931" s="139"/>
      <c r="I931" s="139"/>
      <c r="J931" s="135"/>
      <c r="K931" s="138"/>
      <c r="L931" s="138"/>
      <c r="M931" s="139"/>
      <c r="S931" s="145">
        <f>K931-'Order(Exhibit B)'!K931</f>
        <v>0</v>
      </c>
      <c r="T931" s="115">
        <f>M931-'Order(Exhibit B)'!M931</f>
        <v>0</v>
      </c>
    </row>
    <row r="932" spans="1:20">
      <c r="A932" s="136" t="s">
        <v>306</v>
      </c>
      <c r="B932" s="220"/>
      <c r="C932" s="135">
        <f>C998+C1064</f>
        <v>0</v>
      </c>
      <c r="D932" s="135">
        <f t="shared" ref="D932:D933" si="222">D998+D1064</f>
        <v>0</v>
      </c>
      <c r="E932" s="135"/>
      <c r="F932" s="138">
        <v>41.89</v>
      </c>
      <c r="G932" s="138"/>
      <c r="H932" s="139">
        <f>ROUND($F932*C932,0)</f>
        <v>0</v>
      </c>
      <c r="I932" s="139">
        <f>ROUND($F932*D932,0)</f>
        <v>0</v>
      </c>
      <c r="J932" s="135"/>
      <c r="K932" s="138">
        <f>'Exhibit D(Sch31-32 Rate)'!F51</f>
        <v>42.38</v>
      </c>
      <c r="L932" s="138"/>
      <c r="M932" s="139">
        <f>ROUND($K932*D932,0)</f>
        <v>0</v>
      </c>
      <c r="S932" s="145">
        <f>K932-'Order(Exhibit B)'!K932</f>
        <v>0.12000000000000455</v>
      </c>
      <c r="T932" s="115">
        <f>M932-'Order(Exhibit B)'!M932</f>
        <v>0</v>
      </c>
    </row>
    <row r="933" spans="1:20">
      <c r="A933" s="136" t="s">
        <v>307</v>
      </c>
      <c r="B933" s="220"/>
      <c r="C933" s="135">
        <f>C999+C1065</f>
        <v>0</v>
      </c>
      <c r="D933" s="135">
        <f t="shared" si="222"/>
        <v>0</v>
      </c>
      <c r="E933" s="135"/>
      <c r="F933" s="138">
        <v>37.07</v>
      </c>
      <c r="G933" s="138"/>
      <c r="H933" s="139">
        <f>ROUND($F933*C933,0)</f>
        <v>0</v>
      </c>
      <c r="I933" s="139">
        <f>ROUND($F933*D933,0)</f>
        <v>0</v>
      </c>
      <c r="J933" s="135"/>
      <c r="K933" s="138">
        <f>'Exhibit D(Sch31-32 Rate)'!F52</f>
        <v>38.64</v>
      </c>
      <c r="L933" s="138"/>
      <c r="M933" s="139">
        <f>ROUND($K933*D933,0)</f>
        <v>0</v>
      </c>
      <c r="S933" s="145">
        <f>K933-'Order(Exhibit B)'!K933</f>
        <v>0.10000000000000142</v>
      </c>
      <c r="T933" s="115">
        <f>M933-'Order(Exhibit B)'!M933</f>
        <v>0</v>
      </c>
    </row>
    <row r="934" spans="1:20">
      <c r="A934" s="235" t="s">
        <v>310</v>
      </c>
      <c r="C934" s="135"/>
      <c r="D934" s="135"/>
      <c r="E934" s="135"/>
      <c r="J934" s="135"/>
      <c r="S934" s="145">
        <f>K934-'Order(Exhibit B)'!K934</f>
        <v>0</v>
      </c>
      <c r="T934" s="115">
        <f>M934-'Order(Exhibit B)'!M934</f>
        <v>0</v>
      </c>
    </row>
    <row r="935" spans="1:20">
      <c r="A935" s="136" t="s">
        <v>301</v>
      </c>
      <c r="C935" s="135">
        <f>C1001+C1067</f>
        <v>24</v>
      </c>
      <c r="D935" s="135">
        <f t="shared" ref="D935:D937" si="223">D1001+D1067</f>
        <v>24</v>
      </c>
      <c r="E935" s="135"/>
      <c r="F935" s="138">
        <v>621</v>
      </c>
      <c r="G935" s="138"/>
      <c r="H935" s="139">
        <f t="shared" ref="H935:I937" si="224">ROUND($F935*C935,0)</f>
        <v>14904</v>
      </c>
      <c r="I935" s="139">
        <f t="shared" si="224"/>
        <v>14904</v>
      </c>
      <c r="J935" s="135"/>
      <c r="K935" s="138">
        <f>'Exhibit D(Sch31-32 Rate)'!F32</f>
        <v>623</v>
      </c>
      <c r="L935" s="138"/>
      <c r="M935" s="139">
        <f>ROUND($K935*D935,0)</f>
        <v>14952</v>
      </c>
      <c r="S935" s="145">
        <f>K935-'Order(Exhibit B)'!K935</f>
        <v>0</v>
      </c>
      <c r="T935" s="115">
        <f>M935-'Order(Exhibit B)'!M935</f>
        <v>0</v>
      </c>
    </row>
    <row r="936" spans="1:20">
      <c r="A936" s="136" t="s">
        <v>109</v>
      </c>
      <c r="C936" s="135">
        <f>C1002+C1068</f>
        <v>0</v>
      </c>
      <c r="D936" s="135">
        <f t="shared" si="223"/>
        <v>16.682237186555263</v>
      </c>
      <c r="E936" s="135"/>
      <c r="F936" s="138">
        <v>-0.5</v>
      </c>
      <c r="G936" s="138"/>
      <c r="H936" s="139">
        <f t="shared" si="224"/>
        <v>0</v>
      </c>
      <c r="I936" s="139">
        <f t="shared" si="224"/>
        <v>-8</v>
      </c>
      <c r="J936" s="135"/>
      <c r="K936" s="138">
        <f>F936</f>
        <v>-0.5</v>
      </c>
      <c r="L936" s="138"/>
      <c r="M936" s="139">
        <f>ROUND($K936*D936,0)</f>
        <v>-8</v>
      </c>
      <c r="S936" s="145">
        <f>K936-'Order(Exhibit B)'!K936</f>
        <v>0</v>
      </c>
      <c r="T936" s="115">
        <f>M936-'Order(Exhibit B)'!M936</f>
        <v>0</v>
      </c>
    </row>
    <row r="937" spans="1:20">
      <c r="A937" s="136" t="s">
        <v>303</v>
      </c>
      <c r="C937" s="135">
        <f>C1003+C1069</f>
        <v>36600</v>
      </c>
      <c r="D937" s="135">
        <f t="shared" si="223"/>
        <v>52401</v>
      </c>
      <c r="E937" s="135"/>
      <c r="F937" s="138">
        <v>4.58</v>
      </c>
      <c r="G937" s="138"/>
      <c r="H937" s="139">
        <f t="shared" si="224"/>
        <v>167628</v>
      </c>
      <c r="I937" s="139">
        <f t="shared" si="224"/>
        <v>239997</v>
      </c>
      <c r="J937" s="135"/>
      <c r="K937" s="138">
        <f>'Exhibit D(Sch31-32 Rate)'!L38</f>
        <v>4.7300000000000004</v>
      </c>
      <c r="L937" s="138"/>
      <c r="M937" s="139">
        <f>ROUND($K937*D937,0)</f>
        <v>247857</v>
      </c>
      <c r="S937" s="145">
        <f>K937-'Order(Exhibit B)'!K937</f>
        <v>2.0000000000000462E-2</v>
      </c>
      <c r="T937" s="115">
        <f>M937-'Order(Exhibit B)'!M937</f>
        <v>1048</v>
      </c>
    </row>
    <row r="938" spans="1:20">
      <c r="A938" s="136" t="s">
        <v>304</v>
      </c>
      <c r="C938" s="135"/>
      <c r="D938" s="135"/>
      <c r="E938" s="135"/>
      <c r="F938" s="138"/>
      <c r="G938" s="138"/>
      <c r="H938" s="139"/>
      <c r="I938" s="139"/>
      <c r="J938" s="135"/>
      <c r="K938" s="138"/>
      <c r="L938" s="138"/>
      <c r="M938" s="139"/>
      <c r="S938" s="145">
        <f>K938-'Order(Exhibit B)'!K938</f>
        <v>0</v>
      </c>
      <c r="T938" s="115">
        <f>M938-'Order(Exhibit B)'!M938</f>
        <v>0</v>
      </c>
    </row>
    <row r="939" spans="1:20">
      <c r="A939" s="136" t="s">
        <v>305</v>
      </c>
      <c r="C939" s="135"/>
      <c r="D939" s="135"/>
      <c r="E939" s="135"/>
      <c r="F939" s="237"/>
      <c r="G939" s="237"/>
      <c r="H939" s="139"/>
      <c r="I939" s="139"/>
      <c r="J939" s="135"/>
      <c r="K939" s="237"/>
      <c r="L939" s="237"/>
      <c r="M939" s="139"/>
      <c r="S939" s="145">
        <f>K939-'Order(Exhibit B)'!K939</f>
        <v>0</v>
      </c>
      <c r="T939" s="115">
        <f>M939-'Order(Exhibit B)'!M939</f>
        <v>0</v>
      </c>
    </row>
    <row r="940" spans="1:20">
      <c r="A940" s="136" t="s">
        <v>306</v>
      </c>
      <c r="B940" s="220"/>
      <c r="C940" s="135">
        <f>C1006+C1072</f>
        <v>69545</v>
      </c>
      <c r="D940" s="135">
        <f t="shared" ref="D940:D941" si="225">D1006+D1072</f>
        <v>99570</v>
      </c>
      <c r="E940" s="135"/>
      <c r="F940" s="237">
        <v>0.88</v>
      </c>
      <c r="G940" s="237"/>
      <c r="H940" s="139">
        <f>ROUND($F940*C940,0)</f>
        <v>61200</v>
      </c>
      <c r="I940" s="139">
        <f>ROUND($F940*D940,0)</f>
        <v>87622</v>
      </c>
      <c r="J940" s="135"/>
      <c r="K940" s="138">
        <f>'Exhibit D(Sch31-32 Rate)'!L44</f>
        <v>0.73</v>
      </c>
      <c r="L940" s="237"/>
      <c r="M940" s="139">
        <f>ROUND($K940*D940,0)</f>
        <v>72686</v>
      </c>
      <c r="S940" s="145">
        <f>K940-'Order(Exhibit B)'!K940</f>
        <v>0</v>
      </c>
      <c r="T940" s="115">
        <f>M940-'Order(Exhibit B)'!M940</f>
        <v>0</v>
      </c>
    </row>
    <row r="941" spans="1:20">
      <c r="A941" s="136" t="s">
        <v>307</v>
      </c>
      <c r="B941" s="220"/>
      <c r="C941" s="135">
        <f>C1007+C1073</f>
        <v>76653</v>
      </c>
      <c r="D941" s="135">
        <f t="shared" si="225"/>
        <v>109747</v>
      </c>
      <c r="E941" s="135"/>
      <c r="F941" s="237">
        <v>0.78</v>
      </c>
      <c r="G941" s="237"/>
      <c r="H941" s="139">
        <f>ROUND($F941*C941,0)</f>
        <v>59789</v>
      </c>
      <c r="I941" s="139">
        <f>ROUND($F941*D941,0)</f>
        <v>85603</v>
      </c>
      <c r="J941" s="135"/>
      <c r="K941" s="138">
        <f>'Exhibit D(Sch31-32 Rate)'!L45</f>
        <v>0.64</v>
      </c>
      <c r="L941" s="237"/>
      <c r="M941" s="139">
        <f>ROUND($K941*D941,0)</f>
        <v>70238</v>
      </c>
      <c r="S941" s="145">
        <f>K941-'Order(Exhibit B)'!K941</f>
        <v>0</v>
      </c>
      <c r="T941" s="115">
        <f>M941-'Order(Exhibit B)'!M941</f>
        <v>0</v>
      </c>
    </row>
    <row r="942" spans="1:20">
      <c r="A942" s="136" t="s">
        <v>308</v>
      </c>
      <c r="C942" s="135"/>
      <c r="D942" s="135"/>
      <c r="E942" s="135"/>
      <c r="F942" s="238"/>
      <c r="G942" s="238"/>
      <c r="H942" s="139"/>
      <c r="I942" s="139"/>
      <c r="J942" s="135"/>
      <c r="K942" s="238"/>
      <c r="L942" s="238"/>
      <c r="M942" s="139"/>
      <c r="S942" s="145">
        <f>K942-'Order(Exhibit B)'!K942</f>
        <v>0</v>
      </c>
      <c r="T942" s="115">
        <f>M942-'Order(Exhibit B)'!M942</f>
        <v>0</v>
      </c>
    </row>
    <row r="943" spans="1:20">
      <c r="A943" s="136" t="s">
        <v>306</v>
      </c>
      <c r="B943" s="220"/>
      <c r="C943" s="135">
        <f>C1009+C1075</f>
        <v>0</v>
      </c>
      <c r="D943" s="135">
        <f t="shared" ref="D943:D944" si="226">D1009+D1075</f>
        <v>0</v>
      </c>
      <c r="E943" s="135"/>
      <c r="F943" s="238">
        <v>0.44</v>
      </c>
      <c r="G943" s="238"/>
      <c r="H943" s="139">
        <f>ROUND($F943*C943,0)</f>
        <v>0</v>
      </c>
      <c r="I943" s="139">
        <f>ROUND($F943*D943,0)</f>
        <v>0</v>
      </c>
      <c r="J943" s="135"/>
      <c r="K943" s="138">
        <f>K940/2</f>
        <v>0.36499999999999999</v>
      </c>
      <c r="L943" s="238"/>
      <c r="M943" s="139">
        <f>ROUND($K943*D943,0)</f>
        <v>0</v>
      </c>
      <c r="S943" s="145">
        <f>K943-'Order(Exhibit B)'!K943</f>
        <v>-5.0000000000000044E-3</v>
      </c>
      <c r="T943" s="115">
        <f>M943-'Order(Exhibit B)'!M943</f>
        <v>0</v>
      </c>
    </row>
    <row r="944" spans="1:20">
      <c r="A944" s="136" t="s">
        <v>307</v>
      </c>
      <c r="B944" s="220"/>
      <c r="C944" s="135">
        <f>C1010+C1076</f>
        <v>0</v>
      </c>
      <c r="D944" s="135">
        <f t="shared" si="226"/>
        <v>0</v>
      </c>
      <c r="E944" s="135"/>
      <c r="F944" s="238">
        <v>0.39</v>
      </c>
      <c r="G944" s="238"/>
      <c r="H944" s="139">
        <f>ROUND($F944*C944,0)</f>
        <v>0</v>
      </c>
      <c r="I944" s="139">
        <f>ROUND($F944*D944,0)</f>
        <v>0</v>
      </c>
      <c r="J944" s="135"/>
      <c r="K944" s="138">
        <f>K941/2</f>
        <v>0.32</v>
      </c>
      <c r="L944" s="238"/>
      <c r="M944" s="139">
        <f>ROUND($K944*D944,0)</f>
        <v>0</v>
      </c>
      <c r="S944" s="145">
        <f>K944-'Order(Exhibit B)'!K944</f>
        <v>0</v>
      </c>
      <c r="T944" s="115">
        <f>M944-'Order(Exhibit B)'!M944</f>
        <v>0</v>
      </c>
    </row>
    <row r="945" spans="1:20">
      <c r="A945" s="136" t="s">
        <v>309</v>
      </c>
      <c r="C945" s="135"/>
      <c r="D945" s="135"/>
      <c r="E945" s="135"/>
      <c r="F945" s="138"/>
      <c r="G945" s="138"/>
      <c r="H945" s="139"/>
      <c r="I945" s="139"/>
      <c r="J945" s="135"/>
      <c r="K945" s="138"/>
      <c r="L945" s="138"/>
      <c r="M945" s="139"/>
      <c r="S945" s="145">
        <f>K945-'Order(Exhibit B)'!K945</f>
        <v>0</v>
      </c>
      <c r="T945" s="115">
        <f>M945-'Order(Exhibit B)'!M945</f>
        <v>0</v>
      </c>
    </row>
    <row r="946" spans="1:20">
      <c r="A946" s="136" t="s">
        <v>306</v>
      </c>
      <c r="B946" s="220"/>
      <c r="C946" s="135">
        <f>C1012+C1078</f>
        <v>218</v>
      </c>
      <c r="D946" s="135">
        <f t="shared" ref="D946:D947" si="227">D1012+D1078</f>
        <v>312</v>
      </c>
      <c r="E946" s="135"/>
      <c r="F946" s="138">
        <v>39.56</v>
      </c>
      <c r="G946" s="138"/>
      <c r="H946" s="139">
        <f>ROUND($F946*C946,0)</f>
        <v>8624</v>
      </c>
      <c r="I946" s="139">
        <f>ROUND($F946*D946,0)</f>
        <v>12343</v>
      </c>
      <c r="J946" s="135"/>
      <c r="K946" s="138">
        <f>'Exhibit D(Sch31-32 Rate)'!F53</f>
        <v>40.119999999999997</v>
      </c>
      <c r="L946" s="138"/>
      <c r="M946" s="139">
        <f>ROUND($K946*D946,0)</f>
        <v>12517</v>
      </c>
      <c r="S946" s="145">
        <f>K946-'Order(Exhibit B)'!K946</f>
        <v>0.11999999999999744</v>
      </c>
      <c r="T946" s="115">
        <f>M946-'Order(Exhibit B)'!M946</f>
        <v>37</v>
      </c>
    </row>
    <row r="947" spans="1:20">
      <c r="A947" s="136" t="s">
        <v>307</v>
      </c>
      <c r="B947" s="220"/>
      <c r="C947" s="135">
        <f>C1013+C1079</f>
        <v>12</v>
      </c>
      <c r="D947" s="135">
        <f t="shared" si="227"/>
        <v>17</v>
      </c>
      <c r="E947" s="135"/>
      <c r="F947" s="138">
        <v>35.01</v>
      </c>
      <c r="G947" s="138"/>
      <c r="H947" s="139">
        <f>ROUND($F947*C947,0)</f>
        <v>420</v>
      </c>
      <c r="I947" s="139">
        <f>ROUND($F947*D947,0)</f>
        <v>595</v>
      </c>
      <c r="J947" s="135"/>
      <c r="K947" s="138">
        <f>'Exhibit D(Sch31-32 Rate)'!F54</f>
        <v>36.380000000000003</v>
      </c>
      <c r="L947" s="138"/>
      <c r="M947" s="139">
        <f>ROUND($K947*D947,0)</f>
        <v>618</v>
      </c>
      <c r="S947" s="145">
        <f>K947-'Order(Exhibit B)'!K947</f>
        <v>0.10000000000000142</v>
      </c>
      <c r="T947" s="115">
        <f>M947-'Order(Exhibit B)'!M947</f>
        <v>1</v>
      </c>
    </row>
    <row r="948" spans="1:20">
      <c r="A948" s="235" t="s">
        <v>311</v>
      </c>
      <c r="C948" s="135"/>
      <c r="D948" s="135"/>
      <c r="E948" s="135"/>
      <c r="J948" s="135"/>
      <c r="S948" s="145">
        <f>K948-'Order(Exhibit B)'!K948</f>
        <v>0</v>
      </c>
      <c r="T948" s="115">
        <f>M948-'Order(Exhibit B)'!M948</f>
        <v>0</v>
      </c>
    </row>
    <row r="949" spans="1:20">
      <c r="A949" s="136" t="s">
        <v>301</v>
      </c>
      <c r="C949" s="135">
        <f>C1015+C1081</f>
        <v>60</v>
      </c>
      <c r="D949" s="135">
        <f t="shared" ref="D949:D951" si="228">D1015+D1081</f>
        <v>60</v>
      </c>
      <c r="E949" s="135"/>
      <c r="F949" s="138">
        <v>696</v>
      </c>
      <c r="G949" s="138"/>
      <c r="H949" s="139">
        <f t="shared" ref="H949:I951" si="229">ROUND($F949*C949,0)</f>
        <v>41760</v>
      </c>
      <c r="I949" s="139">
        <f t="shared" si="229"/>
        <v>41760</v>
      </c>
      <c r="J949" s="135"/>
      <c r="K949" s="138">
        <f>'Exhibit D(Sch31-32 Rate)'!F33</f>
        <v>829</v>
      </c>
      <c r="L949" s="138"/>
      <c r="M949" s="139">
        <f>ROUND($K949*D949,0)</f>
        <v>49740</v>
      </c>
      <c r="S949" s="145">
        <f>K949-'Order(Exhibit B)'!K949</f>
        <v>0</v>
      </c>
      <c r="T949" s="115">
        <f>M949-'Order(Exhibit B)'!M949</f>
        <v>0</v>
      </c>
    </row>
    <row r="950" spans="1:20">
      <c r="A950" s="136" t="s">
        <v>109</v>
      </c>
      <c r="C950" s="135">
        <f>C1016+C1082</f>
        <v>60</v>
      </c>
      <c r="D950" s="135">
        <f t="shared" si="228"/>
        <v>41.705592966388153</v>
      </c>
      <c r="E950" s="135"/>
      <c r="F950" s="138">
        <v>-0.5</v>
      </c>
      <c r="G950" s="138"/>
      <c r="H950" s="139">
        <f t="shared" si="229"/>
        <v>-30</v>
      </c>
      <c r="I950" s="139">
        <f t="shared" si="229"/>
        <v>-21</v>
      </c>
      <c r="J950" s="135"/>
      <c r="K950" s="138">
        <f>F950</f>
        <v>-0.5</v>
      </c>
      <c r="L950" s="138"/>
      <c r="M950" s="139">
        <f>ROUND($K950*D950,0)</f>
        <v>-21</v>
      </c>
      <c r="S950" s="145">
        <f>K950-'Order(Exhibit B)'!K950</f>
        <v>0</v>
      </c>
      <c r="T950" s="115">
        <f>M950-'Order(Exhibit B)'!M950</f>
        <v>0</v>
      </c>
    </row>
    <row r="951" spans="1:20">
      <c r="A951" s="136" t="s">
        <v>303</v>
      </c>
      <c r="C951" s="135">
        <f>C1017+C1083</f>
        <v>294600</v>
      </c>
      <c r="D951" s="135">
        <f t="shared" si="228"/>
        <v>219614</v>
      </c>
      <c r="E951" s="135"/>
      <c r="F951" s="138">
        <v>2.7</v>
      </c>
      <c r="G951" s="138"/>
      <c r="H951" s="139">
        <f t="shared" si="229"/>
        <v>795420</v>
      </c>
      <c r="I951" s="139">
        <f t="shared" si="229"/>
        <v>592958</v>
      </c>
      <c r="J951" s="135"/>
      <c r="K951" s="138">
        <f>'Exhibit D(Sch31-32 Rate)'!L39</f>
        <v>2.92</v>
      </c>
      <c r="L951" s="138"/>
      <c r="M951" s="139">
        <f>ROUND($K951*D951,0)</f>
        <v>641273</v>
      </c>
      <c r="S951" s="145">
        <f>K951-'Order(Exhibit B)'!K951</f>
        <v>2.0000000000000018E-2</v>
      </c>
      <c r="T951" s="115">
        <f>M951-'Order(Exhibit B)'!M951</f>
        <v>4392</v>
      </c>
    </row>
    <row r="952" spans="1:20">
      <c r="A952" s="136" t="s">
        <v>304</v>
      </c>
      <c r="C952" s="135"/>
      <c r="D952" s="135"/>
      <c r="E952" s="135"/>
      <c r="F952" s="190"/>
      <c r="G952" s="190"/>
      <c r="H952" s="139"/>
      <c r="I952" s="139"/>
      <c r="J952" s="135"/>
      <c r="K952" s="190"/>
      <c r="L952" s="190"/>
      <c r="M952" s="139"/>
      <c r="S952" s="145">
        <f>K952-'Order(Exhibit B)'!K952</f>
        <v>0</v>
      </c>
      <c r="T952" s="115">
        <f>M952-'Order(Exhibit B)'!M952</f>
        <v>0</v>
      </c>
    </row>
    <row r="953" spans="1:20">
      <c r="A953" s="136" t="s">
        <v>305</v>
      </c>
      <c r="C953" s="135"/>
      <c r="D953" s="135"/>
      <c r="E953" s="135"/>
      <c r="F953" s="237"/>
      <c r="G953" s="237"/>
      <c r="H953" s="139"/>
      <c r="I953" s="139"/>
      <c r="J953" s="135"/>
      <c r="K953" s="237"/>
      <c r="L953" s="237"/>
      <c r="M953" s="139"/>
      <c r="S953" s="145">
        <f>K953-'Order(Exhibit B)'!K953</f>
        <v>0</v>
      </c>
      <c r="T953" s="115">
        <f>M953-'Order(Exhibit B)'!M953</f>
        <v>0</v>
      </c>
    </row>
    <row r="954" spans="1:20">
      <c r="A954" s="136" t="s">
        <v>306</v>
      </c>
      <c r="B954" s="220"/>
      <c r="C954" s="135">
        <f>C1020+C1086</f>
        <v>1143915</v>
      </c>
      <c r="D954" s="135">
        <f t="shared" ref="D954:D955" si="230">D1020+D1086</f>
        <v>641525</v>
      </c>
      <c r="E954" s="135"/>
      <c r="F954" s="237">
        <v>0.78</v>
      </c>
      <c r="G954" s="237"/>
      <c r="H954" s="139">
        <f>ROUND($F954*C954,0)</f>
        <v>892254</v>
      </c>
      <c r="I954" s="139">
        <f>ROUND($F954*D954,0)</f>
        <v>500390</v>
      </c>
      <c r="J954" s="135"/>
      <c r="K954" s="138">
        <f>'Exhibit D(Sch31-32 Rate)'!L46</f>
        <v>0.68</v>
      </c>
      <c r="L954" s="237"/>
      <c r="M954" s="139">
        <f>ROUND($K954*D954,0)</f>
        <v>436237</v>
      </c>
      <c r="S954" s="145">
        <f>K954-'Order(Exhibit B)'!K954</f>
        <v>0</v>
      </c>
      <c r="T954" s="115">
        <f>M954-'Order(Exhibit B)'!M954</f>
        <v>0</v>
      </c>
    </row>
    <row r="955" spans="1:20">
      <c r="A955" s="136" t="s">
        <v>307</v>
      </c>
      <c r="B955" s="220"/>
      <c r="C955" s="135">
        <f>C1021+C1087</f>
        <v>1623127</v>
      </c>
      <c r="D955" s="135">
        <f t="shared" si="230"/>
        <v>979536</v>
      </c>
      <c r="E955" s="135"/>
      <c r="F955" s="237">
        <v>0.69</v>
      </c>
      <c r="G955" s="237"/>
      <c r="H955" s="139">
        <f>ROUND($F955*C955,0)</f>
        <v>1119958</v>
      </c>
      <c r="I955" s="139">
        <f>ROUND($F955*D955,0)</f>
        <v>675880</v>
      </c>
      <c r="J955" s="135"/>
      <c r="K955" s="138">
        <f>'Exhibit D(Sch31-32 Rate)'!L47</f>
        <v>0.6</v>
      </c>
      <c r="L955" s="237"/>
      <c r="M955" s="139">
        <f>ROUND($K955*D955,0)</f>
        <v>587722</v>
      </c>
      <c r="S955" s="145">
        <f>K955-'Order(Exhibit B)'!K955</f>
        <v>0</v>
      </c>
      <c r="T955" s="115">
        <f>M955-'Order(Exhibit B)'!M955</f>
        <v>0</v>
      </c>
    </row>
    <row r="956" spans="1:20">
      <c r="A956" s="136" t="s">
        <v>308</v>
      </c>
      <c r="C956" s="135"/>
      <c r="D956" s="135"/>
      <c r="E956" s="135"/>
      <c r="F956" s="238"/>
      <c r="G956" s="238"/>
      <c r="H956" s="139"/>
      <c r="I956" s="139"/>
      <c r="J956" s="135"/>
      <c r="K956" s="238"/>
      <c r="L956" s="238"/>
      <c r="M956" s="139"/>
      <c r="S956" s="145">
        <f>K956-'Order(Exhibit B)'!K956</f>
        <v>0</v>
      </c>
      <c r="T956" s="115">
        <f>M956-'Order(Exhibit B)'!M956</f>
        <v>0</v>
      </c>
    </row>
    <row r="957" spans="1:20">
      <c r="A957" s="136" t="s">
        <v>306</v>
      </c>
      <c r="B957" s="220"/>
      <c r="C957" s="135">
        <f>C1023+C1089</f>
        <v>9400</v>
      </c>
      <c r="D957" s="135">
        <f t="shared" ref="D957:D958" si="231">D1023+D1089</f>
        <v>13458</v>
      </c>
      <c r="E957" s="135"/>
      <c r="F957" s="238">
        <v>0.39</v>
      </c>
      <c r="G957" s="238"/>
      <c r="H957" s="139">
        <f>ROUND($F957*C957,0)</f>
        <v>3666</v>
      </c>
      <c r="I957" s="139">
        <f>ROUND($F957*D957,0)</f>
        <v>5249</v>
      </c>
      <c r="J957" s="135"/>
      <c r="K957" s="138">
        <f>K954/2</f>
        <v>0.34</v>
      </c>
      <c r="L957" s="238"/>
      <c r="M957" s="139">
        <f>ROUND($K957*D957,0)</f>
        <v>4576</v>
      </c>
      <c r="S957" s="145">
        <f>K957-'Order(Exhibit B)'!K957</f>
        <v>0</v>
      </c>
      <c r="T957" s="115">
        <f>M957-'Order(Exhibit B)'!M957</f>
        <v>0</v>
      </c>
    </row>
    <row r="958" spans="1:20">
      <c r="A958" s="136" t="s">
        <v>307</v>
      </c>
      <c r="B958" s="220"/>
      <c r="C958" s="135">
        <f>C1024+C1090</f>
        <v>0</v>
      </c>
      <c r="D958" s="135">
        <f t="shared" si="231"/>
        <v>0</v>
      </c>
      <c r="E958" s="135"/>
      <c r="F958" s="238">
        <v>0.34499999999999997</v>
      </c>
      <c r="G958" s="238"/>
      <c r="H958" s="139">
        <f>ROUND($F958*C958,0)</f>
        <v>0</v>
      </c>
      <c r="I958" s="139">
        <f>ROUND($F958*D958,0)</f>
        <v>0</v>
      </c>
      <c r="J958" s="135"/>
      <c r="K958" s="138">
        <f>K955/2</f>
        <v>0.3</v>
      </c>
      <c r="L958" s="238"/>
      <c r="M958" s="139">
        <f>ROUND($K958*D958,0)</f>
        <v>0</v>
      </c>
      <c r="S958" s="145">
        <f>K958-'Order(Exhibit B)'!K958</f>
        <v>0</v>
      </c>
      <c r="T958" s="115">
        <f>M958-'Order(Exhibit B)'!M958</f>
        <v>0</v>
      </c>
    </row>
    <row r="959" spans="1:20">
      <c r="A959" s="136" t="s">
        <v>309</v>
      </c>
      <c r="C959" s="135"/>
      <c r="D959" s="135"/>
      <c r="E959" s="135"/>
      <c r="F959" s="138"/>
      <c r="G959" s="138"/>
      <c r="H959" s="139"/>
      <c r="I959" s="139"/>
      <c r="J959" s="135"/>
      <c r="K959" s="138"/>
      <c r="L959" s="138"/>
      <c r="M959" s="139"/>
      <c r="S959" s="145">
        <f>K959-'Order(Exhibit B)'!K959</f>
        <v>0</v>
      </c>
      <c r="T959" s="115">
        <f>M959-'Order(Exhibit B)'!M959</f>
        <v>0</v>
      </c>
    </row>
    <row r="960" spans="1:20">
      <c r="A960" s="136" t="s">
        <v>306</v>
      </c>
      <c r="B960" s="220"/>
      <c r="C960" s="135">
        <f>C1026+C1092</f>
        <v>20</v>
      </c>
      <c r="D960" s="135">
        <f t="shared" ref="D960:D961" si="232">D1026+D1092</f>
        <v>10</v>
      </c>
      <c r="E960" s="135"/>
      <c r="F960" s="138">
        <v>33.21</v>
      </c>
      <c r="G960" s="138"/>
      <c r="H960" s="139">
        <f>ROUND($F960*C960,0)</f>
        <v>664</v>
      </c>
      <c r="I960" s="139">
        <f>ROUND($F960*D960,0)</f>
        <v>332</v>
      </c>
      <c r="J960" s="135"/>
      <c r="K960" s="138">
        <f>'Exhibit D(Sch31-32 Rate)'!F55</f>
        <v>34.58</v>
      </c>
      <c r="L960" s="138"/>
      <c r="M960" s="139">
        <f>ROUND($K960*D960,0)</f>
        <v>346</v>
      </c>
      <c r="S960" s="145">
        <f>K960-'Order(Exhibit B)'!K960</f>
        <v>0.10000000000000142</v>
      </c>
      <c r="T960" s="115">
        <f>M960-'Order(Exhibit B)'!M960</f>
        <v>1</v>
      </c>
    </row>
    <row r="961" spans="1:20">
      <c r="A961" s="136" t="s">
        <v>307</v>
      </c>
      <c r="B961" s="220"/>
      <c r="C961" s="135">
        <f>C1027+C1093</f>
        <v>48</v>
      </c>
      <c r="D961" s="135">
        <f t="shared" si="232"/>
        <v>25</v>
      </c>
      <c r="E961" s="135"/>
      <c r="F961" s="138">
        <v>29.39</v>
      </c>
      <c r="G961" s="138"/>
      <c r="H961" s="139">
        <f>ROUND($F961*C961,0)</f>
        <v>1411</v>
      </c>
      <c r="I961" s="139">
        <f>ROUND($F961*D961,0)</f>
        <v>735</v>
      </c>
      <c r="J961" s="135"/>
      <c r="K961" s="138">
        <f>'Exhibit D(Sch31-32 Rate)'!F56</f>
        <v>31.16</v>
      </c>
      <c r="L961" s="138"/>
      <c r="M961" s="139">
        <f>ROUND($K961*D961,0)</f>
        <v>779</v>
      </c>
      <c r="S961" s="145">
        <f>K961-'Order(Exhibit B)'!K961</f>
        <v>0.10000000000000142</v>
      </c>
      <c r="T961" s="115">
        <f>M961-'Order(Exhibit B)'!M961</f>
        <v>2</v>
      </c>
    </row>
    <row r="962" spans="1:20">
      <c r="A962" s="136" t="s">
        <v>312</v>
      </c>
      <c r="C962" s="230"/>
      <c r="D962" s="230"/>
      <c r="E962" s="137"/>
      <c r="F962" s="193"/>
      <c r="G962" s="193"/>
      <c r="H962" s="228">
        <f>SUM(H921:H961)</f>
        <v>3167668</v>
      </c>
      <c r="I962" s="228">
        <f>SUM(I921:I961)</f>
        <v>2258339</v>
      </c>
      <c r="J962" s="137"/>
      <c r="K962" s="193"/>
      <c r="L962" s="193"/>
      <c r="M962" s="228">
        <f>SUM(M921:M961)</f>
        <v>2139512</v>
      </c>
      <c r="S962" s="145">
        <f>K962-'Order(Exhibit B)'!K962</f>
        <v>0</v>
      </c>
      <c r="T962" s="115">
        <f>M962-'Order(Exhibit B)'!M962</f>
        <v>5481</v>
      </c>
    </row>
    <row r="963" spans="1:20">
      <c r="A963" s="235" t="s">
        <v>313</v>
      </c>
      <c r="S963" s="145">
        <f>K963-'Order(Exhibit B)'!K963</f>
        <v>0</v>
      </c>
      <c r="T963" s="115">
        <f>M963-'Order(Exhibit B)'!M963</f>
        <v>0</v>
      </c>
    </row>
    <row r="964" spans="1:20">
      <c r="A964" s="133" t="s">
        <v>314</v>
      </c>
      <c r="C964" s="135"/>
      <c r="D964" s="135"/>
      <c r="E964" s="135"/>
      <c r="F964" s="190"/>
      <c r="G964" s="190"/>
      <c r="H964" s="139"/>
      <c r="I964" s="139"/>
      <c r="J964" s="135"/>
      <c r="K964" s="190"/>
      <c r="L964" s="190"/>
      <c r="M964" s="139"/>
      <c r="S964" s="145">
        <f>K964-'Order(Exhibit B)'!K964</f>
        <v>0</v>
      </c>
      <c r="T964" s="115">
        <f>M964-'Order(Exhibit B)'!M964</f>
        <v>0</v>
      </c>
    </row>
    <row r="965" spans="1:20">
      <c r="A965" s="136" t="s">
        <v>144</v>
      </c>
      <c r="C965" s="135">
        <f t="shared" ref="C965:D972" si="233">C1031+C1097</f>
        <v>30245</v>
      </c>
      <c r="D965" s="135">
        <f t="shared" si="233"/>
        <v>43303</v>
      </c>
      <c r="E965" s="135"/>
      <c r="F965" s="190">
        <v>4.8099999999999996</v>
      </c>
      <c r="G965" s="190"/>
      <c r="H965" s="139">
        <f t="shared" ref="H965:I967" si="234">ROUND($F965*C965,0)</f>
        <v>145478</v>
      </c>
      <c r="I965" s="139">
        <f t="shared" si="234"/>
        <v>208287</v>
      </c>
      <c r="J965" s="135"/>
      <c r="K965" s="138">
        <f>K$429</f>
        <v>4.96</v>
      </c>
      <c r="L965" s="190"/>
      <c r="M965" s="139">
        <f>ROUND($K965*D965,0)</f>
        <v>214783</v>
      </c>
      <c r="S965" s="145">
        <f>K965-'Order(Exhibit B)'!K965</f>
        <v>9.9999999999997868E-3</v>
      </c>
      <c r="T965" s="115">
        <f>M965-'Order(Exhibit B)'!M965</f>
        <v>433</v>
      </c>
    </row>
    <row r="966" spans="1:20">
      <c r="A966" s="136" t="s">
        <v>180</v>
      </c>
      <c r="C966" s="135">
        <f t="shared" si="233"/>
        <v>4000</v>
      </c>
      <c r="D966" s="135">
        <f t="shared" si="233"/>
        <v>5727</v>
      </c>
      <c r="E966" s="135"/>
      <c r="F966" s="190">
        <v>15.73</v>
      </c>
      <c r="G966" s="190"/>
      <c r="H966" s="139">
        <f t="shared" si="234"/>
        <v>62920</v>
      </c>
      <c r="I966" s="139">
        <f t="shared" si="234"/>
        <v>90086</v>
      </c>
      <c r="J966" s="135"/>
      <c r="K966" s="138">
        <f>K$430</f>
        <v>16.23</v>
      </c>
      <c r="L966" s="190"/>
      <c r="M966" s="139">
        <f>ROUND($K966*D966,0)</f>
        <v>92949</v>
      </c>
      <c r="S966" s="145">
        <f>K966-'Order(Exhibit B)'!K966</f>
        <v>5.0000000000000711E-2</v>
      </c>
      <c r="T966" s="115">
        <f>M966-'Order(Exhibit B)'!M966</f>
        <v>286</v>
      </c>
    </row>
    <row r="967" spans="1:20">
      <c r="A967" s="136" t="s">
        <v>181</v>
      </c>
      <c r="C967" s="135">
        <f t="shared" si="233"/>
        <v>21226</v>
      </c>
      <c r="D967" s="135">
        <f t="shared" si="233"/>
        <v>30390</v>
      </c>
      <c r="E967" s="135"/>
      <c r="F967" s="190">
        <v>13.92</v>
      </c>
      <c r="G967" s="190"/>
      <c r="H967" s="139">
        <f t="shared" si="234"/>
        <v>295466</v>
      </c>
      <c r="I967" s="139">
        <f t="shared" si="234"/>
        <v>423029</v>
      </c>
      <c r="J967" s="135"/>
      <c r="K967" s="138">
        <f>K$431</f>
        <v>14.36</v>
      </c>
      <c r="L967" s="190"/>
      <c r="M967" s="139">
        <f>ROUND($K967*D967,0)</f>
        <v>436400</v>
      </c>
      <c r="S967" s="145">
        <f>K967-'Order(Exhibit B)'!K967</f>
        <v>3.9999999999999147E-2</v>
      </c>
      <c r="T967" s="115">
        <f>M967-'Order(Exhibit B)'!M967</f>
        <v>1215</v>
      </c>
    </row>
    <row r="968" spans="1:20">
      <c r="A968" s="136" t="s">
        <v>111</v>
      </c>
      <c r="C968" s="135">
        <f t="shared" si="233"/>
        <v>976800</v>
      </c>
      <c r="D968" s="135">
        <f t="shared" si="233"/>
        <v>1409179</v>
      </c>
      <c r="E968" s="135"/>
      <c r="F968" s="193">
        <v>5.8281999999999998</v>
      </c>
      <c r="G968" s="163" t="s">
        <v>112</v>
      </c>
      <c r="H968" s="139">
        <f t="shared" ref="H968:I971" si="235">ROUND($F968*C968/100,0)</f>
        <v>56930</v>
      </c>
      <c r="I968" s="139">
        <f t="shared" si="235"/>
        <v>82130</v>
      </c>
      <c r="J968" s="135"/>
      <c r="K968" s="204">
        <f>K$432</f>
        <v>6.0133000000000001</v>
      </c>
      <c r="L968" s="163" t="s">
        <v>112</v>
      </c>
      <c r="M968" s="139">
        <f>ROUND($K968*D968/100,0)</f>
        <v>84738</v>
      </c>
      <c r="S968" s="145">
        <f>K968-'Order(Exhibit B)'!K968</f>
        <v>1.7000000000000348E-2</v>
      </c>
      <c r="T968" s="115">
        <f>M968-'Order(Exhibit B)'!M968</f>
        <v>239</v>
      </c>
    </row>
    <row r="969" spans="1:20">
      <c r="A969" s="136" t="s">
        <v>114</v>
      </c>
      <c r="C969" s="135">
        <f t="shared" si="233"/>
        <v>3976800</v>
      </c>
      <c r="D969" s="135">
        <f t="shared" si="233"/>
        <v>5737125</v>
      </c>
      <c r="E969" s="135"/>
      <c r="F969" s="193">
        <v>2.9624000000000001</v>
      </c>
      <c r="G969" s="163" t="s">
        <v>112</v>
      </c>
      <c r="H969" s="139">
        <f t="shared" si="235"/>
        <v>117809</v>
      </c>
      <c r="I969" s="139">
        <f t="shared" si="235"/>
        <v>169957</v>
      </c>
      <c r="J969" s="135"/>
      <c r="K969" s="204">
        <f>K$433</f>
        <v>3.0565000000000002</v>
      </c>
      <c r="L969" s="163" t="s">
        <v>112</v>
      </c>
      <c r="M969" s="139">
        <f>ROUND($K969*D969/100,0)</f>
        <v>175355</v>
      </c>
      <c r="S969" s="145">
        <f>K969-'Order(Exhibit B)'!K969</f>
        <v>8.7000000000001521E-3</v>
      </c>
      <c r="T969" s="115">
        <f>M969-'Order(Exhibit B)'!M969</f>
        <v>499</v>
      </c>
    </row>
    <row r="970" spans="1:20">
      <c r="A970" s="136" t="s">
        <v>183</v>
      </c>
      <c r="C970" s="135">
        <f t="shared" si="233"/>
        <v>2678400</v>
      </c>
      <c r="D970" s="135">
        <f t="shared" si="233"/>
        <v>3863990</v>
      </c>
      <c r="E970" s="135"/>
      <c r="F970" s="193">
        <v>5.1577000000000002</v>
      </c>
      <c r="G970" s="163" t="s">
        <v>112</v>
      </c>
      <c r="H970" s="139">
        <f t="shared" si="235"/>
        <v>138144</v>
      </c>
      <c r="I970" s="139">
        <f t="shared" si="235"/>
        <v>199293</v>
      </c>
      <c r="J970" s="135"/>
      <c r="K970" s="204">
        <f>K$434</f>
        <v>5.3215000000000003</v>
      </c>
      <c r="L970" s="163" t="s">
        <v>112</v>
      </c>
      <c r="M970" s="139">
        <f>ROUND($K970*D970/100,0)</f>
        <v>205622</v>
      </c>
      <c r="S970" s="145">
        <f>K970-'Order(Exhibit B)'!K970</f>
        <v>1.5100000000000335E-2</v>
      </c>
      <c r="T970" s="115">
        <f>M970-'Order(Exhibit B)'!M970</f>
        <v>583</v>
      </c>
    </row>
    <row r="971" spans="1:20">
      <c r="A971" s="136" t="s">
        <v>185</v>
      </c>
      <c r="C971" s="135">
        <f t="shared" si="233"/>
        <v>10783200</v>
      </c>
      <c r="D971" s="135">
        <f t="shared" si="233"/>
        <v>15556369</v>
      </c>
      <c r="E971" s="135"/>
      <c r="F971" s="193">
        <v>2.6215999999999999</v>
      </c>
      <c r="G971" s="163" t="s">
        <v>112</v>
      </c>
      <c r="H971" s="139">
        <f t="shared" si="235"/>
        <v>282692</v>
      </c>
      <c r="I971" s="139">
        <f t="shared" si="235"/>
        <v>407826</v>
      </c>
      <c r="J971" s="135"/>
      <c r="K971" s="204">
        <f>K$435</f>
        <v>2.7065000000000001</v>
      </c>
      <c r="L971" s="163" t="s">
        <v>112</v>
      </c>
      <c r="M971" s="139">
        <f>ROUND($K971*D971/100,0)</f>
        <v>421033</v>
      </c>
      <c r="S971" s="145">
        <f>K971-'Order(Exhibit B)'!K971</f>
        <v>9.300000000000086E-3</v>
      </c>
      <c r="T971" s="115">
        <f>M971-'Order(Exhibit B)'!M971</f>
        <v>1447</v>
      </c>
    </row>
    <row r="972" spans="1:20">
      <c r="A972" s="136" t="s">
        <v>150</v>
      </c>
      <c r="C972" s="135">
        <f t="shared" si="233"/>
        <v>25226</v>
      </c>
      <c r="D972" s="135">
        <f t="shared" si="233"/>
        <v>36117</v>
      </c>
      <c r="E972" s="135"/>
      <c r="F972" s="190">
        <v>-1.1299999999999999</v>
      </c>
      <c r="G972" s="190"/>
      <c r="H972" s="139">
        <f>ROUND($F972*C972,0)</f>
        <v>-28505</v>
      </c>
      <c r="I972" s="139">
        <f>ROUND($F972*D972,0)</f>
        <v>-40812</v>
      </c>
      <c r="J972" s="135"/>
      <c r="K972" s="138">
        <f>K$436</f>
        <v>-1.1299999999999999</v>
      </c>
      <c r="L972" s="190"/>
      <c r="M972" s="139">
        <f>ROUND($K972*D972,0)</f>
        <v>-40812</v>
      </c>
      <c r="S972" s="145">
        <f>K972-'Order(Exhibit B)'!K972</f>
        <v>0</v>
      </c>
      <c r="T972" s="115">
        <f>M972-'Order(Exhibit B)'!M972</f>
        <v>0</v>
      </c>
    </row>
    <row r="973" spans="1:20">
      <c r="A973" s="133" t="s">
        <v>315</v>
      </c>
      <c r="C973" s="135"/>
      <c r="D973" s="135"/>
      <c r="E973" s="135"/>
      <c r="F973" s="190"/>
      <c r="G973" s="190"/>
      <c r="H973" s="139"/>
      <c r="I973" s="139"/>
      <c r="J973" s="135"/>
      <c r="K973" s="190"/>
      <c r="L973" s="190"/>
      <c r="M973" s="139"/>
      <c r="S973" s="145">
        <f>K973-'Order(Exhibit B)'!K973</f>
        <v>0</v>
      </c>
      <c r="T973" s="115">
        <f>M973-'Order(Exhibit B)'!M973</f>
        <v>0</v>
      </c>
    </row>
    <row r="974" spans="1:20">
      <c r="A974" s="136" t="s">
        <v>144</v>
      </c>
      <c r="C974" s="135">
        <f t="shared" ref="C974:D982" si="236">C1040+C1106</f>
        <v>344498</v>
      </c>
      <c r="D974" s="135">
        <f t="shared" si="236"/>
        <v>411595</v>
      </c>
      <c r="E974" s="135"/>
      <c r="F974" s="190">
        <v>2.2799999999999998</v>
      </c>
      <c r="G974" s="190"/>
      <c r="H974" s="139">
        <f t="shared" ref="H974:I976" si="237">ROUND($F974*C974,0)</f>
        <v>785455</v>
      </c>
      <c r="I974" s="139">
        <f t="shared" si="237"/>
        <v>938437</v>
      </c>
      <c r="J974" s="135"/>
      <c r="K974" s="190">
        <f>K$500</f>
        <v>2.37</v>
      </c>
      <c r="L974" s="190"/>
      <c r="M974" s="139">
        <f>ROUND($K974*D974,0)</f>
        <v>975480</v>
      </c>
      <c r="S974" s="145">
        <f>K974-'Order(Exhibit B)'!K974</f>
        <v>0</v>
      </c>
      <c r="T974" s="115">
        <f>M974-'Order(Exhibit B)'!M974</f>
        <v>0</v>
      </c>
    </row>
    <row r="975" spans="1:20">
      <c r="A975" s="136" t="s">
        <v>180</v>
      </c>
      <c r="C975" s="135">
        <f t="shared" si="236"/>
        <v>109941</v>
      </c>
      <c r="D975" s="135">
        <f t="shared" si="236"/>
        <v>132547</v>
      </c>
      <c r="E975" s="135"/>
      <c r="F975" s="190">
        <v>14.33</v>
      </c>
      <c r="G975" s="190"/>
      <c r="H975" s="139">
        <f t="shared" si="237"/>
        <v>1575455</v>
      </c>
      <c r="I975" s="139">
        <f t="shared" si="237"/>
        <v>1899399</v>
      </c>
      <c r="J975" s="135"/>
      <c r="K975" s="190">
        <f>K$501</f>
        <v>14.92</v>
      </c>
      <c r="L975" s="190"/>
      <c r="M975" s="139">
        <f>ROUND($K975*D975,0)</f>
        <v>1977601</v>
      </c>
      <c r="S975" s="145">
        <f>K975-'Order(Exhibit B)'!K975</f>
        <v>5.0000000000000711E-2</v>
      </c>
      <c r="T975" s="115">
        <f>M975-'Order(Exhibit B)'!M975</f>
        <v>6627</v>
      </c>
    </row>
    <row r="976" spans="1:20">
      <c r="A976" s="136" t="s">
        <v>181</v>
      </c>
      <c r="C976" s="135">
        <f t="shared" si="236"/>
        <v>223967</v>
      </c>
      <c r="D976" s="135">
        <f t="shared" si="236"/>
        <v>264522</v>
      </c>
      <c r="E976" s="135"/>
      <c r="F976" s="190">
        <v>12.68</v>
      </c>
      <c r="G976" s="190"/>
      <c r="H976" s="139">
        <f t="shared" si="237"/>
        <v>2839902</v>
      </c>
      <c r="I976" s="139">
        <f t="shared" si="237"/>
        <v>3354139</v>
      </c>
      <c r="J976" s="135"/>
      <c r="K976" s="190">
        <f>K$502</f>
        <v>13.21</v>
      </c>
      <c r="L976" s="190"/>
      <c r="M976" s="139">
        <f>ROUND($K976*D976,0)</f>
        <v>3494336</v>
      </c>
      <c r="S976" s="145">
        <f>K976-'Order(Exhibit B)'!K976</f>
        <v>5.0000000000000711E-2</v>
      </c>
      <c r="T976" s="115">
        <f>M976-'Order(Exhibit B)'!M976</f>
        <v>13226</v>
      </c>
    </row>
    <row r="977" spans="1:20">
      <c r="A977" s="136" t="s">
        <v>111</v>
      </c>
      <c r="C977" s="135">
        <f t="shared" si="236"/>
        <v>20955522</v>
      </c>
      <c r="D977" s="135">
        <f t="shared" si="236"/>
        <v>21260017</v>
      </c>
      <c r="E977" s="135"/>
      <c r="F977" s="198">
        <v>5.1477000000000004</v>
      </c>
      <c r="G977" s="163" t="s">
        <v>112</v>
      </c>
      <c r="H977" s="139">
        <f t="shared" ref="H977:I980" si="238">ROUND($F977*C977/100,0)</f>
        <v>1078727</v>
      </c>
      <c r="I977" s="139">
        <f t="shared" si="238"/>
        <v>1094402</v>
      </c>
      <c r="J977" s="135"/>
      <c r="K977" s="198">
        <f>K$503</f>
        <v>5.3608000000000002</v>
      </c>
      <c r="L977" s="163" t="s">
        <v>112</v>
      </c>
      <c r="M977" s="139">
        <f>ROUND($K977*D977/100,0)</f>
        <v>1139707</v>
      </c>
      <c r="S977" s="145">
        <f>K977-'Order(Exhibit B)'!K977</f>
        <v>1.9400000000000084E-2</v>
      </c>
      <c r="T977" s="115">
        <f>M977-'Order(Exhibit B)'!M977</f>
        <v>4124</v>
      </c>
    </row>
    <row r="978" spans="1:20">
      <c r="A978" s="136" t="s">
        <v>114</v>
      </c>
      <c r="C978" s="135">
        <f t="shared" si="236"/>
        <v>80102179</v>
      </c>
      <c r="D978" s="135">
        <f t="shared" si="236"/>
        <v>81766769</v>
      </c>
      <c r="E978" s="135"/>
      <c r="F978" s="198">
        <v>2.6164999999999998</v>
      </c>
      <c r="G978" s="163" t="s">
        <v>112</v>
      </c>
      <c r="H978" s="139">
        <f t="shared" si="238"/>
        <v>2095874</v>
      </c>
      <c r="I978" s="139">
        <f t="shared" si="238"/>
        <v>2139428</v>
      </c>
      <c r="J978" s="135"/>
      <c r="K978" s="198">
        <f>K$504</f>
        <v>2.7248000000000001</v>
      </c>
      <c r="L978" s="163" t="s">
        <v>112</v>
      </c>
      <c r="M978" s="139">
        <f>ROUND($K978*D978/100,0)</f>
        <v>2227981</v>
      </c>
      <c r="S978" s="145">
        <f>K978-'Order(Exhibit B)'!K978</f>
        <v>9.9000000000000199E-3</v>
      </c>
      <c r="T978" s="115">
        <f>M978-'Order(Exhibit B)'!M978</f>
        <v>8095</v>
      </c>
    </row>
    <row r="979" spans="1:20">
      <c r="A979" s="136" t="s">
        <v>183</v>
      </c>
      <c r="C979" s="135">
        <f t="shared" si="236"/>
        <v>36942649</v>
      </c>
      <c r="D979" s="135">
        <f t="shared" si="236"/>
        <v>39248473</v>
      </c>
      <c r="E979" s="135"/>
      <c r="F979" s="198">
        <v>4.5555000000000003</v>
      </c>
      <c r="G979" s="163" t="s">
        <v>112</v>
      </c>
      <c r="H979" s="139">
        <f t="shared" si="238"/>
        <v>1682922</v>
      </c>
      <c r="I979" s="139">
        <f t="shared" si="238"/>
        <v>1787964</v>
      </c>
      <c r="J979" s="135"/>
      <c r="K979" s="198">
        <f>K$505</f>
        <v>4.7441000000000004</v>
      </c>
      <c r="L979" s="163" t="s">
        <v>112</v>
      </c>
      <c r="M979" s="139">
        <f>ROUND($K979*D979/100,0)</f>
        <v>1861987</v>
      </c>
      <c r="S979" s="145">
        <f>K979-'Order(Exhibit B)'!K979</f>
        <v>1.720000000000077E-2</v>
      </c>
      <c r="T979" s="115">
        <f>M979-'Order(Exhibit B)'!M979</f>
        <v>6751</v>
      </c>
    </row>
    <row r="980" spans="1:20">
      <c r="A980" s="136" t="s">
        <v>185</v>
      </c>
      <c r="C980" s="214">
        <f t="shared" si="236"/>
        <v>140816628</v>
      </c>
      <c r="D980" s="214">
        <f t="shared" si="236"/>
        <v>150486461</v>
      </c>
      <c r="E980" s="214"/>
      <c r="F980" s="239">
        <v>2.3155000000000001</v>
      </c>
      <c r="G980" s="163" t="s">
        <v>112</v>
      </c>
      <c r="H980" s="217">
        <f t="shared" si="238"/>
        <v>3260609</v>
      </c>
      <c r="I980" s="217">
        <f t="shared" si="238"/>
        <v>3484514</v>
      </c>
      <c r="J980" s="214"/>
      <c r="K980" s="198">
        <f>K$506</f>
        <v>2.4114</v>
      </c>
      <c r="L980" s="163" t="s">
        <v>112</v>
      </c>
      <c r="M980" s="217">
        <f>ROUND($K980*D980/100,0)</f>
        <v>3628831</v>
      </c>
      <c r="S980" s="145">
        <f>K980-'Order(Exhibit B)'!K980</f>
        <v>8.799999999999919E-3</v>
      </c>
      <c r="T980" s="115">
        <f>M980-'Order(Exhibit B)'!M980</f>
        <v>13243</v>
      </c>
    </row>
    <row r="981" spans="1:20">
      <c r="A981" s="136" t="s">
        <v>312</v>
      </c>
      <c r="C981" s="135"/>
      <c r="D981" s="135"/>
      <c r="E981" s="135"/>
      <c r="F981" s="198"/>
      <c r="G981" s="163"/>
      <c r="H981" s="139">
        <f>SUM(H965:H980)</f>
        <v>14389878</v>
      </c>
      <c r="I981" s="139">
        <f>SUM(I965:I980)</f>
        <v>16238079</v>
      </c>
      <c r="J981" s="135"/>
      <c r="K981" s="198"/>
      <c r="L981" s="163"/>
      <c r="M981" s="139">
        <f>SUM(M965:M980)</f>
        <v>16895991</v>
      </c>
      <c r="S981" s="145">
        <f>K981-'Order(Exhibit B)'!K981</f>
        <v>0</v>
      </c>
      <c r="T981" s="115">
        <f>M981-'Order(Exhibit B)'!M981</f>
        <v>56768</v>
      </c>
    </row>
    <row r="982" spans="1:20">
      <c r="A982" s="172" t="s">
        <v>125</v>
      </c>
      <c r="B982" s="173"/>
      <c r="C982" s="135">
        <f t="shared" si="236"/>
        <v>1389262</v>
      </c>
      <c r="D982" s="135"/>
      <c r="E982" s="135"/>
      <c r="F982" s="174"/>
      <c r="G982" s="13"/>
      <c r="H982" s="139">
        <f t="shared" ref="H982" si="239">H1048+H1114</f>
        <v>93986</v>
      </c>
      <c r="I982" s="139"/>
      <c r="J982" s="135"/>
      <c r="K982" s="174"/>
      <c r="L982" s="13"/>
      <c r="M982" s="139"/>
      <c r="N982" s="164"/>
      <c r="O982" s="164"/>
      <c r="P982" s="164"/>
      <c r="S982" s="145">
        <f>K982-'Order(Exhibit B)'!K982</f>
        <v>0</v>
      </c>
      <c r="T982" s="115">
        <f>M982-'Order(Exhibit B)'!M982</f>
        <v>0</v>
      </c>
    </row>
    <row r="983" spans="1:20" ht="16.5" thickBot="1">
      <c r="A983" s="176" t="s">
        <v>316</v>
      </c>
      <c r="B983" s="177"/>
      <c r="C983" s="178">
        <f>C1049+C1115</f>
        <v>298621440</v>
      </c>
      <c r="D983" s="178">
        <f t="shared" ref="D983" si="240">D1049+D1115</f>
        <v>319328383.47723126</v>
      </c>
      <c r="E983" s="178"/>
      <c r="F983" s="177"/>
      <c r="G983" s="177"/>
      <c r="H983" s="179">
        <f>H962+H981+H982</f>
        <v>17651532</v>
      </c>
      <c r="I983" s="179">
        <f>I962+I981+I982</f>
        <v>18496418</v>
      </c>
      <c r="J983" s="178"/>
      <c r="K983" s="177"/>
      <c r="L983" s="177"/>
      <c r="M983" s="179">
        <f>M962+M981+M982</f>
        <v>19035503</v>
      </c>
      <c r="O983" s="114" t="s">
        <v>108</v>
      </c>
      <c r="P983" s="164">
        <f>M983/I983-1</f>
        <v>2.9145372904094247E-2</v>
      </c>
      <c r="S983" s="145">
        <f>K983-'Order(Exhibit B)'!K983</f>
        <v>0</v>
      </c>
      <c r="T983" s="115">
        <f>M983-'Order(Exhibit B)'!M983</f>
        <v>62249</v>
      </c>
    </row>
    <row r="984" spans="1:20" ht="16.5" thickTop="1">
      <c r="S984" s="145">
        <f>K984-'Order(Exhibit B)'!K984</f>
        <v>0</v>
      </c>
      <c r="T984" s="115">
        <f>M984-'Order(Exhibit B)'!M984</f>
        <v>0</v>
      </c>
    </row>
    <row r="985" spans="1:20">
      <c r="A985" s="133" t="s">
        <v>490</v>
      </c>
      <c r="C985" s="135"/>
      <c r="D985" s="135"/>
      <c r="E985" s="135"/>
      <c r="F985" s="193"/>
      <c r="G985" s="193"/>
      <c r="J985" s="135"/>
      <c r="K985" s="193"/>
      <c r="L985" s="193"/>
      <c r="S985" s="145">
        <f>K985-'Order(Exhibit B)'!K985</f>
        <v>0</v>
      </c>
      <c r="T985" s="115">
        <f>M985-'Order(Exhibit B)'!M985</f>
        <v>0</v>
      </c>
    </row>
    <row r="986" spans="1:20">
      <c r="A986" s="235" t="s">
        <v>300</v>
      </c>
      <c r="C986" s="135"/>
      <c r="D986" s="135"/>
      <c r="E986" s="135"/>
      <c r="J986" s="135"/>
      <c r="S986" s="145">
        <f>K986-'Order(Exhibit B)'!K986</f>
        <v>0</v>
      </c>
      <c r="T986" s="115">
        <f>M986-'Order(Exhibit B)'!M986</f>
        <v>0</v>
      </c>
    </row>
    <row r="987" spans="1:20">
      <c r="A987" s="136" t="s">
        <v>301</v>
      </c>
      <c r="B987" s="220"/>
      <c r="C987" s="135">
        <v>0</v>
      </c>
      <c r="D987" s="135">
        <v>0</v>
      </c>
      <c r="E987" s="135"/>
      <c r="F987" s="138">
        <v>137</v>
      </c>
      <c r="G987" s="138"/>
      <c r="H987" s="139">
        <f t="shared" ref="H987:I989" si="241">ROUND($F987*C987,0)</f>
        <v>0</v>
      </c>
      <c r="I987" s="139">
        <f t="shared" si="241"/>
        <v>0</v>
      </c>
      <c r="J987" s="135"/>
      <c r="K987" s="138">
        <f>K$921</f>
        <v>139</v>
      </c>
      <c r="L987" s="138"/>
      <c r="M987" s="139">
        <f>ROUND($K987*D987,0)</f>
        <v>0</v>
      </c>
      <c r="S987" s="145">
        <f>K987-'Order(Exhibit B)'!K987</f>
        <v>0</v>
      </c>
      <c r="T987" s="115">
        <f>M987-'Order(Exhibit B)'!M987</f>
        <v>0</v>
      </c>
    </row>
    <row r="988" spans="1:20">
      <c r="A988" s="136" t="s">
        <v>109</v>
      </c>
      <c r="C988" s="135">
        <v>0</v>
      </c>
      <c r="D988" s="135">
        <v>0</v>
      </c>
      <c r="E988" s="135"/>
      <c r="F988" s="138">
        <v>-0.5</v>
      </c>
      <c r="G988" s="138"/>
      <c r="H988" s="139">
        <f t="shared" si="241"/>
        <v>0</v>
      </c>
      <c r="I988" s="139">
        <f t="shared" si="241"/>
        <v>0</v>
      </c>
      <c r="J988" s="135"/>
      <c r="K988" s="138">
        <f>K$922</f>
        <v>-0.5</v>
      </c>
      <c r="L988" s="138"/>
      <c r="M988" s="139">
        <f>ROUND($K988*D988,0)</f>
        <v>0</v>
      </c>
      <c r="S988" s="145">
        <f>K988-'Order(Exhibit B)'!K988</f>
        <v>0</v>
      </c>
      <c r="T988" s="115">
        <f>M988-'Order(Exhibit B)'!M988</f>
        <v>0</v>
      </c>
    </row>
    <row r="989" spans="1:20">
      <c r="A989" s="136" t="s">
        <v>303</v>
      </c>
      <c r="B989" s="220"/>
      <c r="C989" s="135">
        <v>0</v>
      </c>
      <c r="D989" s="135">
        <f>ROUND($C989*D$1049/$C$1049,0)</f>
        <v>0</v>
      </c>
      <c r="E989" s="135"/>
      <c r="F989" s="138">
        <v>5.75</v>
      </c>
      <c r="G989" s="138"/>
      <c r="H989" s="139">
        <f t="shared" si="241"/>
        <v>0</v>
      </c>
      <c r="I989" s="139">
        <f t="shared" si="241"/>
        <v>0</v>
      </c>
      <c r="J989" s="135"/>
      <c r="K989" s="138">
        <f>K$923</f>
        <v>5.94</v>
      </c>
      <c r="L989" s="138"/>
      <c r="M989" s="139">
        <f>ROUND($K989*D989,0)</f>
        <v>0</v>
      </c>
      <c r="S989" s="145">
        <f>K989-'Order(Exhibit B)'!K989</f>
        <v>2.0000000000000462E-2</v>
      </c>
      <c r="T989" s="115">
        <f>M989-'Order(Exhibit B)'!M989</f>
        <v>0</v>
      </c>
    </row>
    <row r="990" spans="1:20">
      <c r="A990" s="136" t="s">
        <v>304</v>
      </c>
      <c r="B990" s="220"/>
      <c r="C990" s="135"/>
      <c r="D990" s="135"/>
      <c r="E990" s="135"/>
      <c r="F990" s="190"/>
      <c r="G990" s="190"/>
      <c r="H990" s="139"/>
      <c r="I990" s="139"/>
      <c r="J990" s="135"/>
      <c r="K990" s="190"/>
      <c r="L990" s="190"/>
      <c r="M990" s="139"/>
      <c r="S990" s="145">
        <f>K990-'Order(Exhibit B)'!K990</f>
        <v>0</v>
      </c>
      <c r="T990" s="115">
        <f>M990-'Order(Exhibit B)'!M990</f>
        <v>0</v>
      </c>
    </row>
    <row r="991" spans="1:20">
      <c r="A991" s="136" t="s">
        <v>305</v>
      </c>
      <c r="B991" s="220"/>
      <c r="C991" s="135"/>
      <c r="D991" s="135"/>
      <c r="E991" s="135"/>
      <c r="F991" s="237"/>
      <c r="G991" s="237"/>
      <c r="H991" s="139"/>
      <c r="I991" s="139"/>
      <c r="J991" s="135"/>
      <c r="K991" s="237"/>
      <c r="L991" s="237"/>
      <c r="M991" s="139"/>
      <c r="S991" s="145">
        <f>K991-'Order(Exhibit B)'!K991</f>
        <v>0</v>
      </c>
      <c r="T991" s="115">
        <f>M991-'Order(Exhibit B)'!M991</f>
        <v>0</v>
      </c>
    </row>
    <row r="992" spans="1:20">
      <c r="A992" s="136" t="s">
        <v>306</v>
      </c>
      <c r="B992" s="220"/>
      <c r="C992" s="135">
        <v>0</v>
      </c>
      <c r="D992" s="135">
        <f>ROUND($C992*D$1049/$C$1049,0)</f>
        <v>0</v>
      </c>
      <c r="E992" s="135"/>
      <c r="F992" s="237">
        <v>0.9</v>
      </c>
      <c r="G992" s="237"/>
      <c r="H992" s="139">
        <f>ROUND($F992*C992,0)</f>
        <v>0</v>
      </c>
      <c r="I992" s="139">
        <f>ROUND($F992*D992,0)</f>
        <v>0</v>
      </c>
      <c r="J992" s="135"/>
      <c r="K992" s="237">
        <f>K$926</f>
        <v>0.73</v>
      </c>
      <c r="L992" s="237"/>
      <c r="M992" s="139">
        <f>ROUND($K992*D992,0)</f>
        <v>0</v>
      </c>
      <c r="S992" s="145">
        <f>K992-'Order(Exhibit B)'!K992</f>
        <v>1.0000000000000009E-2</v>
      </c>
      <c r="T992" s="115">
        <f>M992-'Order(Exhibit B)'!M992</f>
        <v>0</v>
      </c>
    </row>
    <row r="993" spans="1:20">
      <c r="A993" s="136" t="s">
        <v>307</v>
      </c>
      <c r="B993" s="220"/>
      <c r="C993" s="135">
        <v>0</v>
      </c>
      <c r="D993" s="135">
        <f>ROUND($C993*D$1049/$C$1049,0)</f>
        <v>0</v>
      </c>
      <c r="E993" s="135"/>
      <c r="F993" s="237">
        <v>0.8</v>
      </c>
      <c r="G993" s="237"/>
      <c r="H993" s="139">
        <f>ROUND($F993*C993,0)</f>
        <v>0</v>
      </c>
      <c r="I993" s="139">
        <f>ROUND($F993*D993,0)</f>
        <v>0</v>
      </c>
      <c r="J993" s="135"/>
      <c r="K993" s="237">
        <f>K$927</f>
        <v>0.64</v>
      </c>
      <c r="L993" s="237"/>
      <c r="M993" s="139">
        <f>ROUND($K993*D993,0)</f>
        <v>0</v>
      </c>
      <c r="S993" s="145">
        <f>K993-'Order(Exhibit B)'!K993</f>
        <v>0</v>
      </c>
      <c r="T993" s="115">
        <f>M993-'Order(Exhibit B)'!M993</f>
        <v>0</v>
      </c>
    </row>
    <row r="994" spans="1:20">
      <c r="A994" s="136" t="s">
        <v>308</v>
      </c>
      <c r="B994" s="220"/>
      <c r="C994" s="135"/>
      <c r="D994" s="135"/>
      <c r="E994" s="135"/>
      <c r="F994" s="238"/>
      <c r="G994" s="238"/>
      <c r="H994" s="139"/>
      <c r="I994" s="139"/>
      <c r="J994" s="135"/>
      <c r="K994" s="238"/>
      <c r="L994" s="238"/>
      <c r="M994" s="139"/>
      <c r="S994" s="145">
        <f>K994-'Order(Exhibit B)'!K994</f>
        <v>0</v>
      </c>
      <c r="T994" s="115">
        <f>M994-'Order(Exhibit B)'!M994</f>
        <v>0</v>
      </c>
    </row>
    <row r="995" spans="1:20">
      <c r="A995" s="136" t="s">
        <v>306</v>
      </c>
      <c r="B995" s="220"/>
      <c r="C995" s="135">
        <v>0</v>
      </c>
      <c r="D995" s="135">
        <f>ROUND($C995*D$1049/$C$1049,0)</f>
        <v>0</v>
      </c>
      <c r="E995" s="135"/>
      <c r="F995" s="237">
        <v>0.45</v>
      </c>
      <c r="G995" s="237"/>
      <c r="H995" s="139">
        <f>ROUND($F995*C995,0)</f>
        <v>0</v>
      </c>
      <c r="I995" s="139">
        <f>ROUND($F995*D995,0)</f>
        <v>0</v>
      </c>
      <c r="J995" s="135"/>
      <c r="K995" s="237">
        <f>K$929</f>
        <v>0.36499999999999999</v>
      </c>
      <c r="L995" s="237"/>
      <c r="M995" s="139">
        <f>ROUND($K995*D995,0)</f>
        <v>0</v>
      </c>
      <c r="S995" s="145">
        <f>K995-'Order(Exhibit B)'!K995</f>
        <v>5.0000000000000044E-3</v>
      </c>
      <c r="T995" s="115">
        <f>M995-'Order(Exhibit B)'!M995</f>
        <v>0</v>
      </c>
    </row>
    <row r="996" spans="1:20">
      <c r="A996" s="136" t="s">
        <v>307</v>
      </c>
      <c r="B996" s="220"/>
      <c r="C996" s="135">
        <v>0</v>
      </c>
      <c r="D996" s="135">
        <f>ROUND($C996*D$1049/$C$1049,0)</f>
        <v>0</v>
      </c>
      <c r="E996" s="135"/>
      <c r="F996" s="237">
        <v>0.4</v>
      </c>
      <c r="G996" s="237"/>
      <c r="H996" s="139">
        <f>ROUND($F996*C996,0)</f>
        <v>0</v>
      </c>
      <c r="I996" s="139">
        <f>ROUND($F996*D996,0)</f>
        <v>0</v>
      </c>
      <c r="J996" s="135"/>
      <c r="K996" s="237">
        <f>K$930</f>
        <v>0.32</v>
      </c>
      <c r="L996" s="237"/>
      <c r="M996" s="139">
        <f>ROUND($K996*D996,0)</f>
        <v>0</v>
      </c>
      <c r="S996" s="145">
        <f>K996-'Order(Exhibit B)'!K996</f>
        <v>0</v>
      </c>
      <c r="T996" s="115">
        <f>M996-'Order(Exhibit B)'!M996</f>
        <v>0</v>
      </c>
    </row>
    <row r="997" spans="1:20">
      <c r="A997" s="136" t="s">
        <v>309</v>
      </c>
      <c r="B997" s="220"/>
      <c r="C997" s="135"/>
      <c r="D997" s="135"/>
      <c r="E997" s="135"/>
      <c r="F997" s="138"/>
      <c r="G997" s="138"/>
      <c r="H997" s="139"/>
      <c r="I997" s="139"/>
      <c r="J997" s="135"/>
      <c r="K997" s="138"/>
      <c r="L997" s="138"/>
      <c r="M997" s="139"/>
      <c r="S997" s="145">
        <f>K997-'Order(Exhibit B)'!K997</f>
        <v>0</v>
      </c>
      <c r="T997" s="115">
        <f>M997-'Order(Exhibit B)'!M997</f>
        <v>0</v>
      </c>
    </row>
    <row r="998" spans="1:20">
      <c r="A998" s="136" t="s">
        <v>306</v>
      </c>
      <c r="B998" s="220"/>
      <c r="C998" s="135">
        <v>0</v>
      </c>
      <c r="D998" s="135">
        <f>ROUND($C998*D$1049/$C$1049,0)</f>
        <v>0</v>
      </c>
      <c r="E998" s="135"/>
      <c r="F998" s="237">
        <v>41.89</v>
      </c>
      <c r="G998" s="237"/>
      <c r="H998" s="139">
        <f>ROUND($F998*C998,0)</f>
        <v>0</v>
      </c>
      <c r="I998" s="139">
        <f>ROUND($F998*D998,0)</f>
        <v>0</v>
      </c>
      <c r="J998" s="135"/>
      <c r="K998" s="237">
        <f>K$932</f>
        <v>42.38</v>
      </c>
      <c r="L998" s="237"/>
      <c r="M998" s="139">
        <f>ROUND($K998*D998,0)</f>
        <v>0</v>
      </c>
      <c r="S998" s="145">
        <f>K998-'Order(Exhibit B)'!K998</f>
        <v>0.12000000000000455</v>
      </c>
      <c r="T998" s="115">
        <f>M998-'Order(Exhibit B)'!M998</f>
        <v>0</v>
      </c>
    </row>
    <row r="999" spans="1:20">
      <c r="A999" s="136" t="s">
        <v>307</v>
      </c>
      <c r="B999" s="220"/>
      <c r="C999" s="135">
        <v>0</v>
      </c>
      <c r="D999" s="135">
        <f>ROUND($C999*D$1049/$C$1049,0)</f>
        <v>0</v>
      </c>
      <c r="E999" s="135"/>
      <c r="F999" s="237">
        <v>37.07</v>
      </c>
      <c r="G999" s="237"/>
      <c r="H999" s="139">
        <f>ROUND($F999*C999,0)</f>
        <v>0</v>
      </c>
      <c r="I999" s="139">
        <f>ROUND($F999*D999,0)</f>
        <v>0</v>
      </c>
      <c r="J999" s="135"/>
      <c r="K999" s="237">
        <f>K$933</f>
        <v>38.64</v>
      </c>
      <c r="L999" s="237"/>
      <c r="M999" s="139">
        <f>ROUND($K999*D999,0)</f>
        <v>0</v>
      </c>
      <c r="S999" s="145">
        <f>K999-'Order(Exhibit B)'!K999</f>
        <v>0.10000000000000142</v>
      </c>
      <c r="T999" s="115">
        <f>M999-'Order(Exhibit B)'!M999</f>
        <v>0</v>
      </c>
    </row>
    <row r="1000" spans="1:20">
      <c r="A1000" s="235" t="s">
        <v>310</v>
      </c>
      <c r="C1000" s="135"/>
      <c r="D1000" s="135"/>
      <c r="E1000" s="135"/>
      <c r="J1000" s="135"/>
      <c r="S1000" s="145">
        <f>K1000-'Order(Exhibit B)'!K1000</f>
        <v>0</v>
      </c>
      <c r="T1000" s="115">
        <f>M1000-'Order(Exhibit B)'!M1000</f>
        <v>0</v>
      </c>
    </row>
    <row r="1001" spans="1:20">
      <c r="A1001" s="136" t="s">
        <v>301</v>
      </c>
      <c r="C1001" s="135">
        <v>24</v>
      </c>
      <c r="D1001" s="135">
        <v>24</v>
      </c>
      <c r="E1001" s="135"/>
      <c r="F1001" s="138">
        <v>621</v>
      </c>
      <c r="G1001" s="138"/>
      <c r="H1001" s="139">
        <f t="shared" ref="H1001:I1003" si="242">ROUND($F1001*C1001,0)</f>
        <v>14904</v>
      </c>
      <c r="I1001" s="139">
        <f t="shared" si="242"/>
        <v>14904</v>
      </c>
      <c r="J1001" s="135"/>
      <c r="K1001" s="138">
        <f>K$935</f>
        <v>623</v>
      </c>
      <c r="L1001" s="138"/>
      <c r="M1001" s="139">
        <f>ROUND($K1001*D1001,0)</f>
        <v>14952</v>
      </c>
      <c r="S1001" s="145">
        <f>K1001-'Order(Exhibit B)'!K1001</f>
        <v>0</v>
      </c>
      <c r="T1001" s="115">
        <f>M1001-'Order(Exhibit B)'!M1001</f>
        <v>0</v>
      </c>
    </row>
    <row r="1002" spans="1:20">
      <c r="A1002" s="136" t="s">
        <v>109</v>
      </c>
      <c r="C1002" s="135">
        <v>0</v>
      </c>
      <c r="D1002" s="135">
        <v>16.682237186555263</v>
      </c>
      <c r="E1002" s="135"/>
      <c r="F1002" s="138">
        <v>-0.5</v>
      </c>
      <c r="G1002" s="138"/>
      <c r="H1002" s="139">
        <f t="shared" si="242"/>
        <v>0</v>
      </c>
      <c r="I1002" s="139">
        <f t="shared" si="242"/>
        <v>-8</v>
      </c>
      <c r="J1002" s="135"/>
      <c r="K1002" s="138">
        <f>K$936</f>
        <v>-0.5</v>
      </c>
      <c r="L1002" s="138"/>
      <c r="M1002" s="139">
        <f>ROUND($K1002*D1002,0)</f>
        <v>-8</v>
      </c>
      <c r="S1002" s="145">
        <f>K1002-'Order(Exhibit B)'!K1002</f>
        <v>0</v>
      </c>
      <c r="T1002" s="115">
        <f>M1002-'Order(Exhibit B)'!M1002</f>
        <v>0</v>
      </c>
    </row>
    <row r="1003" spans="1:20">
      <c r="A1003" s="136" t="s">
        <v>303</v>
      </c>
      <c r="C1003" s="135">
        <v>36600</v>
      </c>
      <c r="D1003" s="135">
        <f>ROUND($C1003*D$1049/$C$1049,0)</f>
        <v>52401</v>
      </c>
      <c r="E1003" s="135"/>
      <c r="F1003" s="138">
        <v>4.58</v>
      </c>
      <c r="G1003" s="138"/>
      <c r="H1003" s="139">
        <f t="shared" si="242"/>
        <v>167628</v>
      </c>
      <c r="I1003" s="139">
        <f t="shared" si="242"/>
        <v>239997</v>
      </c>
      <c r="J1003" s="135"/>
      <c r="K1003" s="138">
        <f>K$937</f>
        <v>4.7300000000000004</v>
      </c>
      <c r="L1003" s="138"/>
      <c r="M1003" s="139">
        <f>ROUND($K1003*D1003,0)</f>
        <v>247857</v>
      </c>
      <c r="S1003" s="145">
        <f>K1003-'Order(Exhibit B)'!K1003</f>
        <v>2.0000000000000462E-2</v>
      </c>
      <c r="T1003" s="115">
        <f>M1003-'Order(Exhibit B)'!M1003</f>
        <v>1048</v>
      </c>
    </row>
    <row r="1004" spans="1:20">
      <c r="A1004" s="136" t="s">
        <v>304</v>
      </c>
      <c r="C1004" s="135"/>
      <c r="D1004" s="135"/>
      <c r="E1004" s="135"/>
      <c r="F1004" s="138"/>
      <c r="G1004" s="138"/>
      <c r="H1004" s="139"/>
      <c r="I1004" s="139"/>
      <c r="J1004" s="135"/>
      <c r="K1004" s="138"/>
      <c r="L1004" s="138"/>
      <c r="M1004" s="139"/>
      <c r="S1004" s="145">
        <f>K1004-'Order(Exhibit B)'!K1004</f>
        <v>0</v>
      </c>
      <c r="T1004" s="115">
        <f>M1004-'Order(Exhibit B)'!M1004</f>
        <v>0</v>
      </c>
    </row>
    <row r="1005" spans="1:20">
      <c r="A1005" s="136" t="s">
        <v>305</v>
      </c>
      <c r="C1005" s="135"/>
      <c r="D1005" s="135"/>
      <c r="E1005" s="135"/>
      <c r="F1005" s="237"/>
      <c r="G1005" s="237"/>
      <c r="H1005" s="139"/>
      <c r="I1005" s="139"/>
      <c r="J1005" s="135"/>
      <c r="K1005" s="237"/>
      <c r="L1005" s="237"/>
      <c r="M1005" s="139"/>
      <c r="S1005" s="145">
        <f>K1005-'Order(Exhibit B)'!K1005</f>
        <v>0</v>
      </c>
      <c r="T1005" s="115">
        <f>M1005-'Order(Exhibit B)'!M1005</f>
        <v>0</v>
      </c>
    </row>
    <row r="1006" spans="1:20">
      <c r="A1006" s="136" t="s">
        <v>306</v>
      </c>
      <c r="B1006" s="220"/>
      <c r="C1006" s="135">
        <v>69545</v>
      </c>
      <c r="D1006" s="135">
        <f>ROUND($C1006*D$1049/$C$1049,0)</f>
        <v>99570</v>
      </c>
      <c r="E1006" s="135"/>
      <c r="F1006" s="237">
        <v>0.88</v>
      </c>
      <c r="G1006" s="237"/>
      <c r="H1006" s="139">
        <f>ROUND($F1006*C1006,0)</f>
        <v>61200</v>
      </c>
      <c r="I1006" s="139">
        <f>ROUND($F1006*D1006,0)</f>
        <v>87622</v>
      </c>
      <c r="J1006" s="135"/>
      <c r="K1006" s="237">
        <f>K$940</f>
        <v>0.73</v>
      </c>
      <c r="L1006" s="237"/>
      <c r="M1006" s="139">
        <f>ROUND($K1006*D1006,0)</f>
        <v>72686</v>
      </c>
      <c r="S1006" s="145">
        <f>K1006-'Order(Exhibit B)'!K1006</f>
        <v>0</v>
      </c>
      <c r="T1006" s="115">
        <f>M1006-'Order(Exhibit B)'!M1006</f>
        <v>0</v>
      </c>
    </row>
    <row r="1007" spans="1:20">
      <c r="A1007" s="136" t="s">
        <v>307</v>
      </c>
      <c r="B1007" s="220"/>
      <c r="C1007" s="135">
        <v>76653</v>
      </c>
      <c r="D1007" s="135">
        <f>ROUND($C1007*D$1049/$C$1049,0)</f>
        <v>109747</v>
      </c>
      <c r="E1007" s="135"/>
      <c r="F1007" s="237">
        <v>0.78</v>
      </c>
      <c r="G1007" s="237"/>
      <c r="H1007" s="139">
        <f>ROUND($F1007*C1007,0)</f>
        <v>59789</v>
      </c>
      <c r="I1007" s="139">
        <f>ROUND($F1007*D1007,0)</f>
        <v>85603</v>
      </c>
      <c r="J1007" s="135"/>
      <c r="K1007" s="237">
        <f>K$941</f>
        <v>0.64</v>
      </c>
      <c r="L1007" s="237"/>
      <c r="M1007" s="139">
        <f>ROUND($K1007*D1007,0)</f>
        <v>70238</v>
      </c>
      <c r="S1007" s="145">
        <f>K1007-'Order(Exhibit B)'!K1007</f>
        <v>0</v>
      </c>
      <c r="T1007" s="115">
        <f>M1007-'Order(Exhibit B)'!M1007</f>
        <v>0</v>
      </c>
    </row>
    <row r="1008" spans="1:20">
      <c r="A1008" s="136" t="s">
        <v>308</v>
      </c>
      <c r="C1008" s="135"/>
      <c r="D1008" s="135"/>
      <c r="E1008" s="135"/>
      <c r="F1008" s="238"/>
      <c r="G1008" s="238"/>
      <c r="H1008" s="139"/>
      <c r="I1008" s="139"/>
      <c r="J1008" s="135"/>
      <c r="K1008" s="238"/>
      <c r="L1008" s="238"/>
      <c r="M1008" s="139"/>
      <c r="S1008" s="145">
        <f>K1008-'Order(Exhibit B)'!K1008</f>
        <v>0</v>
      </c>
      <c r="T1008" s="115">
        <f>M1008-'Order(Exhibit B)'!M1008</f>
        <v>0</v>
      </c>
    </row>
    <row r="1009" spans="1:20">
      <c r="A1009" s="136" t="s">
        <v>306</v>
      </c>
      <c r="B1009" s="220"/>
      <c r="C1009" s="135">
        <v>0</v>
      </c>
      <c r="D1009" s="135">
        <f>ROUND($C1009*D$1049/$C$1049,0)</f>
        <v>0</v>
      </c>
      <c r="E1009" s="135"/>
      <c r="F1009" s="237">
        <v>0.44</v>
      </c>
      <c r="G1009" s="237"/>
      <c r="H1009" s="139">
        <f>ROUND($F1009*C1009,0)</f>
        <v>0</v>
      </c>
      <c r="I1009" s="139">
        <f>ROUND($F1009*D1009,0)</f>
        <v>0</v>
      </c>
      <c r="J1009" s="135"/>
      <c r="K1009" s="237">
        <f>K$943</f>
        <v>0.36499999999999999</v>
      </c>
      <c r="L1009" s="237"/>
      <c r="M1009" s="139">
        <f>ROUND($K1009*D1009,0)</f>
        <v>0</v>
      </c>
      <c r="S1009" s="145">
        <f>K1009-'Order(Exhibit B)'!K1009</f>
        <v>-5.0000000000000044E-3</v>
      </c>
      <c r="T1009" s="115">
        <f>M1009-'Order(Exhibit B)'!M1009</f>
        <v>0</v>
      </c>
    </row>
    <row r="1010" spans="1:20">
      <c r="A1010" s="136" t="s">
        <v>307</v>
      </c>
      <c r="B1010" s="220"/>
      <c r="C1010" s="135">
        <v>0</v>
      </c>
      <c r="D1010" s="135">
        <f>ROUND($C1010*D$1049/$C$1049,0)</f>
        <v>0</v>
      </c>
      <c r="E1010" s="135"/>
      <c r="F1010" s="237">
        <v>0.39</v>
      </c>
      <c r="G1010" s="237"/>
      <c r="H1010" s="139">
        <f>ROUND($F1010*C1010,0)</f>
        <v>0</v>
      </c>
      <c r="I1010" s="139">
        <f>ROUND($F1010*D1010,0)</f>
        <v>0</v>
      </c>
      <c r="J1010" s="135"/>
      <c r="K1010" s="237">
        <f>K$944</f>
        <v>0.32</v>
      </c>
      <c r="L1010" s="237"/>
      <c r="M1010" s="139">
        <f>ROUND($K1010*D1010,0)</f>
        <v>0</v>
      </c>
      <c r="S1010" s="145">
        <f>K1010-'Order(Exhibit B)'!K1010</f>
        <v>0</v>
      </c>
      <c r="T1010" s="115">
        <f>M1010-'Order(Exhibit B)'!M1010</f>
        <v>0</v>
      </c>
    </row>
    <row r="1011" spans="1:20">
      <c r="A1011" s="136" t="s">
        <v>309</v>
      </c>
      <c r="C1011" s="135"/>
      <c r="D1011" s="135"/>
      <c r="E1011" s="135"/>
      <c r="F1011" s="138"/>
      <c r="G1011" s="138"/>
      <c r="H1011" s="139"/>
      <c r="I1011" s="139"/>
      <c r="J1011" s="135"/>
      <c r="K1011" s="138"/>
      <c r="L1011" s="138"/>
      <c r="M1011" s="139"/>
      <c r="S1011" s="145">
        <f>K1011-'Order(Exhibit B)'!K1011</f>
        <v>0</v>
      </c>
      <c r="T1011" s="115">
        <f>M1011-'Order(Exhibit B)'!M1011</f>
        <v>0</v>
      </c>
    </row>
    <row r="1012" spans="1:20">
      <c r="A1012" s="136" t="s">
        <v>306</v>
      </c>
      <c r="B1012" s="220"/>
      <c r="C1012" s="135">
        <v>218</v>
      </c>
      <c r="D1012" s="135">
        <f>ROUND($C1012*D$1049/$C$1049,0)</f>
        <v>312</v>
      </c>
      <c r="E1012" s="135"/>
      <c r="F1012" s="237">
        <v>39.56</v>
      </c>
      <c r="G1012" s="237"/>
      <c r="H1012" s="139">
        <f>ROUND($F1012*C1012,0)</f>
        <v>8624</v>
      </c>
      <c r="I1012" s="139">
        <f>ROUND($F1012*D1012,0)</f>
        <v>12343</v>
      </c>
      <c r="J1012" s="135"/>
      <c r="K1012" s="237">
        <f>K$946</f>
        <v>40.119999999999997</v>
      </c>
      <c r="L1012" s="237"/>
      <c r="M1012" s="139">
        <f>ROUND($K1012*D1012,0)</f>
        <v>12517</v>
      </c>
      <c r="S1012" s="145">
        <f>K1012-'Order(Exhibit B)'!K1012</f>
        <v>0.11999999999999744</v>
      </c>
      <c r="T1012" s="115">
        <f>M1012-'Order(Exhibit B)'!M1012</f>
        <v>37</v>
      </c>
    </row>
    <row r="1013" spans="1:20">
      <c r="A1013" s="136" t="s">
        <v>307</v>
      </c>
      <c r="B1013" s="220"/>
      <c r="C1013" s="135">
        <v>12</v>
      </c>
      <c r="D1013" s="135">
        <f>ROUND($C1013*D$1049/$C$1049,0)</f>
        <v>17</v>
      </c>
      <c r="E1013" s="135"/>
      <c r="F1013" s="237">
        <v>35.01</v>
      </c>
      <c r="G1013" s="237"/>
      <c r="H1013" s="139">
        <f>ROUND($F1013*C1013,0)</f>
        <v>420</v>
      </c>
      <c r="I1013" s="139">
        <f>ROUND($F1013*D1013,0)</f>
        <v>595</v>
      </c>
      <c r="J1013" s="135"/>
      <c r="K1013" s="237">
        <f>K$947</f>
        <v>36.380000000000003</v>
      </c>
      <c r="L1013" s="237"/>
      <c r="M1013" s="139">
        <f>ROUND($K1013*D1013,0)</f>
        <v>618</v>
      </c>
      <c r="S1013" s="145">
        <f>K1013-'Order(Exhibit B)'!K1013</f>
        <v>0.10000000000000142</v>
      </c>
      <c r="T1013" s="115">
        <f>M1013-'Order(Exhibit B)'!M1013</f>
        <v>1</v>
      </c>
    </row>
    <row r="1014" spans="1:20">
      <c r="A1014" s="235" t="s">
        <v>311</v>
      </c>
      <c r="C1014" s="135"/>
      <c r="D1014" s="135"/>
      <c r="E1014" s="135"/>
      <c r="J1014" s="135"/>
      <c r="S1014" s="145">
        <f>K1014-'Order(Exhibit B)'!K1014</f>
        <v>0</v>
      </c>
      <c r="T1014" s="115">
        <f>M1014-'Order(Exhibit B)'!M1014</f>
        <v>0</v>
      </c>
    </row>
    <row r="1015" spans="1:20">
      <c r="A1015" s="136" t="s">
        <v>301</v>
      </c>
      <c r="C1015" s="135">
        <v>24</v>
      </c>
      <c r="D1015" s="135">
        <v>24</v>
      </c>
      <c r="E1015" s="135"/>
      <c r="F1015" s="138">
        <v>696</v>
      </c>
      <c r="G1015" s="138"/>
      <c r="H1015" s="139">
        <f t="shared" ref="H1015:I1017" si="243">ROUND($F1015*C1015,0)</f>
        <v>16704</v>
      </c>
      <c r="I1015" s="139">
        <f t="shared" si="243"/>
        <v>16704</v>
      </c>
      <c r="J1015" s="135"/>
      <c r="K1015" s="138">
        <f>K$949</f>
        <v>829</v>
      </c>
      <c r="L1015" s="138"/>
      <c r="M1015" s="139">
        <f>ROUND($K1015*D1015,0)</f>
        <v>19896</v>
      </c>
      <c r="S1015" s="145">
        <f>K1015-'Order(Exhibit B)'!K1015</f>
        <v>0</v>
      </c>
      <c r="T1015" s="115">
        <f>M1015-'Order(Exhibit B)'!M1015</f>
        <v>0</v>
      </c>
    </row>
    <row r="1016" spans="1:20">
      <c r="A1016" s="136" t="s">
        <v>109</v>
      </c>
      <c r="C1016" s="135">
        <v>24</v>
      </c>
      <c r="D1016" s="135">
        <v>16.682237186555263</v>
      </c>
      <c r="E1016" s="135"/>
      <c r="F1016" s="138">
        <v>-0.5</v>
      </c>
      <c r="G1016" s="138"/>
      <c r="H1016" s="139">
        <f t="shared" si="243"/>
        <v>-12</v>
      </c>
      <c r="I1016" s="139">
        <f t="shared" si="243"/>
        <v>-8</v>
      </c>
      <c r="J1016" s="135"/>
      <c r="K1016" s="138">
        <f>K$950</f>
        <v>-0.5</v>
      </c>
      <c r="L1016" s="138"/>
      <c r="M1016" s="139">
        <f>ROUND($K1016*D1016,0)</f>
        <v>-8</v>
      </c>
      <c r="S1016" s="145">
        <f>K1016-'Order(Exhibit B)'!K1016</f>
        <v>0</v>
      </c>
      <c r="T1016" s="115">
        <f>M1016-'Order(Exhibit B)'!M1016</f>
        <v>0</v>
      </c>
    </row>
    <row r="1017" spans="1:20">
      <c r="A1017" s="136" t="s">
        <v>303</v>
      </c>
      <c r="C1017" s="135">
        <v>72600</v>
      </c>
      <c r="D1017" s="135">
        <f>ROUND($C1017*D$1049/$C$1049,0)</f>
        <v>103944</v>
      </c>
      <c r="E1017" s="135"/>
      <c r="F1017" s="138">
        <v>2.7</v>
      </c>
      <c r="G1017" s="138"/>
      <c r="H1017" s="139">
        <f t="shared" si="243"/>
        <v>196020</v>
      </c>
      <c r="I1017" s="139">
        <f t="shared" si="243"/>
        <v>280649</v>
      </c>
      <c r="J1017" s="135"/>
      <c r="K1017" s="138">
        <f>K$951</f>
        <v>2.92</v>
      </c>
      <c r="L1017" s="138"/>
      <c r="M1017" s="139">
        <f>ROUND($K1017*D1017,0)</f>
        <v>303516</v>
      </c>
      <c r="S1017" s="145">
        <f>K1017-'Order(Exhibit B)'!K1017</f>
        <v>2.0000000000000018E-2</v>
      </c>
      <c r="T1017" s="115">
        <f>M1017-'Order(Exhibit B)'!M1017</f>
        <v>2078</v>
      </c>
    </row>
    <row r="1018" spans="1:20">
      <c r="A1018" s="136" t="s">
        <v>304</v>
      </c>
      <c r="C1018" s="135"/>
      <c r="D1018" s="135"/>
      <c r="E1018" s="135"/>
      <c r="F1018" s="190"/>
      <c r="G1018" s="190"/>
      <c r="H1018" s="139"/>
      <c r="I1018" s="139"/>
      <c r="J1018" s="135"/>
      <c r="K1018" s="190"/>
      <c r="L1018" s="190"/>
      <c r="M1018" s="139"/>
      <c r="S1018" s="145">
        <f>K1018-'Order(Exhibit B)'!K1018</f>
        <v>0</v>
      </c>
      <c r="T1018" s="115">
        <f>M1018-'Order(Exhibit B)'!M1018</f>
        <v>0</v>
      </c>
    </row>
    <row r="1019" spans="1:20">
      <c r="A1019" s="136" t="s">
        <v>305</v>
      </c>
      <c r="C1019" s="135"/>
      <c r="D1019" s="135">
        <f>ROUND($C1019*D$1049/$C$1049,0)</f>
        <v>0</v>
      </c>
      <c r="E1019" s="135"/>
      <c r="F1019" s="237"/>
      <c r="G1019" s="237"/>
      <c r="H1019" s="139"/>
      <c r="I1019" s="139"/>
      <c r="J1019" s="135"/>
      <c r="K1019" s="237"/>
      <c r="L1019" s="237"/>
      <c r="M1019" s="139"/>
      <c r="S1019" s="145">
        <f>K1019-'Order(Exhibit B)'!K1019</f>
        <v>0</v>
      </c>
      <c r="T1019" s="115">
        <f>M1019-'Order(Exhibit B)'!M1019</f>
        <v>0</v>
      </c>
    </row>
    <row r="1020" spans="1:20">
      <c r="A1020" s="136" t="s">
        <v>306</v>
      </c>
      <c r="B1020" s="220"/>
      <c r="C1020" s="135">
        <v>49964</v>
      </c>
      <c r="D1020" s="135">
        <f>ROUND($C1020*D$1049/$C$1049,0)</f>
        <v>71535</v>
      </c>
      <c r="E1020" s="135"/>
      <c r="F1020" s="237">
        <v>0.78</v>
      </c>
      <c r="G1020" s="237"/>
      <c r="H1020" s="139">
        <f>ROUND($F1020*C1020,0)</f>
        <v>38972</v>
      </c>
      <c r="I1020" s="139">
        <f>ROUND($F1020*D1020,0)</f>
        <v>55797</v>
      </c>
      <c r="J1020" s="135"/>
      <c r="K1020" s="237">
        <f>K$954</f>
        <v>0.68</v>
      </c>
      <c r="L1020" s="237"/>
      <c r="M1020" s="139">
        <f>ROUND($K1020*D1020,0)</f>
        <v>48644</v>
      </c>
      <c r="S1020" s="145">
        <f>K1020-'Order(Exhibit B)'!K1020</f>
        <v>0</v>
      </c>
      <c r="T1020" s="115">
        <f>M1020-'Order(Exhibit B)'!M1020</f>
        <v>0</v>
      </c>
    </row>
    <row r="1021" spans="1:20">
      <c r="A1021" s="136" t="s">
        <v>307</v>
      </c>
      <c r="B1021" s="220"/>
      <c r="C1021" s="135">
        <v>146948</v>
      </c>
      <c r="D1021" s="135">
        <f>ROUND($C1021*D$1049/$C$1049,0)</f>
        <v>210390</v>
      </c>
      <c r="E1021" s="135"/>
      <c r="F1021" s="237">
        <v>0.69</v>
      </c>
      <c r="G1021" s="237"/>
      <c r="H1021" s="139">
        <f>ROUND($F1021*C1021,0)</f>
        <v>101394</v>
      </c>
      <c r="I1021" s="139">
        <f>ROUND($F1021*D1021,0)</f>
        <v>145169</v>
      </c>
      <c r="J1021" s="135"/>
      <c r="K1021" s="237">
        <f>K$955</f>
        <v>0.6</v>
      </c>
      <c r="L1021" s="237"/>
      <c r="M1021" s="139">
        <f>ROUND($K1021*D1021,0)</f>
        <v>126234</v>
      </c>
      <c r="S1021" s="145">
        <f>K1021-'Order(Exhibit B)'!K1021</f>
        <v>0</v>
      </c>
      <c r="T1021" s="115">
        <f>M1021-'Order(Exhibit B)'!M1021</f>
        <v>0</v>
      </c>
    </row>
    <row r="1022" spans="1:20">
      <c r="A1022" s="136" t="s">
        <v>308</v>
      </c>
      <c r="C1022" s="135"/>
      <c r="D1022" s="135"/>
      <c r="E1022" s="135"/>
      <c r="F1022" s="238"/>
      <c r="G1022" s="238"/>
      <c r="H1022" s="139"/>
      <c r="I1022" s="139"/>
      <c r="J1022" s="135"/>
      <c r="K1022" s="238"/>
      <c r="L1022" s="238"/>
      <c r="M1022" s="139"/>
      <c r="S1022" s="145">
        <f>K1022-'Order(Exhibit B)'!K1022</f>
        <v>0</v>
      </c>
      <c r="T1022" s="115">
        <f>M1022-'Order(Exhibit B)'!M1022</f>
        <v>0</v>
      </c>
    </row>
    <row r="1023" spans="1:20">
      <c r="A1023" s="136" t="s">
        <v>306</v>
      </c>
      <c r="B1023" s="220"/>
      <c r="C1023" s="135">
        <v>9400</v>
      </c>
      <c r="D1023" s="135">
        <f>ROUND($C1023*D$1049/$C$1049,0)</f>
        <v>13458</v>
      </c>
      <c r="E1023" s="135"/>
      <c r="F1023" s="237">
        <v>0.39</v>
      </c>
      <c r="G1023" s="237"/>
      <c r="H1023" s="139">
        <f>ROUND($F1023*C1023,0)</f>
        <v>3666</v>
      </c>
      <c r="I1023" s="139">
        <f>ROUND($F1023*D1023,0)</f>
        <v>5249</v>
      </c>
      <c r="J1023" s="135"/>
      <c r="K1023" s="237">
        <f>K$957</f>
        <v>0.34</v>
      </c>
      <c r="L1023" s="237"/>
      <c r="M1023" s="139">
        <f>ROUND($K1023*D1023,0)</f>
        <v>4576</v>
      </c>
      <c r="S1023" s="145">
        <f>K1023-'Order(Exhibit B)'!K1023</f>
        <v>0</v>
      </c>
      <c r="T1023" s="115">
        <f>M1023-'Order(Exhibit B)'!M1023</f>
        <v>0</v>
      </c>
    </row>
    <row r="1024" spans="1:20">
      <c r="A1024" s="136" t="s">
        <v>307</v>
      </c>
      <c r="B1024" s="220"/>
      <c r="C1024" s="135">
        <v>0</v>
      </c>
      <c r="D1024" s="135">
        <f>ROUND($C1024*D$1049/$C$1049,0)</f>
        <v>0</v>
      </c>
      <c r="E1024" s="135"/>
      <c r="F1024" s="237">
        <v>0.34499999999999997</v>
      </c>
      <c r="G1024" s="237"/>
      <c r="H1024" s="139">
        <f>ROUND($F1024*C1024,0)</f>
        <v>0</v>
      </c>
      <c r="I1024" s="139">
        <f>ROUND($F1024*D1024,0)</f>
        <v>0</v>
      </c>
      <c r="J1024" s="135"/>
      <c r="K1024" s="237">
        <f>K$958</f>
        <v>0.3</v>
      </c>
      <c r="L1024" s="237"/>
      <c r="M1024" s="139">
        <f>ROUND($K1024*D1024,0)</f>
        <v>0</v>
      </c>
      <c r="S1024" s="145">
        <f>K1024-'Order(Exhibit B)'!K1024</f>
        <v>0</v>
      </c>
      <c r="T1024" s="115">
        <f>M1024-'Order(Exhibit B)'!M1024</f>
        <v>0</v>
      </c>
    </row>
    <row r="1025" spans="1:20">
      <c r="A1025" s="136" t="s">
        <v>309</v>
      </c>
      <c r="C1025" s="135"/>
      <c r="D1025" s="135"/>
      <c r="E1025" s="135"/>
      <c r="F1025" s="138"/>
      <c r="G1025" s="138"/>
      <c r="H1025" s="139"/>
      <c r="I1025" s="139"/>
      <c r="J1025" s="135"/>
      <c r="K1025" s="138"/>
      <c r="L1025" s="138"/>
      <c r="M1025" s="139"/>
      <c r="S1025" s="145">
        <f>K1025-'Order(Exhibit B)'!K1025</f>
        <v>0</v>
      </c>
      <c r="T1025" s="115">
        <f>M1025-'Order(Exhibit B)'!M1025</f>
        <v>0</v>
      </c>
    </row>
    <row r="1026" spans="1:20">
      <c r="A1026" s="136" t="s">
        <v>306</v>
      </c>
      <c r="B1026" s="220"/>
      <c r="C1026" s="135">
        <v>0</v>
      </c>
      <c r="D1026" s="135">
        <f>ROUND($C1026*D$1049/$C$1049,0)</f>
        <v>0</v>
      </c>
      <c r="E1026" s="135"/>
      <c r="F1026" s="237">
        <v>33.21</v>
      </c>
      <c r="G1026" s="237"/>
      <c r="H1026" s="139">
        <f>ROUND($F1026*C1026,0)</f>
        <v>0</v>
      </c>
      <c r="I1026" s="139">
        <f>ROUND($F1026*D1026,0)</f>
        <v>0</v>
      </c>
      <c r="J1026" s="135"/>
      <c r="K1026" s="237">
        <f>K$960</f>
        <v>34.58</v>
      </c>
      <c r="L1026" s="237"/>
      <c r="M1026" s="139">
        <f>ROUND($K1026*D1026,0)</f>
        <v>0</v>
      </c>
      <c r="S1026" s="145">
        <f>K1026-'Order(Exhibit B)'!K1026</f>
        <v>0.10000000000000142</v>
      </c>
      <c r="T1026" s="115">
        <f>M1026-'Order(Exhibit B)'!M1026</f>
        <v>0</v>
      </c>
    </row>
    <row r="1027" spans="1:20">
      <c r="A1027" s="136" t="s">
        <v>307</v>
      </c>
      <c r="B1027" s="220"/>
      <c r="C1027" s="135">
        <v>0</v>
      </c>
      <c r="D1027" s="135">
        <f>ROUND($C1027*D$1049/$C$1049,0)</f>
        <v>0</v>
      </c>
      <c r="E1027" s="135"/>
      <c r="F1027" s="237">
        <v>29.39</v>
      </c>
      <c r="G1027" s="237"/>
      <c r="H1027" s="139">
        <f>ROUND($F1027*C1027,0)</f>
        <v>0</v>
      </c>
      <c r="I1027" s="139">
        <f>ROUND($F1027*D1027,0)</f>
        <v>0</v>
      </c>
      <c r="J1027" s="135"/>
      <c r="K1027" s="237">
        <f>K$961</f>
        <v>31.16</v>
      </c>
      <c r="L1027" s="237"/>
      <c r="M1027" s="139">
        <f>ROUND($K1027*D1027,0)</f>
        <v>0</v>
      </c>
      <c r="S1027" s="145">
        <f>K1027-'Order(Exhibit B)'!K1027</f>
        <v>0.10000000000000142</v>
      </c>
      <c r="T1027" s="115">
        <f>M1027-'Order(Exhibit B)'!M1027</f>
        <v>0</v>
      </c>
    </row>
    <row r="1028" spans="1:20">
      <c r="A1028" s="136" t="s">
        <v>312</v>
      </c>
      <c r="C1028" s="230"/>
      <c r="D1028" s="230"/>
      <c r="E1028" s="137"/>
      <c r="F1028" s="193"/>
      <c r="G1028" s="193"/>
      <c r="H1028" s="228">
        <f>SUM(H987:H1027)</f>
        <v>669309</v>
      </c>
      <c r="I1028" s="228">
        <f>SUM(I987:I1027)</f>
        <v>944616</v>
      </c>
      <c r="J1028" s="137"/>
      <c r="K1028" s="193"/>
      <c r="L1028" s="193"/>
      <c r="M1028" s="228">
        <f>SUM(M987:M1027)</f>
        <v>921718</v>
      </c>
      <c r="S1028" s="145">
        <f>K1028-'Order(Exhibit B)'!K1028</f>
        <v>0</v>
      </c>
      <c r="T1028" s="115">
        <f>M1028-'Order(Exhibit B)'!M1028</f>
        <v>3164</v>
      </c>
    </row>
    <row r="1029" spans="1:20">
      <c r="A1029" s="235" t="s">
        <v>313</v>
      </c>
      <c r="S1029" s="145">
        <f>K1029-'Order(Exhibit B)'!K1029</f>
        <v>0</v>
      </c>
      <c r="T1029" s="115">
        <f>M1029-'Order(Exhibit B)'!M1029</f>
        <v>0</v>
      </c>
    </row>
    <row r="1030" spans="1:20">
      <c r="A1030" s="133" t="s">
        <v>469</v>
      </c>
      <c r="C1030" s="135"/>
      <c r="D1030" s="135"/>
      <c r="E1030" s="135"/>
      <c r="F1030" s="190"/>
      <c r="G1030" s="190"/>
      <c r="H1030" s="139"/>
      <c r="I1030" s="139"/>
      <c r="J1030" s="135"/>
      <c r="K1030" s="190"/>
      <c r="L1030" s="190"/>
      <c r="M1030" s="139"/>
      <c r="S1030" s="145">
        <f>K1030-'Order(Exhibit B)'!K1030</f>
        <v>0</v>
      </c>
      <c r="T1030" s="115">
        <f>M1030-'Order(Exhibit B)'!M1030</f>
        <v>0</v>
      </c>
    </row>
    <row r="1031" spans="1:20">
      <c r="A1031" s="136" t="s">
        <v>144</v>
      </c>
      <c r="C1031" s="135">
        <v>30245</v>
      </c>
      <c r="D1031" s="135">
        <f>ROUND($C1031*D$1049/$C$1049,0)</f>
        <v>43303</v>
      </c>
      <c r="E1031" s="135"/>
      <c r="F1031" s="190">
        <v>4.8099999999999996</v>
      </c>
      <c r="G1031" s="190"/>
      <c r="H1031" s="139">
        <f t="shared" ref="H1031:I1033" si="244">ROUND($F1031*C1031,0)</f>
        <v>145478</v>
      </c>
      <c r="I1031" s="139">
        <f t="shared" si="244"/>
        <v>208287</v>
      </c>
      <c r="J1031" s="135"/>
      <c r="K1031" s="190">
        <f>K$965</f>
        <v>4.96</v>
      </c>
      <c r="L1031" s="190"/>
      <c r="M1031" s="139">
        <f>ROUND($K1031*D1031,0)</f>
        <v>214783</v>
      </c>
      <c r="S1031" s="145">
        <f>K1031-'Order(Exhibit B)'!K1031</f>
        <v>9.9999999999997868E-3</v>
      </c>
      <c r="T1031" s="115">
        <f>M1031-'Order(Exhibit B)'!M1031</f>
        <v>433</v>
      </c>
    </row>
    <row r="1032" spans="1:20">
      <c r="A1032" s="136" t="s">
        <v>180</v>
      </c>
      <c r="C1032" s="135">
        <v>4000</v>
      </c>
      <c r="D1032" s="135">
        <f>ROUND($C1032*D$1049/$C$1049,0)</f>
        <v>5727</v>
      </c>
      <c r="E1032" s="135"/>
      <c r="F1032" s="190">
        <v>15.73</v>
      </c>
      <c r="G1032" s="190"/>
      <c r="H1032" s="139">
        <f t="shared" si="244"/>
        <v>62920</v>
      </c>
      <c r="I1032" s="139">
        <f t="shared" si="244"/>
        <v>90086</v>
      </c>
      <c r="J1032" s="135"/>
      <c r="K1032" s="190">
        <f>K$966</f>
        <v>16.23</v>
      </c>
      <c r="L1032" s="190"/>
      <c r="M1032" s="139">
        <f>ROUND($K1032*D1032,0)</f>
        <v>92949</v>
      </c>
      <c r="S1032" s="145">
        <f>K1032-'Order(Exhibit B)'!K1032</f>
        <v>5.0000000000000711E-2</v>
      </c>
      <c r="T1032" s="115">
        <f>M1032-'Order(Exhibit B)'!M1032</f>
        <v>286</v>
      </c>
    </row>
    <row r="1033" spans="1:20">
      <c r="A1033" s="136" t="s">
        <v>181</v>
      </c>
      <c r="C1033" s="135">
        <v>21226</v>
      </c>
      <c r="D1033" s="135">
        <f>ROUND($C1033*D$1049/$C$1049,0)</f>
        <v>30390</v>
      </c>
      <c r="E1033" s="135"/>
      <c r="F1033" s="190">
        <v>13.92</v>
      </c>
      <c r="G1033" s="190"/>
      <c r="H1033" s="139">
        <f t="shared" si="244"/>
        <v>295466</v>
      </c>
      <c r="I1033" s="139">
        <f t="shared" si="244"/>
        <v>423029</v>
      </c>
      <c r="J1033" s="135"/>
      <c r="K1033" s="190">
        <f>K$967</f>
        <v>14.36</v>
      </c>
      <c r="L1033" s="190"/>
      <c r="M1033" s="139">
        <f>ROUND($K1033*D1033,0)</f>
        <v>436400</v>
      </c>
      <c r="S1033" s="145">
        <f>K1033-'Order(Exhibit B)'!K1033</f>
        <v>3.9999999999999147E-2</v>
      </c>
      <c r="T1033" s="115">
        <f>M1033-'Order(Exhibit B)'!M1033</f>
        <v>1215</v>
      </c>
    </row>
    <row r="1034" spans="1:20">
      <c r="A1034" s="136" t="s">
        <v>111</v>
      </c>
      <c r="C1034" s="135">
        <v>976800</v>
      </c>
      <c r="D1034" s="135">
        <f>ROUND($C1034*D$1049/($C$1049-$C$1048),0)</f>
        <v>1409179</v>
      </c>
      <c r="E1034" s="135"/>
      <c r="F1034" s="193">
        <v>5.8281999999999998</v>
      </c>
      <c r="G1034" s="163" t="s">
        <v>112</v>
      </c>
      <c r="H1034" s="139">
        <f t="shared" ref="H1034:I1037" si="245">ROUND($F1034*C1034/100,0)</f>
        <v>56930</v>
      </c>
      <c r="I1034" s="139">
        <f t="shared" si="245"/>
        <v>82130</v>
      </c>
      <c r="J1034" s="135"/>
      <c r="K1034" s="193">
        <f>K$968</f>
        <v>6.0133000000000001</v>
      </c>
      <c r="L1034" s="163" t="s">
        <v>112</v>
      </c>
      <c r="M1034" s="139">
        <f>ROUND($K1034*D1034/100,0)</f>
        <v>84738</v>
      </c>
      <c r="S1034" s="145">
        <f>K1034-'Order(Exhibit B)'!K1034</f>
        <v>1.7000000000000348E-2</v>
      </c>
      <c r="T1034" s="115">
        <f>M1034-'Order(Exhibit B)'!M1034</f>
        <v>239</v>
      </c>
    </row>
    <row r="1035" spans="1:20">
      <c r="A1035" s="136" t="s">
        <v>114</v>
      </c>
      <c r="C1035" s="135">
        <v>3976800</v>
      </c>
      <c r="D1035" s="135">
        <f t="shared" ref="D1035:D1037" si="246">ROUND($C1035*D$1049/($C$1049-$C$1048),0)</f>
        <v>5737125</v>
      </c>
      <c r="E1035" s="135"/>
      <c r="F1035" s="193">
        <v>2.9624000000000001</v>
      </c>
      <c r="G1035" s="163" t="s">
        <v>112</v>
      </c>
      <c r="H1035" s="139">
        <f t="shared" si="245"/>
        <v>117809</v>
      </c>
      <c r="I1035" s="139">
        <f t="shared" si="245"/>
        <v>169957</v>
      </c>
      <c r="J1035" s="135"/>
      <c r="K1035" s="193">
        <f>K$969</f>
        <v>3.0565000000000002</v>
      </c>
      <c r="L1035" s="163" t="s">
        <v>112</v>
      </c>
      <c r="M1035" s="139">
        <f>ROUND($K1035*D1035/100,0)</f>
        <v>175355</v>
      </c>
      <c r="S1035" s="145">
        <f>K1035-'Order(Exhibit B)'!K1035</f>
        <v>8.7000000000001521E-3</v>
      </c>
      <c r="T1035" s="115">
        <f>M1035-'Order(Exhibit B)'!M1035</f>
        <v>499</v>
      </c>
    </row>
    <row r="1036" spans="1:20">
      <c r="A1036" s="136" t="s">
        <v>183</v>
      </c>
      <c r="C1036" s="135">
        <v>2678400</v>
      </c>
      <c r="D1036" s="135">
        <f t="shared" si="246"/>
        <v>3863990</v>
      </c>
      <c r="E1036" s="135"/>
      <c r="F1036" s="193">
        <v>5.1577000000000002</v>
      </c>
      <c r="G1036" s="163" t="s">
        <v>112</v>
      </c>
      <c r="H1036" s="139">
        <f t="shared" si="245"/>
        <v>138144</v>
      </c>
      <c r="I1036" s="139">
        <f t="shared" si="245"/>
        <v>199293</v>
      </c>
      <c r="J1036" s="135"/>
      <c r="K1036" s="193">
        <f>K$970</f>
        <v>5.3215000000000003</v>
      </c>
      <c r="L1036" s="163" t="s">
        <v>112</v>
      </c>
      <c r="M1036" s="139">
        <f>ROUND($K1036*D1036/100,0)</f>
        <v>205622</v>
      </c>
      <c r="S1036" s="145">
        <f>K1036-'Order(Exhibit B)'!K1036</f>
        <v>1.5100000000000335E-2</v>
      </c>
      <c r="T1036" s="115">
        <f>M1036-'Order(Exhibit B)'!M1036</f>
        <v>583</v>
      </c>
    </row>
    <row r="1037" spans="1:20">
      <c r="A1037" s="136" t="s">
        <v>185</v>
      </c>
      <c r="C1037" s="135">
        <v>10783200</v>
      </c>
      <c r="D1037" s="135">
        <f t="shared" si="246"/>
        <v>15556369</v>
      </c>
      <c r="E1037" s="135"/>
      <c r="F1037" s="193">
        <v>2.6215999999999999</v>
      </c>
      <c r="G1037" s="163" t="s">
        <v>112</v>
      </c>
      <c r="H1037" s="139">
        <f t="shared" si="245"/>
        <v>282692</v>
      </c>
      <c r="I1037" s="139">
        <f t="shared" si="245"/>
        <v>407826</v>
      </c>
      <c r="J1037" s="135"/>
      <c r="K1037" s="193">
        <f>K$971</f>
        <v>2.7065000000000001</v>
      </c>
      <c r="L1037" s="163" t="s">
        <v>112</v>
      </c>
      <c r="M1037" s="139">
        <f>ROUND($K1037*D1037/100,0)</f>
        <v>421033</v>
      </c>
      <c r="S1037" s="145">
        <f>K1037-'Order(Exhibit B)'!K1037</f>
        <v>9.300000000000086E-3</v>
      </c>
      <c r="T1037" s="115">
        <f>M1037-'Order(Exhibit B)'!M1037</f>
        <v>1447</v>
      </c>
    </row>
    <row r="1038" spans="1:20">
      <c r="A1038" s="136" t="s">
        <v>150</v>
      </c>
      <c r="C1038" s="135">
        <v>25226</v>
      </c>
      <c r="D1038" s="135">
        <f>ROUND($C1038*D$1049/$C$1049,0)</f>
        <v>36117</v>
      </c>
      <c r="E1038" s="135"/>
      <c r="F1038" s="190">
        <v>-1.1299999999999999</v>
      </c>
      <c r="G1038" s="190"/>
      <c r="H1038" s="139">
        <f>ROUND($F1038*C1038,0)</f>
        <v>-28505</v>
      </c>
      <c r="I1038" s="139">
        <f>ROUND($F1038*D1038,0)</f>
        <v>-40812</v>
      </c>
      <c r="J1038" s="135"/>
      <c r="K1038" s="190">
        <f>K$972</f>
        <v>-1.1299999999999999</v>
      </c>
      <c r="L1038" s="190"/>
      <c r="M1038" s="139">
        <f>ROUND($K1038*D1038,0)</f>
        <v>-40812</v>
      </c>
      <c r="S1038" s="145">
        <f>K1038-'Order(Exhibit B)'!K1038</f>
        <v>0</v>
      </c>
      <c r="T1038" s="115">
        <f>M1038-'Order(Exhibit B)'!M1038</f>
        <v>0</v>
      </c>
    </row>
    <row r="1039" spans="1:20">
      <c r="A1039" s="133" t="s">
        <v>472</v>
      </c>
      <c r="C1039" s="135"/>
      <c r="D1039" s="135"/>
      <c r="E1039" s="135"/>
      <c r="F1039" s="190"/>
      <c r="G1039" s="190"/>
      <c r="H1039" s="139"/>
      <c r="I1039" s="139"/>
      <c r="J1039" s="135"/>
      <c r="K1039" s="190"/>
      <c r="L1039" s="190"/>
      <c r="M1039" s="139"/>
      <c r="S1039" s="145">
        <f>K1039-'Order(Exhibit B)'!K1039</f>
        <v>0</v>
      </c>
      <c r="T1039" s="115">
        <f>M1039-'Order(Exhibit B)'!M1039</f>
        <v>0</v>
      </c>
    </row>
    <row r="1040" spans="1:20">
      <c r="A1040" s="136" t="s">
        <v>144</v>
      </c>
      <c r="C1040" s="135">
        <v>254859</v>
      </c>
      <c r="D1040" s="135">
        <f>ROUND($C1040*D$1049/$C$1049,0)</f>
        <v>364890</v>
      </c>
      <c r="E1040" s="135"/>
      <c r="F1040" s="190">
        <v>2.2799999999999998</v>
      </c>
      <c r="G1040" s="190"/>
      <c r="H1040" s="139">
        <f t="shared" ref="H1040:I1042" si="247">ROUND($F1040*C1040,0)</f>
        <v>581079</v>
      </c>
      <c r="I1040" s="139">
        <f t="shared" si="247"/>
        <v>831949</v>
      </c>
      <c r="J1040" s="135"/>
      <c r="K1040" s="190">
        <f>K$974</f>
        <v>2.37</v>
      </c>
      <c r="L1040" s="190"/>
      <c r="M1040" s="139">
        <f>ROUND($K1040*D1040,0)</f>
        <v>864789</v>
      </c>
      <c r="S1040" s="145">
        <f>K1040-'Order(Exhibit B)'!K1040</f>
        <v>0</v>
      </c>
      <c r="T1040" s="115">
        <f>M1040-'Order(Exhibit B)'!M1040</f>
        <v>0</v>
      </c>
    </row>
    <row r="1041" spans="1:20">
      <c r="A1041" s="136" t="s">
        <v>180</v>
      </c>
      <c r="C1041" s="135">
        <v>82644</v>
      </c>
      <c r="D1041" s="135">
        <f>ROUND($C1041*D$1049/$C$1049,0)</f>
        <v>118324</v>
      </c>
      <c r="E1041" s="135"/>
      <c r="F1041" s="190">
        <v>14.33</v>
      </c>
      <c r="G1041" s="190"/>
      <c r="H1041" s="139">
        <f t="shared" si="247"/>
        <v>1184289</v>
      </c>
      <c r="I1041" s="139">
        <f t="shared" si="247"/>
        <v>1695583</v>
      </c>
      <c r="J1041" s="135"/>
      <c r="K1041" s="190">
        <f>K$975</f>
        <v>14.92</v>
      </c>
      <c r="L1041" s="190"/>
      <c r="M1041" s="139">
        <f>ROUND($K1041*D1041,0)</f>
        <v>1765394</v>
      </c>
      <c r="S1041" s="145">
        <f>K1041-'Order(Exhibit B)'!K1041</f>
        <v>5.0000000000000711E-2</v>
      </c>
      <c r="T1041" s="115">
        <f>M1041-'Order(Exhibit B)'!M1041</f>
        <v>5916</v>
      </c>
    </row>
    <row r="1042" spans="1:20">
      <c r="A1042" s="136" t="s">
        <v>181</v>
      </c>
      <c r="C1042" s="135">
        <v>162323</v>
      </c>
      <c r="D1042" s="135">
        <f>ROUND($C1042*D$1049/$C$1049,0)</f>
        <v>232403</v>
      </c>
      <c r="E1042" s="135"/>
      <c r="F1042" s="190">
        <v>12.68</v>
      </c>
      <c r="G1042" s="190"/>
      <c r="H1042" s="139">
        <f t="shared" si="247"/>
        <v>2058256</v>
      </c>
      <c r="I1042" s="139">
        <f t="shared" si="247"/>
        <v>2946870</v>
      </c>
      <c r="J1042" s="135"/>
      <c r="K1042" s="190">
        <f>K$976</f>
        <v>13.21</v>
      </c>
      <c r="L1042" s="190"/>
      <c r="M1042" s="139">
        <f>ROUND($K1042*D1042,0)</f>
        <v>3070044</v>
      </c>
      <c r="S1042" s="145">
        <f>K1042-'Order(Exhibit B)'!K1042</f>
        <v>5.0000000000000711E-2</v>
      </c>
      <c r="T1042" s="115">
        <f>M1042-'Order(Exhibit B)'!M1042</f>
        <v>11621</v>
      </c>
    </row>
    <row r="1043" spans="1:20">
      <c r="A1043" s="136" t="s">
        <v>111</v>
      </c>
      <c r="C1043" s="135">
        <v>11219669</v>
      </c>
      <c r="D1043" s="135">
        <f>ROUND($C1043*D$1049/($C$1049-$C$1048),0)</f>
        <v>16186041</v>
      </c>
      <c r="E1043" s="135"/>
      <c r="F1043" s="198">
        <v>5.1477000000000004</v>
      </c>
      <c r="G1043" s="163" t="s">
        <v>112</v>
      </c>
      <c r="H1043" s="139">
        <f t="shared" ref="H1043:I1046" si="248">ROUND($F1043*C1043/100,0)</f>
        <v>577555</v>
      </c>
      <c r="I1043" s="139">
        <f t="shared" si="248"/>
        <v>833209</v>
      </c>
      <c r="J1043" s="135"/>
      <c r="K1043" s="198">
        <f>K$977</f>
        <v>5.3608000000000002</v>
      </c>
      <c r="L1043" s="163" t="s">
        <v>112</v>
      </c>
      <c r="M1043" s="139">
        <f>ROUND($K1043*D1043/100,0)</f>
        <v>867701</v>
      </c>
      <c r="S1043" s="145">
        <f>K1043-'Order(Exhibit B)'!K1043</f>
        <v>1.9400000000000084E-2</v>
      </c>
      <c r="T1043" s="115">
        <f>M1043-'Order(Exhibit B)'!M1043</f>
        <v>3140</v>
      </c>
    </row>
    <row r="1044" spans="1:20">
      <c r="A1044" s="136" t="s">
        <v>114</v>
      </c>
      <c r="C1044" s="135">
        <v>43430347</v>
      </c>
      <c r="D1044" s="135">
        <f t="shared" ref="D1044:D1046" si="249">ROUND($C1044*D$1049/($C$1049-$C$1048),0)</f>
        <v>62654732</v>
      </c>
      <c r="E1044" s="135"/>
      <c r="F1044" s="198">
        <v>2.6164999999999998</v>
      </c>
      <c r="G1044" s="163" t="s">
        <v>112</v>
      </c>
      <c r="H1044" s="139">
        <f t="shared" si="248"/>
        <v>1136355</v>
      </c>
      <c r="I1044" s="139">
        <f t="shared" si="248"/>
        <v>1639361</v>
      </c>
      <c r="J1044" s="135"/>
      <c r="K1044" s="198">
        <f>K$978</f>
        <v>2.7248000000000001</v>
      </c>
      <c r="L1044" s="163" t="s">
        <v>112</v>
      </c>
      <c r="M1044" s="139">
        <f>ROUND($K1044*D1044/100,0)</f>
        <v>1707216</v>
      </c>
      <c r="S1044" s="145">
        <f>K1044-'Order(Exhibit B)'!K1044</f>
        <v>9.9000000000000199E-3</v>
      </c>
      <c r="T1044" s="115">
        <f>M1044-'Order(Exhibit B)'!M1044</f>
        <v>6203</v>
      </c>
    </row>
    <row r="1045" spans="1:20">
      <c r="A1045" s="136" t="s">
        <v>183</v>
      </c>
      <c r="C1045" s="135">
        <v>21699000</v>
      </c>
      <c r="D1045" s="135">
        <f t="shared" si="249"/>
        <v>31304033</v>
      </c>
      <c r="E1045" s="135"/>
      <c r="F1045" s="198">
        <v>4.5555000000000003</v>
      </c>
      <c r="G1045" s="163" t="s">
        <v>112</v>
      </c>
      <c r="H1045" s="139">
        <f t="shared" si="248"/>
        <v>988498</v>
      </c>
      <c r="I1045" s="139">
        <f t="shared" si="248"/>
        <v>1426055</v>
      </c>
      <c r="J1045" s="135"/>
      <c r="K1045" s="198">
        <f>K$979</f>
        <v>4.7441000000000004</v>
      </c>
      <c r="L1045" s="163" t="s">
        <v>112</v>
      </c>
      <c r="M1045" s="139">
        <f>ROUND($K1045*D1045/100,0)</f>
        <v>1485095</v>
      </c>
      <c r="S1045" s="145">
        <f>K1045-'Order(Exhibit B)'!K1045</f>
        <v>1.720000000000077E-2</v>
      </c>
      <c r="T1045" s="115">
        <f>M1045-'Order(Exhibit B)'!M1045</f>
        <v>5385</v>
      </c>
    </row>
    <row r="1046" spans="1:20">
      <c r="A1046" s="136" t="s">
        <v>185</v>
      </c>
      <c r="C1046" s="135">
        <v>83667053</v>
      </c>
      <c r="D1046" s="135">
        <f t="shared" si="249"/>
        <v>120702163</v>
      </c>
      <c r="E1046" s="214"/>
      <c r="F1046" s="239">
        <v>2.3155000000000001</v>
      </c>
      <c r="G1046" s="163" t="s">
        <v>112</v>
      </c>
      <c r="H1046" s="217">
        <f t="shared" si="248"/>
        <v>1937311</v>
      </c>
      <c r="I1046" s="217">
        <f t="shared" si="248"/>
        <v>2794859</v>
      </c>
      <c r="J1046" s="214"/>
      <c r="K1046" s="239">
        <f>K$980</f>
        <v>2.4114</v>
      </c>
      <c r="L1046" s="163" t="s">
        <v>112</v>
      </c>
      <c r="M1046" s="217">
        <f>ROUND($K1046*D1046/100,0)</f>
        <v>2910612</v>
      </c>
      <c r="S1046" s="145">
        <f>K1046-'Order(Exhibit B)'!K1046</f>
        <v>8.799999999999919E-3</v>
      </c>
      <c r="T1046" s="115">
        <f>M1046-'Order(Exhibit B)'!M1046</f>
        <v>10622</v>
      </c>
    </row>
    <row r="1047" spans="1:20">
      <c r="A1047" s="136" t="s">
        <v>312</v>
      </c>
      <c r="C1047" s="135"/>
      <c r="D1047" s="135"/>
      <c r="E1047" s="135"/>
      <c r="F1047" s="198"/>
      <c r="G1047" s="163"/>
      <c r="H1047" s="139">
        <f>SUM(H1031:H1046)</f>
        <v>9534277</v>
      </c>
      <c r="I1047" s="139">
        <f>SUM(I1031:I1046)</f>
        <v>13707682</v>
      </c>
      <c r="J1047" s="135"/>
      <c r="K1047" s="198"/>
      <c r="L1047" s="163"/>
      <c r="M1047" s="139">
        <f>SUM(M1031:M1046)</f>
        <v>14260919</v>
      </c>
      <c r="S1047" s="145">
        <f>K1047-'Order(Exhibit B)'!K1047</f>
        <v>0</v>
      </c>
      <c r="T1047" s="115">
        <f>M1047-'Order(Exhibit B)'!M1047</f>
        <v>47589</v>
      </c>
    </row>
    <row r="1048" spans="1:20">
      <c r="A1048" s="172" t="s">
        <v>125</v>
      </c>
      <c r="B1048" s="173"/>
      <c r="C1048" s="135">
        <v>1360583</v>
      </c>
      <c r="D1048" s="135"/>
      <c r="E1048" s="135"/>
      <c r="F1048" s="174"/>
      <c r="G1048" s="13"/>
      <c r="H1048" s="139">
        <v>77340</v>
      </c>
      <c r="I1048" s="139"/>
      <c r="J1048" s="135"/>
      <c r="K1048" s="174"/>
      <c r="L1048" s="13"/>
      <c r="M1048" s="139"/>
      <c r="N1048" s="164"/>
      <c r="O1048" s="164"/>
      <c r="P1048" s="164"/>
      <c r="S1048" s="145">
        <f>K1048-'Order(Exhibit B)'!K1048</f>
        <v>0</v>
      </c>
      <c r="T1048" s="115">
        <f>M1048-'Order(Exhibit B)'!M1048</f>
        <v>0</v>
      </c>
    </row>
    <row r="1049" spans="1:20" ht="16.5" thickBot="1">
      <c r="A1049" s="176" t="s">
        <v>316</v>
      </c>
      <c r="B1049" s="177"/>
      <c r="C1049" s="178">
        <f>SUM(C1034:C1037,C1043:C1046,C1048)</f>
        <v>179791852</v>
      </c>
      <c r="D1049" s="178">
        <v>257413632.47723129</v>
      </c>
      <c r="E1049" s="178"/>
      <c r="F1049" s="177"/>
      <c r="G1049" s="177"/>
      <c r="H1049" s="179">
        <f>H1028+H1047+H1048</f>
        <v>10280926</v>
      </c>
      <c r="I1049" s="179">
        <f>I1028+I1047+I1048</f>
        <v>14652298</v>
      </c>
      <c r="J1049" s="178"/>
      <c r="K1049" s="177"/>
      <c r="L1049" s="177"/>
      <c r="M1049" s="179">
        <f>M1028+M1047+M1048</f>
        <v>15182637</v>
      </c>
      <c r="O1049" s="114" t="s">
        <v>108</v>
      </c>
      <c r="P1049" s="164">
        <f>M1049/I1049-1</f>
        <v>3.6194936794214705E-2</v>
      </c>
      <c r="S1049" s="145">
        <f>K1049-'Order(Exhibit B)'!K1049</f>
        <v>0</v>
      </c>
      <c r="T1049" s="115">
        <f>M1049-'Order(Exhibit B)'!M1049</f>
        <v>50753</v>
      </c>
    </row>
    <row r="1050" spans="1:20" ht="16.5" thickTop="1">
      <c r="S1050" s="145">
        <f>K1050-'Order(Exhibit B)'!K1050</f>
        <v>0</v>
      </c>
      <c r="T1050" s="115">
        <f>M1050-'Order(Exhibit B)'!M1050</f>
        <v>0</v>
      </c>
    </row>
    <row r="1051" spans="1:20">
      <c r="A1051" s="133" t="s">
        <v>491</v>
      </c>
      <c r="C1051" s="135"/>
      <c r="D1051" s="135"/>
      <c r="E1051" s="135"/>
      <c r="F1051" s="193"/>
      <c r="G1051" s="193"/>
      <c r="J1051" s="135"/>
      <c r="K1051" s="193"/>
      <c r="L1051" s="193"/>
      <c r="S1051" s="145">
        <f>K1051-'Order(Exhibit B)'!K1051</f>
        <v>0</v>
      </c>
      <c r="T1051" s="115">
        <f>M1051-'Order(Exhibit B)'!M1051</f>
        <v>0</v>
      </c>
    </row>
    <row r="1052" spans="1:20">
      <c r="A1052" s="235" t="s">
        <v>300</v>
      </c>
      <c r="C1052" s="135"/>
      <c r="D1052" s="135"/>
      <c r="E1052" s="135"/>
      <c r="J1052" s="135"/>
      <c r="S1052" s="145">
        <f>K1052-'Order(Exhibit B)'!K1052</f>
        <v>0</v>
      </c>
      <c r="T1052" s="115">
        <f>M1052-'Order(Exhibit B)'!M1052</f>
        <v>0</v>
      </c>
    </row>
    <row r="1053" spans="1:20">
      <c r="A1053" s="136" t="s">
        <v>301</v>
      </c>
      <c r="B1053" s="220"/>
      <c r="C1053" s="135">
        <v>0</v>
      </c>
      <c r="D1053" s="135"/>
      <c r="E1053" s="135"/>
      <c r="F1053" s="138">
        <v>137</v>
      </c>
      <c r="G1053" s="138"/>
      <c r="H1053" s="139">
        <f t="shared" ref="H1053:I1055" si="250">ROUND($F1053*C1053,0)</f>
        <v>0</v>
      </c>
      <c r="I1053" s="139">
        <f t="shared" si="250"/>
        <v>0</v>
      </c>
      <c r="J1053" s="135"/>
      <c r="K1053" s="138">
        <f>K$921</f>
        <v>139</v>
      </c>
      <c r="L1053" s="138"/>
      <c r="M1053" s="139">
        <f>ROUND($K1053*D1053,0)</f>
        <v>0</v>
      </c>
      <c r="S1053" s="145">
        <f>K1053-'Order(Exhibit B)'!K1053</f>
        <v>0</v>
      </c>
      <c r="T1053" s="115">
        <f>M1053-'Order(Exhibit B)'!M1053</f>
        <v>0</v>
      </c>
    </row>
    <row r="1054" spans="1:20">
      <c r="A1054" s="136" t="s">
        <v>109</v>
      </c>
      <c r="C1054" s="135">
        <v>0</v>
      </c>
      <c r="D1054" s="135"/>
      <c r="E1054" s="135"/>
      <c r="F1054" s="138">
        <v>-0.5</v>
      </c>
      <c r="G1054" s="138"/>
      <c r="H1054" s="139">
        <f t="shared" si="250"/>
        <v>0</v>
      </c>
      <c r="I1054" s="139">
        <f t="shared" si="250"/>
        <v>0</v>
      </c>
      <c r="J1054" s="135"/>
      <c r="K1054" s="138">
        <f>K$922</f>
        <v>-0.5</v>
      </c>
      <c r="L1054" s="138"/>
      <c r="M1054" s="139">
        <f>ROUND($K1054*D1054,0)</f>
        <v>0</v>
      </c>
      <c r="S1054" s="145">
        <f>K1054-'Order(Exhibit B)'!K1054</f>
        <v>0</v>
      </c>
      <c r="T1054" s="115">
        <f>M1054-'Order(Exhibit B)'!M1054</f>
        <v>0</v>
      </c>
    </row>
    <row r="1055" spans="1:20">
      <c r="A1055" s="136" t="s">
        <v>303</v>
      </c>
      <c r="B1055" s="220"/>
      <c r="C1055" s="135">
        <v>0</v>
      </c>
      <c r="D1055" s="135"/>
      <c r="E1055" s="135"/>
      <c r="F1055" s="138">
        <v>5.75</v>
      </c>
      <c r="G1055" s="138"/>
      <c r="H1055" s="139">
        <f t="shared" si="250"/>
        <v>0</v>
      </c>
      <c r="I1055" s="139">
        <f t="shared" si="250"/>
        <v>0</v>
      </c>
      <c r="J1055" s="135"/>
      <c r="K1055" s="138">
        <f>K$923</f>
        <v>5.94</v>
      </c>
      <c r="L1055" s="138"/>
      <c r="M1055" s="139">
        <f>ROUND($K1055*D1055,0)</f>
        <v>0</v>
      </c>
      <c r="S1055" s="145">
        <f>K1055-'Order(Exhibit B)'!K1055</f>
        <v>2.0000000000000462E-2</v>
      </c>
      <c r="T1055" s="115">
        <f>M1055-'Order(Exhibit B)'!M1055</f>
        <v>0</v>
      </c>
    </row>
    <row r="1056" spans="1:20">
      <c r="A1056" s="136" t="s">
        <v>304</v>
      </c>
      <c r="B1056" s="220"/>
      <c r="C1056" s="135"/>
      <c r="D1056" s="135"/>
      <c r="E1056" s="135"/>
      <c r="F1056" s="190"/>
      <c r="G1056" s="190"/>
      <c r="H1056" s="139"/>
      <c r="I1056" s="139"/>
      <c r="J1056" s="135"/>
      <c r="K1056" s="190"/>
      <c r="L1056" s="190"/>
      <c r="M1056" s="139"/>
      <c r="S1056" s="145">
        <f>K1056-'Order(Exhibit B)'!K1056</f>
        <v>0</v>
      </c>
      <c r="T1056" s="115">
        <f>M1056-'Order(Exhibit B)'!M1056</f>
        <v>0</v>
      </c>
    </row>
    <row r="1057" spans="1:20">
      <c r="A1057" s="136" t="s">
        <v>305</v>
      </c>
      <c r="B1057" s="220"/>
      <c r="C1057" s="135"/>
      <c r="D1057" s="135"/>
      <c r="E1057" s="135"/>
      <c r="F1057" s="237"/>
      <c r="G1057" s="237"/>
      <c r="H1057" s="139"/>
      <c r="I1057" s="139"/>
      <c r="J1057" s="135"/>
      <c r="K1057" s="237"/>
      <c r="L1057" s="237"/>
      <c r="M1057" s="139"/>
      <c r="S1057" s="145">
        <f>K1057-'Order(Exhibit B)'!K1057</f>
        <v>0</v>
      </c>
      <c r="T1057" s="115">
        <f>M1057-'Order(Exhibit B)'!M1057</f>
        <v>0</v>
      </c>
    </row>
    <row r="1058" spans="1:20">
      <c r="A1058" s="136" t="s">
        <v>306</v>
      </c>
      <c r="B1058" s="220"/>
      <c r="C1058" s="135">
        <v>0</v>
      </c>
      <c r="D1058" s="135"/>
      <c r="E1058" s="135"/>
      <c r="F1058" s="237">
        <v>0.9</v>
      </c>
      <c r="G1058" s="237"/>
      <c r="H1058" s="139">
        <f>ROUND($F1058*C1058,0)</f>
        <v>0</v>
      </c>
      <c r="I1058" s="139">
        <f>ROUND($F1058*D1058,0)</f>
        <v>0</v>
      </c>
      <c r="J1058" s="135"/>
      <c r="K1058" s="237">
        <f>K$926</f>
        <v>0.73</v>
      </c>
      <c r="L1058" s="237"/>
      <c r="M1058" s="139">
        <f>ROUND($K1058*D1058,0)</f>
        <v>0</v>
      </c>
      <c r="S1058" s="145">
        <f>K1058-'Order(Exhibit B)'!K1058</f>
        <v>1.0000000000000009E-2</v>
      </c>
      <c r="T1058" s="115">
        <f>M1058-'Order(Exhibit B)'!M1058</f>
        <v>0</v>
      </c>
    </row>
    <row r="1059" spans="1:20">
      <c r="A1059" s="136" t="s">
        <v>307</v>
      </c>
      <c r="B1059" s="220"/>
      <c r="C1059" s="135">
        <v>0</v>
      </c>
      <c r="D1059" s="135"/>
      <c r="E1059" s="135"/>
      <c r="F1059" s="237">
        <v>0.8</v>
      </c>
      <c r="G1059" s="237"/>
      <c r="H1059" s="139">
        <f>ROUND($F1059*C1059,0)</f>
        <v>0</v>
      </c>
      <c r="I1059" s="139">
        <f>ROUND($F1059*D1059,0)</f>
        <v>0</v>
      </c>
      <c r="J1059" s="135"/>
      <c r="K1059" s="237">
        <f>K$927</f>
        <v>0.64</v>
      </c>
      <c r="L1059" s="237"/>
      <c r="M1059" s="139">
        <f>ROUND($K1059*D1059,0)</f>
        <v>0</v>
      </c>
      <c r="S1059" s="145">
        <f>K1059-'Order(Exhibit B)'!K1059</f>
        <v>0</v>
      </c>
      <c r="T1059" s="115">
        <f>M1059-'Order(Exhibit B)'!M1059</f>
        <v>0</v>
      </c>
    </row>
    <row r="1060" spans="1:20">
      <c r="A1060" s="136" t="s">
        <v>308</v>
      </c>
      <c r="B1060" s="220"/>
      <c r="C1060" s="135"/>
      <c r="D1060" s="135"/>
      <c r="E1060" s="135"/>
      <c r="F1060" s="238"/>
      <c r="G1060" s="238"/>
      <c r="H1060" s="139"/>
      <c r="I1060" s="139"/>
      <c r="J1060" s="135"/>
      <c r="K1060" s="238"/>
      <c r="L1060" s="238"/>
      <c r="M1060" s="139"/>
      <c r="S1060" s="145">
        <f>K1060-'Order(Exhibit B)'!K1060</f>
        <v>0</v>
      </c>
      <c r="T1060" s="115">
        <f>M1060-'Order(Exhibit B)'!M1060</f>
        <v>0</v>
      </c>
    </row>
    <row r="1061" spans="1:20">
      <c r="A1061" s="136" t="s">
        <v>306</v>
      </c>
      <c r="B1061" s="220"/>
      <c r="C1061" s="135">
        <v>0</v>
      </c>
      <c r="D1061" s="135"/>
      <c r="E1061" s="135"/>
      <c r="F1061" s="238">
        <v>0.45</v>
      </c>
      <c r="G1061" s="238"/>
      <c r="H1061" s="139">
        <f>ROUND($F1061*C1061,0)</f>
        <v>0</v>
      </c>
      <c r="I1061" s="139">
        <f>ROUND($F1061*D1061,0)</f>
        <v>0</v>
      </c>
      <c r="J1061" s="135"/>
      <c r="K1061" s="237">
        <f>K$929</f>
        <v>0.36499999999999999</v>
      </c>
      <c r="L1061" s="238"/>
      <c r="M1061" s="139">
        <f>ROUND($K1061*D1061,0)</f>
        <v>0</v>
      </c>
      <c r="S1061" s="145">
        <f>K1061-'Order(Exhibit B)'!K1061</f>
        <v>5.0000000000000044E-3</v>
      </c>
      <c r="T1061" s="115">
        <f>M1061-'Order(Exhibit B)'!M1061</f>
        <v>0</v>
      </c>
    </row>
    <row r="1062" spans="1:20">
      <c r="A1062" s="136" t="s">
        <v>307</v>
      </c>
      <c r="B1062" s="220"/>
      <c r="C1062" s="135">
        <v>0</v>
      </c>
      <c r="D1062" s="135"/>
      <c r="E1062" s="135"/>
      <c r="F1062" s="238">
        <v>0.4</v>
      </c>
      <c r="G1062" s="238"/>
      <c r="H1062" s="139">
        <f>ROUND($F1062*C1062,0)</f>
        <v>0</v>
      </c>
      <c r="I1062" s="139">
        <f>ROUND($F1062*D1062,0)</f>
        <v>0</v>
      </c>
      <c r="J1062" s="135"/>
      <c r="K1062" s="237">
        <f>K$930</f>
        <v>0.32</v>
      </c>
      <c r="L1062" s="238"/>
      <c r="M1062" s="139">
        <f>ROUND($K1062*D1062,0)</f>
        <v>0</v>
      </c>
      <c r="S1062" s="145">
        <f>K1062-'Order(Exhibit B)'!K1062</f>
        <v>0</v>
      </c>
      <c r="T1062" s="115">
        <f>M1062-'Order(Exhibit B)'!M1062</f>
        <v>0</v>
      </c>
    </row>
    <row r="1063" spans="1:20">
      <c r="A1063" s="136" t="s">
        <v>309</v>
      </c>
      <c r="B1063" s="220"/>
      <c r="C1063" s="135"/>
      <c r="D1063" s="135"/>
      <c r="E1063" s="135"/>
      <c r="F1063" s="138"/>
      <c r="G1063" s="138"/>
      <c r="H1063" s="139"/>
      <c r="I1063" s="139"/>
      <c r="J1063" s="135"/>
      <c r="K1063" s="138"/>
      <c r="L1063" s="138"/>
      <c r="M1063" s="139"/>
      <c r="S1063" s="145">
        <f>K1063-'Order(Exhibit B)'!K1063</f>
        <v>0</v>
      </c>
      <c r="T1063" s="115">
        <f>M1063-'Order(Exhibit B)'!M1063</f>
        <v>0</v>
      </c>
    </row>
    <row r="1064" spans="1:20">
      <c r="A1064" s="136" t="s">
        <v>306</v>
      </c>
      <c r="B1064" s="220"/>
      <c r="C1064" s="135">
        <v>0</v>
      </c>
      <c r="D1064" s="135"/>
      <c r="E1064" s="135"/>
      <c r="F1064" s="138">
        <v>41.89</v>
      </c>
      <c r="G1064" s="138"/>
      <c r="H1064" s="139">
        <f>ROUND($F1064*C1064,0)</f>
        <v>0</v>
      </c>
      <c r="I1064" s="139">
        <f>ROUND($F1064*D1064,0)</f>
        <v>0</v>
      </c>
      <c r="J1064" s="135"/>
      <c r="K1064" s="237">
        <f>K$932</f>
        <v>42.38</v>
      </c>
      <c r="L1064" s="138"/>
      <c r="M1064" s="139">
        <f>ROUND($K1064*D1064,0)</f>
        <v>0</v>
      </c>
      <c r="S1064" s="145">
        <f>K1064-'Order(Exhibit B)'!K1064</f>
        <v>0.12000000000000455</v>
      </c>
      <c r="T1064" s="115">
        <f>M1064-'Order(Exhibit B)'!M1064</f>
        <v>0</v>
      </c>
    </row>
    <row r="1065" spans="1:20">
      <c r="A1065" s="136" t="s">
        <v>307</v>
      </c>
      <c r="B1065" s="220"/>
      <c r="C1065" s="135">
        <v>0</v>
      </c>
      <c r="D1065" s="135"/>
      <c r="E1065" s="135"/>
      <c r="F1065" s="138">
        <v>37.07</v>
      </c>
      <c r="G1065" s="138"/>
      <c r="H1065" s="139">
        <f>ROUND($F1065*C1065,0)</f>
        <v>0</v>
      </c>
      <c r="I1065" s="139">
        <f>ROUND($F1065*D1065,0)</f>
        <v>0</v>
      </c>
      <c r="J1065" s="135"/>
      <c r="K1065" s="237">
        <f>K$933</f>
        <v>38.64</v>
      </c>
      <c r="L1065" s="138"/>
      <c r="M1065" s="139">
        <f>ROUND($K1065*D1065,0)</f>
        <v>0</v>
      </c>
      <c r="S1065" s="145">
        <f>K1065-'Order(Exhibit B)'!K1065</f>
        <v>0.10000000000000142</v>
      </c>
      <c r="T1065" s="115">
        <f>M1065-'Order(Exhibit B)'!M1065</f>
        <v>0</v>
      </c>
    </row>
    <row r="1066" spans="1:20">
      <c r="A1066" s="235" t="s">
        <v>310</v>
      </c>
      <c r="C1066" s="135"/>
      <c r="D1066" s="135"/>
      <c r="E1066" s="135"/>
      <c r="J1066" s="135"/>
      <c r="S1066" s="145">
        <f>K1066-'Order(Exhibit B)'!K1066</f>
        <v>0</v>
      </c>
      <c r="T1066" s="115">
        <f>M1066-'Order(Exhibit B)'!M1066</f>
        <v>0</v>
      </c>
    </row>
    <row r="1067" spans="1:20">
      <c r="A1067" s="136" t="s">
        <v>301</v>
      </c>
      <c r="C1067" s="135">
        <v>0</v>
      </c>
      <c r="D1067" s="135"/>
      <c r="E1067" s="135"/>
      <c r="F1067" s="138">
        <v>621</v>
      </c>
      <c r="G1067" s="138"/>
      <c r="H1067" s="139">
        <f t="shared" ref="H1067:I1069" si="251">ROUND($F1067*C1067,0)</f>
        <v>0</v>
      </c>
      <c r="I1067" s="139">
        <f t="shared" si="251"/>
        <v>0</v>
      </c>
      <c r="J1067" s="135"/>
      <c r="K1067" s="138">
        <f>K$935</f>
        <v>623</v>
      </c>
      <c r="L1067" s="138"/>
      <c r="M1067" s="139">
        <f>ROUND($K1067*D1067,0)</f>
        <v>0</v>
      </c>
      <c r="S1067" s="145">
        <f>K1067-'Order(Exhibit B)'!K1067</f>
        <v>0</v>
      </c>
      <c r="T1067" s="115">
        <f>M1067-'Order(Exhibit B)'!M1067</f>
        <v>0</v>
      </c>
    </row>
    <row r="1068" spans="1:20">
      <c r="A1068" s="136" t="s">
        <v>109</v>
      </c>
      <c r="C1068" s="135">
        <v>0</v>
      </c>
      <c r="D1068" s="135"/>
      <c r="E1068" s="135"/>
      <c r="F1068" s="138">
        <v>-0.5</v>
      </c>
      <c r="G1068" s="138"/>
      <c r="H1068" s="139">
        <f t="shared" si="251"/>
        <v>0</v>
      </c>
      <c r="I1068" s="139">
        <f t="shared" si="251"/>
        <v>0</v>
      </c>
      <c r="J1068" s="135"/>
      <c r="K1068" s="138">
        <f>K$936</f>
        <v>-0.5</v>
      </c>
      <c r="L1068" s="138"/>
      <c r="M1068" s="139">
        <f>ROUND($K1068*D1068,0)</f>
        <v>0</v>
      </c>
      <c r="S1068" s="145">
        <f>K1068-'Order(Exhibit B)'!K1068</f>
        <v>0</v>
      </c>
      <c r="T1068" s="115">
        <f>M1068-'Order(Exhibit B)'!M1068</f>
        <v>0</v>
      </c>
    </row>
    <row r="1069" spans="1:20">
      <c r="A1069" s="136" t="s">
        <v>303</v>
      </c>
      <c r="C1069" s="135">
        <v>0</v>
      </c>
      <c r="D1069" s="135"/>
      <c r="E1069" s="135"/>
      <c r="F1069" s="138">
        <v>4.58</v>
      </c>
      <c r="G1069" s="138"/>
      <c r="H1069" s="139">
        <f t="shared" si="251"/>
        <v>0</v>
      </c>
      <c r="I1069" s="139">
        <f t="shared" si="251"/>
        <v>0</v>
      </c>
      <c r="J1069" s="135"/>
      <c r="K1069" s="138">
        <f>K$937</f>
        <v>4.7300000000000004</v>
      </c>
      <c r="L1069" s="138"/>
      <c r="M1069" s="139">
        <f>ROUND($K1069*D1069,0)</f>
        <v>0</v>
      </c>
      <c r="S1069" s="145">
        <f>K1069-'Order(Exhibit B)'!K1069</f>
        <v>2.0000000000000462E-2</v>
      </c>
      <c r="T1069" s="115">
        <f>M1069-'Order(Exhibit B)'!M1069</f>
        <v>0</v>
      </c>
    </row>
    <row r="1070" spans="1:20">
      <c r="A1070" s="136" t="s">
        <v>304</v>
      </c>
      <c r="C1070" s="135"/>
      <c r="D1070" s="135"/>
      <c r="E1070" s="135"/>
      <c r="F1070" s="138"/>
      <c r="G1070" s="138"/>
      <c r="H1070" s="139"/>
      <c r="I1070" s="139"/>
      <c r="J1070" s="135"/>
      <c r="K1070" s="138"/>
      <c r="L1070" s="138"/>
      <c r="M1070" s="139"/>
      <c r="S1070" s="145">
        <f>K1070-'Order(Exhibit B)'!K1070</f>
        <v>0</v>
      </c>
      <c r="T1070" s="115">
        <f>M1070-'Order(Exhibit B)'!M1070</f>
        <v>0</v>
      </c>
    </row>
    <row r="1071" spans="1:20">
      <c r="A1071" s="136" t="s">
        <v>305</v>
      </c>
      <c r="C1071" s="135"/>
      <c r="D1071" s="135"/>
      <c r="E1071" s="135"/>
      <c r="F1071" s="237"/>
      <c r="G1071" s="237"/>
      <c r="H1071" s="139"/>
      <c r="I1071" s="139"/>
      <c r="J1071" s="135"/>
      <c r="K1071" s="237"/>
      <c r="L1071" s="237"/>
      <c r="M1071" s="139"/>
      <c r="S1071" s="145">
        <f>K1071-'Order(Exhibit B)'!K1071</f>
        <v>0</v>
      </c>
      <c r="T1071" s="115">
        <f>M1071-'Order(Exhibit B)'!M1071</f>
        <v>0</v>
      </c>
    </row>
    <row r="1072" spans="1:20">
      <c r="A1072" s="136" t="s">
        <v>306</v>
      </c>
      <c r="B1072" s="220"/>
      <c r="C1072" s="135">
        <v>0</v>
      </c>
      <c r="D1072" s="135"/>
      <c r="E1072" s="135"/>
      <c r="F1072" s="237">
        <v>0.88</v>
      </c>
      <c r="G1072" s="237"/>
      <c r="H1072" s="139">
        <f>ROUND($F1072*C1072,0)</f>
        <v>0</v>
      </c>
      <c r="I1072" s="139">
        <f>ROUND($F1072*D1072,0)</f>
        <v>0</v>
      </c>
      <c r="J1072" s="135"/>
      <c r="K1072" s="237">
        <f>K$940</f>
        <v>0.73</v>
      </c>
      <c r="L1072" s="237"/>
      <c r="M1072" s="139">
        <f>ROUND($K1072*D1072,0)</f>
        <v>0</v>
      </c>
      <c r="S1072" s="145">
        <f>K1072-'Order(Exhibit B)'!K1072</f>
        <v>0</v>
      </c>
      <c r="T1072" s="115">
        <f>M1072-'Order(Exhibit B)'!M1072</f>
        <v>0</v>
      </c>
    </row>
    <row r="1073" spans="1:20">
      <c r="A1073" s="136" t="s">
        <v>307</v>
      </c>
      <c r="B1073" s="220"/>
      <c r="C1073" s="135">
        <v>0</v>
      </c>
      <c r="D1073" s="135"/>
      <c r="E1073" s="135"/>
      <c r="F1073" s="237">
        <v>0.78</v>
      </c>
      <c r="G1073" s="237"/>
      <c r="H1073" s="139">
        <f>ROUND($F1073*C1073,0)</f>
        <v>0</v>
      </c>
      <c r="I1073" s="139">
        <f>ROUND($F1073*D1073,0)</f>
        <v>0</v>
      </c>
      <c r="J1073" s="135"/>
      <c r="K1073" s="237">
        <f>K$941</f>
        <v>0.64</v>
      </c>
      <c r="L1073" s="237"/>
      <c r="M1073" s="139">
        <f>ROUND($K1073*D1073,0)</f>
        <v>0</v>
      </c>
      <c r="S1073" s="145">
        <f>K1073-'Order(Exhibit B)'!K1073</f>
        <v>0</v>
      </c>
      <c r="T1073" s="115">
        <f>M1073-'Order(Exhibit B)'!M1073</f>
        <v>0</v>
      </c>
    </row>
    <row r="1074" spans="1:20">
      <c r="A1074" s="136" t="s">
        <v>308</v>
      </c>
      <c r="C1074" s="135"/>
      <c r="D1074" s="135"/>
      <c r="E1074" s="135"/>
      <c r="F1074" s="238"/>
      <c r="G1074" s="238"/>
      <c r="H1074" s="139"/>
      <c r="I1074" s="139"/>
      <c r="J1074" s="135"/>
      <c r="K1074" s="238"/>
      <c r="L1074" s="238"/>
      <c r="M1074" s="139"/>
      <c r="S1074" s="145">
        <f>K1074-'Order(Exhibit B)'!K1074</f>
        <v>0</v>
      </c>
      <c r="T1074" s="115">
        <f>M1074-'Order(Exhibit B)'!M1074</f>
        <v>0</v>
      </c>
    </row>
    <row r="1075" spans="1:20">
      <c r="A1075" s="136" t="s">
        <v>306</v>
      </c>
      <c r="B1075" s="220"/>
      <c r="C1075" s="135">
        <v>0</v>
      </c>
      <c r="D1075" s="135"/>
      <c r="E1075" s="135"/>
      <c r="F1075" s="238">
        <v>0.44</v>
      </c>
      <c r="G1075" s="238"/>
      <c r="H1075" s="139">
        <f>ROUND($F1075*C1075,0)</f>
        <v>0</v>
      </c>
      <c r="I1075" s="139">
        <f>ROUND($F1075*D1075,0)</f>
        <v>0</v>
      </c>
      <c r="J1075" s="135"/>
      <c r="K1075" s="237">
        <f>K$943</f>
        <v>0.36499999999999999</v>
      </c>
      <c r="L1075" s="238"/>
      <c r="M1075" s="139">
        <f>ROUND($K1075*D1075,0)</f>
        <v>0</v>
      </c>
      <c r="S1075" s="145">
        <f>K1075-'Order(Exhibit B)'!K1075</f>
        <v>-5.0000000000000044E-3</v>
      </c>
      <c r="T1075" s="115">
        <f>M1075-'Order(Exhibit B)'!M1075</f>
        <v>0</v>
      </c>
    </row>
    <row r="1076" spans="1:20">
      <c r="A1076" s="136" t="s">
        <v>307</v>
      </c>
      <c r="B1076" s="220"/>
      <c r="C1076" s="135">
        <v>0</v>
      </c>
      <c r="D1076" s="135"/>
      <c r="E1076" s="135"/>
      <c r="F1076" s="238">
        <v>0.39</v>
      </c>
      <c r="G1076" s="238"/>
      <c r="H1076" s="139">
        <f>ROUND($F1076*C1076,0)</f>
        <v>0</v>
      </c>
      <c r="I1076" s="139">
        <f>ROUND($F1076*D1076,0)</f>
        <v>0</v>
      </c>
      <c r="J1076" s="135"/>
      <c r="K1076" s="237">
        <f>K$944</f>
        <v>0.32</v>
      </c>
      <c r="L1076" s="238"/>
      <c r="M1076" s="139">
        <f>ROUND($K1076*D1076,0)</f>
        <v>0</v>
      </c>
      <c r="S1076" s="145">
        <f>K1076-'Order(Exhibit B)'!K1076</f>
        <v>0</v>
      </c>
      <c r="T1076" s="115">
        <f>M1076-'Order(Exhibit B)'!M1076</f>
        <v>0</v>
      </c>
    </row>
    <row r="1077" spans="1:20">
      <c r="A1077" s="136" t="s">
        <v>309</v>
      </c>
      <c r="C1077" s="135"/>
      <c r="D1077" s="135"/>
      <c r="E1077" s="135"/>
      <c r="F1077" s="138"/>
      <c r="G1077" s="138"/>
      <c r="H1077" s="139"/>
      <c r="I1077" s="139"/>
      <c r="J1077" s="135"/>
      <c r="K1077" s="138"/>
      <c r="L1077" s="138"/>
      <c r="M1077" s="139"/>
      <c r="S1077" s="145">
        <f>K1077-'Order(Exhibit B)'!K1077</f>
        <v>0</v>
      </c>
      <c r="T1077" s="115">
        <f>M1077-'Order(Exhibit B)'!M1077</f>
        <v>0</v>
      </c>
    </row>
    <row r="1078" spans="1:20">
      <c r="A1078" s="136" t="s">
        <v>306</v>
      </c>
      <c r="B1078" s="220"/>
      <c r="C1078" s="135">
        <v>0</v>
      </c>
      <c r="D1078" s="135"/>
      <c r="E1078" s="135"/>
      <c r="F1078" s="138">
        <v>39.56</v>
      </c>
      <c r="G1078" s="138"/>
      <c r="H1078" s="139">
        <f>ROUND($F1078*C1078,0)</f>
        <v>0</v>
      </c>
      <c r="I1078" s="139">
        <f>ROUND($F1078*D1078,0)</f>
        <v>0</v>
      </c>
      <c r="J1078" s="135"/>
      <c r="K1078" s="237">
        <f>K$946</f>
        <v>40.119999999999997</v>
      </c>
      <c r="L1078" s="138"/>
      <c r="M1078" s="139">
        <f>ROUND($K1078*D1078,0)</f>
        <v>0</v>
      </c>
      <c r="S1078" s="145">
        <f>K1078-'Order(Exhibit B)'!K1078</f>
        <v>0.11999999999999744</v>
      </c>
      <c r="T1078" s="115">
        <f>M1078-'Order(Exhibit B)'!M1078</f>
        <v>0</v>
      </c>
    </row>
    <row r="1079" spans="1:20">
      <c r="A1079" s="136" t="s">
        <v>307</v>
      </c>
      <c r="B1079" s="220"/>
      <c r="C1079" s="135">
        <v>0</v>
      </c>
      <c r="D1079" s="135"/>
      <c r="E1079" s="135"/>
      <c r="F1079" s="138">
        <v>35.01</v>
      </c>
      <c r="G1079" s="138"/>
      <c r="H1079" s="139">
        <f>ROUND($F1079*C1079,0)</f>
        <v>0</v>
      </c>
      <c r="I1079" s="139">
        <f>ROUND($F1079*D1079,0)</f>
        <v>0</v>
      </c>
      <c r="J1079" s="135"/>
      <c r="K1079" s="237">
        <f>K$947</f>
        <v>36.380000000000003</v>
      </c>
      <c r="L1079" s="138"/>
      <c r="M1079" s="139">
        <f>ROUND($K1079*D1079,0)</f>
        <v>0</v>
      </c>
      <c r="S1079" s="145">
        <f>K1079-'Order(Exhibit B)'!K1079</f>
        <v>0.10000000000000142</v>
      </c>
      <c r="T1079" s="115">
        <f>M1079-'Order(Exhibit B)'!M1079</f>
        <v>0</v>
      </c>
    </row>
    <row r="1080" spans="1:20">
      <c r="A1080" s="235" t="s">
        <v>311</v>
      </c>
      <c r="C1080" s="135"/>
      <c r="D1080" s="135"/>
      <c r="E1080" s="135"/>
      <c r="J1080" s="135"/>
      <c r="S1080" s="145">
        <f>K1080-'Order(Exhibit B)'!K1080</f>
        <v>0</v>
      </c>
      <c r="T1080" s="115">
        <f>M1080-'Order(Exhibit B)'!M1080</f>
        <v>0</v>
      </c>
    </row>
    <row r="1081" spans="1:20">
      <c r="A1081" s="136" t="s">
        <v>301</v>
      </c>
      <c r="C1081" s="135">
        <v>36</v>
      </c>
      <c r="D1081" s="135">
        <v>36</v>
      </c>
      <c r="E1081" s="135"/>
      <c r="F1081" s="138">
        <v>696</v>
      </c>
      <c r="G1081" s="138"/>
      <c r="H1081" s="139">
        <f t="shared" ref="H1081:I1083" si="252">ROUND($F1081*C1081,0)</f>
        <v>25056</v>
      </c>
      <c r="I1081" s="139">
        <f t="shared" si="252"/>
        <v>25056</v>
      </c>
      <c r="J1081" s="135"/>
      <c r="K1081" s="138">
        <f>K$949</f>
        <v>829</v>
      </c>
      <c r="L1081" s="138"/>
      <c r="M1081" s="139">
        <f>ROUND($K1081*D1081,0)</f>
        <v>29844</v>
      </c>
      <c r="S1081" s="145">
        <f>K1081-'Order(Exhibit B)'!K1081</f>
        <v>0</v>
      </c>
      <c r="T1081" s="115">
        <f>M1081-'Order(Exhibit B)'!M1081</f>
        <v>0</v>
      </c>
    </row>
    <row r="1082" spans="1:20">
      <c r="A1082" s="136" t="s">
        <v>109</v>
      </c>
      <c r="C1082" s="135">
        <v>36</v>
      </c>
      <c r="D1082" s="135">
        <v>25.023355779832894</v>
      </c>
      <c r="E1082" s="135"/>
      <c r="F1082" s="138">
        <v>-0.5</v>
      </c>
      <c r="G1082" s="138"/>
      <c r="H1082" s="139">
        <f t="shared" si="252"/>
        <v>-18</v>
      </c>
      <c r="I1082" s="139">
        <f t="shared" si="252"/>
        <v>-13</v>
      </c>
      <c r="J1082" s="135"/>
      <c r="K1082" s="138">
        <f>K$950</f>
        <v>-0.5</v>
      </c>
      <c r="L1082" s="138"/>
      <c r="M1082" s="139">
        <f>ROUND($K1082*D1082,0)</f>
        <v>-13</v>
      </c>
      <c r="S1082" s="145">
        <f>K1082-'Order(Exhibit B)'!K1082</f>
        <v>0</v>
      </c>
      <c r="T1082" s="115">
        <f>M1082-'Order(Exhibit B)'!M1082</f>
        <v>0</v>
      </c>
    </row>
    <row r="1083" spans="1:20">
      <c r="A1083" s="136" t="s">
        <v>303</v>
      </c>
      <c r="C1083" s="135">
        <v>222000</v>
      </c>
      <c r="D1083" s="135">
        <f>ROUND($C1083*D$1115/$C$1115,0)</f>
        <v>115670</v>
      </c>
      <c r="E1083" s="135"/>
      <c r="F1083" s="138">
        <v>2.7</v>
      </c>
      <c r="G1083" s="138"/>
      <c r="H1083" s="139">
        <f t="shared" si="252"/>
        <v>599400</v>
      </c>
      <c r="I1083" s="139">
        <f t="shared" si="252"/>
        <v>312309</v>
      </c>
      <c r="J1083" s="135"/>
      <c r="K1083" s="138">
        <f>K$951</f>
        <v>2.92</v>
      </c>
      <c r="L1083" s="138"/>
      <c r="M1083" s="139">
        <f>ROUND($K1083*D1083,0)</f>
        <v>337756</v>
      </c>
      <c r="S1083" s="145">
        <f>K1083-'Order(Exhibit B)'!K1083</f>
        <v>2.0000000000000018E-2</v>
      </c>
      <c r="T1083" s="115">
        <f>M1083-'Order(Exhibit B)'!M1083</f>
        <v>2313</v>
      </c>
    </row>
    <row r="1084" spans="1:20">
      <c r="A1084" s="136" t="s">
        <v>304</v>
      </c>
      <c r="C1084" s="135"/>
      <c r="D1084" s="135"/>
      <c r="E1084" s="135"/>
      <c r="F1084" s="190"/>
      <c r="G1084" s="190"/>
      <c r="H1084" s="139"/>
      <c r="I1084" s="139"/>
      <c r="J1084" s="135"/>
      <c r="K1084" s="190"/>
      <c r="L1084" s="190"/>
      <c r="M1084" s="139"/>
      <c r="S1084" s="145">
        <f>K1084-'Order(Exhibit B)'!K1084</f>
        <v>0</v>
      </c>
      <c r="T1084" s="115">
        <f>M1084-'Order(Exhibit B)'!M1084</f>
        <v>0</v>
      </c>
    </row>
    <row r="1085" spans="1:20">
      <c r="A1085" s="136" t="s">
        <v>305</v>
      </c>
      <c r="C1085" s="135"/>
      <c r="D1085" s="135"/>
      <c r="E1085" s="135"/>
      <c r="F1085" s="237"/>
      <c r="G1085" s="237"/>
      <c r="H1085" s="139"/>
      <c r="I1085" s="139"/>
      <c r="J1085" s="135"/>
      <c r="K1085" s="237"/>
      <c r="L1085" s="237"/>
      <c r="M1085" s="139"/>
      <c r="S1085" s="145">
        <f>K1085-'Order(Exhibit B)'!K1085</f>
        <v>0</v>
      </c>
      <c r="T1085" s="115">
        <f>M1085-'Order(Exhibit B)'!M1085</f>
        <v>0</v>
      </c>
    </row>
    <row r="1086" spans="1:20">
      <c r="A1086" s="136" t="s">
        <v>306</v>
      </c>
      <c r="B1086" s="220"/>
      <c r="C1086" s="135">
        <v>1093951</v>
      </c>
      <c r="D1086" s="135">
        <f>ROUND($C1086*D$1115/$C$1115,0)</f>
        <v>569990</v>
      </c>
      <c r="E1086" s="135"/>
      <c r="F1086" s="237">
        <v>0.78</v>
      </c>
      <c r="G1086" s="237"/>
      <c r="H1086" s="139">
        <f>ROUND($F1086*C1086,0)</f>
        <v>853282</v>
      </c>
      <c r="I1086" s="139">
        <f>ROUND($F1086*D1086,0)</f>
        <v>444592</v>
      </c>
      <c r="J1086" s="135"/>
      <c r="K1086" s="237">
        <f>K$954</f>
        <v>0.68</v>
      </c>
      <c r="L1086" s="237"/>
      <c r="M1086" s="139">
        <f>ROUND($K1086*D1086,0)</f>
        <v>387593</v>
      </c>
      <c r="S1086" s="145">
        <f>K1086-'Order(Exhibit B)'!K1086</f>
        <v>0</v>
      </c>
      <c r="T1086" s="115">
        <f>M1086-'Order(Exhibit B)'!M1086</f>
        <v>0</v>
      </c>
    </row>
    <row r="1087" spans="1:20">
      <c r="A1087" s="136" t="s">
        <v>307</v>
      </c>
      <c r="B1087" s="220"/>
      <c r="C1087" s="135">
        <v>1476179</v>
      </c>
      <c r="D1087" s="135">
        <f>ROUND($C1087*D$1115/$C$1115,0)</f>
        <v>769146</v>
      </c>
      <c r="E1087" s="135"/>
      <c r="F1087" s="237">
        <v>0.69</v>
      </c>
      <c r="G1087" s="237"/>
      <c r="H1087" s="139">
        <f>ROUND($F1087*C1087,0)</f>
        <v>1018564</v>
      </c>
      <c r="I1087" s="139">
        <f>ROUND($F1087*D1087,0)</f>
        <v>530711</v>
      </c>
      <c r="J1087" s="135"/>
      <c r="K1087" s="237">
        <f>K$955</f>
        <v>0.6</v>
      </c>
      <c r="L1087" s="237"/>
      <c r="M1087" s="139">
        <f>ROUND($K1087*D1087,0)</f>
        <v>461488</v>
      </c>
      <c r="S1087" s="145">
        <f>K1087-'Order(Exhibit B)'!K1087</f>
        <v>0</v>
      </c>
      <c r="T1087" s="115">
        <f>M1087-'Order(Exhibit B)'!M1087</f>
        <v>0</v>
      </c>
    </row>
    <row r="1088" spans="1:20">
      <c r="A1088" s="136" t="s">
        <v>308</v>
      </c>
      <c r="C1088" s="135"/>
      <c r="D1088" s="135"/>
      <c r="E1088" s="135"/>
      <c r="F1088" s="238"/>
      <c r="G1088" s="238"/>
      <c r="H1088" s="139"/>
      <c r="I1088" s="139"/>
      <c r="J1088" s="135"/>
      <c r="K1088" s="238"/>
      <c r="L1088" s="238"/>
      <c r="M1088" s="139"/>
      <c r="S1088" s="145">
        <f>K1088-'Order(Exhibit B)'!K1088</f>
        <v>0</v>
      </c>
      <c r="T1088" s="115">
        <f>M1088-'Order(Exhibit B)'!M1088</f>
        <v>0</v>
      </c>
    </row>
    <row r="1089" spans="1:20">
      <c r="A1089" s="136" t="s">
        <v>306</v>
      </c>
      <c r="B1089" s="220"/>
      <c r="C1089" s="135">
        <v>0</v>
      </c>
      <c r="D1089" s="135">
        <f>ROUND($C1089*D$1115/$C$1115,0)</f>
        <v>0</v>
      </c>
      <c r="E1089" s="135"/>
      <c r="F1089" s="238">
        <v>0.39</v>
      </c>
      <c r="G1089" s="238"/>
      <c r="H1089" s="139">
        <f>ROUND($F1089*C1089,0)</f>
        <v>0</v>
      </c>
      <c r="I1089" s="139">
        <f>ROUND($F1089*D1089,0)</f>
        <v>0</v>
      </c>
      <c r="J1089" s="135"/>
      <c r="K1089" s="237">
        <f>K$957</f>
        <v>0.34</v>
      </c>
      <c r="L1089" s="238"/>
      <c r="M1089" s="139">
        <f>ROUND($K1089*D1089,0)</f>
        <v>0</v>
      </c>
      <c r="S1089" s="145">
        <f>K1089-'Order(Exhibit B)'!K1089</f>
        <v>0</v>
      </c>
      <c r="T1089" s="115">
        <f>M1089-'Order(Exhibit B)'!M1089</f>
        <v>0</v>
      </c>
    </row>
    <row r="1090" spans="1:20">
      <c r="A1090" s="136" t="s">
        <v>307</v>
      </c>
      <c r="B1090" s="220"/>
      <c r="C1090" s="135">
        <v>0</v>
      </c>
      <c r="D1090" s="135">
        <f>ROUND($C1090*D$1115/$C$1115,0)</f>
        <v>0</v>
      </c>
      <c r="E1090" s="135"/>
      <c r="F1090" s="238">
        <v>0.34499999999999997</v>
      </c>
      <c r="G1090" s="238"/>
      <c r="H1090" s="139">
        <f>ROUND($F1090*C1090,0)</f>
        <v>0</v>
      </c>
      <c r="I1090" s="139">
        <f>ROUND($F1090*D1090,0)</f>
        <v>0</v>
      </c>
      <c r="J1090" s="135"/>
      <c r="K1090" s="237">
        <f>K$958</f>
        <v>0.3</v>
      </c>
      <c r="L1090" s="238"/>
      <c r="M1090" s="139">
        <f>ROUND($K1090*D1090,0)</f>
        <v>0</v>
      </c>
      <c r="S1090" s="145">
        <f>K1090-'Order(Exhibit B)'!K1090</f>
        <v>0</v>
      </c>
      <c r="T1090" s="115">
        <f>M1090-'Order(Exhibit B)'!M1090</f>
        <v>0</v>
      </c>
    </row>
    <row r="1091" spans="1:20">
      <c r="A1091" s="136" t="s">
        <v>309</v>
      </c>
      <c r="C1091" s="135"/>
      <c r="D1091" s="135"/>
      <c r="E1091" s="135"/>
      <c r="F1091" s="138"/>
      <c r="G1091" s="138"/>
      <c r="H1091" s="139"/>
      <c r="I1091" s="139"/>
      <c r="J1091" s="135"/>
      <c r="K1091" s="138"/>
      <c r="L1091" s="138"/>
      <c r="M1091" s="139"/>
      <c r="S1091" s="145">
        <f>K1091-'Order(Exhibit B)'!K1091</f>
        <v>0</v>
      </c>
      <c r="T1091" s="115">
        <f>M1091-'Order(Exhibit B)'!M1091</f>
        <v>0</v>
      </c>
    </row>
    <row r="1092" spans="1:20">
      <c r="A1092" s="136" t="s">
        <v>306</v>
      </c>
      <c r="B1092" s="220"/>
      <c r="C1092" s="135">
        <v>20</v>
      </c>
      <c r="D1092" s="135">
        <f>ROUND($C1092*D$1115/$C$1115,0)</f>
        <v>10</v>
      </c>
      <c r="E1092" s="135"/>
      <c r="F1092" s="138">
        <v>33.21</v>
      </c>
      <c r="G1092" s="138"/>
      <c r="H1092" s="139">
        <f>ROUND($F1092*C1092,0)</f>
        <v>664</v>
      </c>
      <c r="I1092" s="139">
        <f>ROUND($F1092*D1092,0)</f>
        <v>332</v>
      </c>
      <c r="J1092" s="135"/>
      <c r="K1092" s="237">
        <f>K$960</f>
        <v>34.58</v>
      </c>
      <c r="L1092" s="138"/>
      <c r="M1092" s="139">
        <f>ROUND($K1092*D1092,0)</f>
        <v>346</v>
      </c>
      <c r="S1092" s="145">
        <f>K1092-'Order(Exhibit B)'!K1092</f>
        <v>0.10000000000000142</v>
      </c>
      <c r="T1092" s="115">
        <f>M1092-'Order(Exhibit B)'!M1092</f>
        <v>1</v>
      </c>
    </row>
    <row r="1093" spans="1:20">
      <c r="A1093" s="136" t="s">
        <v>307</v>
      </c>
      <c r="B1093" s="220"/>
      <c r="C1093" s="135">
        <v>48</v>
      </c>
      <c r="D1093" s="135">
        <f>ROUND($C1093*D$1115/$C$1115,0)</f>
        <v>25</v>
      </c>
      <c r="E1093" s="135"/>
      <c r="F1093" s="138">
        <v>29.39</v>
      </c>
      <c r="G1093" s="138"/>
      <c r="H1093" s="139">
        <f>ROUND($F1093*C1093,0)</f>
        <v>1411</v>
      </c>
      <c r="I1093" s="139">
        <f>ROUND($F1093*D1093,0)</f>
        <v>735</v>
      </c>
      <c r="J1093" s="135"/>
      <c r="K1093" s="237">
        <f>K$961</f>
        <v>31.16</v>
      </c>
      <c r="L1093" s="138"/>
      <c r="M1093" s="139">
        <f>ROUND($K1093*D1093,0)</f>
        <v>779</v>
      </c>
      <c r="S1093" s="145">
        <f>K1093-'Order(Exhibit B)'!K1093</f>
        <v>0.10000000000000142</v>
      </c>
      <c r="T1093" s="115">
        <f>M1093-'Order(Exhibit B)'!M1093</f>
        <v>2</v>
      </c>
    </row>
    <row r="1094" spans="1:20">
      <c r="A1094" s="136" t="s">
        <v>312</v>
      </c>
      <c r="C1094" s="230"/>
      <c r="D1094" s="230"/>
      <c r="E1094" s="137"/>
      <c r="F1094" s="193"/>
      <c r="G1094" s="193"/>
      <c r="H1094" s="228">
        <f>SUM(H1053:H1093)</f>
        <v>2498359</v>
      </c>
      <c r="I1094" s="228">
        <f>SUM(I1053:I1093)</f>
        <v>1313722</v>
      </c>
      <c r="J1094" s="137"/>
      <c r="K1094" s="193"/>
      <c r="L1094" s="193"/>
      <c r="M1094" s="228">
        <f>SUM(M1053:M1093)</f>
        <v>1217793</v>
      </c>
      <c r="S1094" s="145">
        <f>K1094-'Order(Exhibit B)'!K1094</f>
        <v>0</v>
      </c>
      <c r="T1094" s="115">
        <f>M1094-'Order(Exhibit B)'!M1094</f>
        <v>2316</v>
      </c>
    </row>
    <row r="1095" spans="1:20">
      <c r="A1095" s="235" t="s">
        <v>313</v>
      </c>
      <c r="S1095" s="145">
        <f>K1095-'Order(Exhibit B)'!K1095</f>
        <v>0</v>
      </c>
      <c r="T1095" s="115">
        <f>M1095-'Order(Exhibit B)'!M1095</f>
        <v>0</v>
      </c>
    </row>
    <row r="1096" spans="1:20">
      <c r="A1096" s="133" t="s">
        <v>317</v>
      </c>
      <c r="C1096" s="135"/>
      <c r="D1096" s="135"/>
      <c r="E1096" s="135"/>
      <c r="F1096" s="190"/>
      <c r="G1096" s="190"/>
      <c r="H1096" s="139"/>
      <c r="I1096" s="139"/>
      <c r="J1096" s="135"/>
      <c r="K1096" s="190"/>
      <c r="L1096" s="190"/>
      <c r="M1096" s="139"/>
      <c r="S1096" s="145">
        <f>K1096-'Order(Exhibit B)'!K1096</f>
        <v>0</v>
      </c>
      <c r="T1096" s="115">
        <f>M1096-'Order(Exhibit B)'!M1096</f>
        <v>0</v>
      </c>
    </row>
    <row r="1097" spans="1:20">
      <c r="A1097" s="136" t="s">
        <v>144</v>
      </c>
      <c r="C1097" s="135">
        <v>0</v>
      </c>
      <c r="D1097" s="135"/>
      <c r="E1097" s="135"/>
      <c r="F1097" s="190">
        <v>4.8099999999999996</v>
      </c>
      <c r="G1097" s="190"/>
      <c r="H1097" s="139">
        <f t="shared" ref="H1097:I1099" si="253">ROUND($F1097*C1097,0)</f>
        <v>0</v>
      </c>
      <c r="I1097" s="139">
        <f t="shared" si="253"/>
        <v>0</v>
      </c>
      <c r="J1097" s="135"/>
      <c r="K1097" s="190">
        <f>K$965</f>
        <v>4.96</v>
      </c>
      <c r="L1097" s="190"/>
      <c r="M1097" s="139">
        <f>ROUND($K1097*D1097,0)</f>
        <v>0</v>
      </c>
      <c r="S1097" s="145">
        <f>K1097-'Order(Exhibit B)'!K1097</f>
        <v>9.9999999999997868E-3</v>
      </c>
      <c r="T1097" s="115">
        <f>M1097-'Order(Exhibit B)'!M1097</f>
        <v>0</v>
      </c>
    </row>
    <row r="1098" spans="1:20">
      <c r="A1098" s="136" t="s">
        <v>180</v>
      </c>
      <c r="C1098" s="135">
        <v>0</v>
      </c>
      <c r="D1098" s="135"/>
      <c r="E1098" s="135"/>
      <c r="F1098" s="190">
        <v>15.73</v>
      </c>
      <c r="G1098" s="190"/>
      <c r="H1098" s="139">
        <f t="shared" si="253"/>
        <v>0</v>
      </c>
      <c r="I1098" s="139">
        <f t="shared" si="253"/>
        <v>0</v>
      </c>
      <c r="J1098" s="135"/>
      <c r="K1098" s="190">
        <f>K$966</f>
        <v>16.23</v>
      </c>
      <c r="L1098" s="190"/>
      <c r="M1098" s="139">
        <f>ROUND($K1098*D1098,0)</f>
        <v>0</v>
      </c>
      <c r="S1098" s="145">
        <f>K1098-'Order(Exhibit B)'!K1098</f>
        <v>5.0000000000000711E-2</v>
      </c>
      <c r="T1098" s="115">
        <f>M1098-'Order(Exhibit B)'!M1098</f>
        <v>0</v>
      </c>
    </row>
    <row r="1099" spans="1:20">
      <c r="A1099" s="136" t="s">
        <v>181</v>
      </c>
      <c r="C1099" s="135">
        <v>0</v>
      </c>
      <c r="D1099" s="135"/>
      <c r="E1099" s="135"/>
      <c r="F1099" s="190">
        <v>13.92</v>
      </c>
      <c r="G1099" s="190"/>
      <c r="H1099" s="139">
        <f t="shared" si="253"/>
        <v>0</v>
      </c>
      <c r="I1099" s="139">
        <f t="shared" si="253"/>
        <v>0</v>
      </c>
      <c r="J1099" s="135"/>
      <c r="K1099" s="190">
        <f>K$967</f>
        <v>14.36</v>
      </c>
      <c r="L1099" s="190"/>
      <c r="M1099" s="139">
        <f>ROUND($K1099*D1099,0)</f>
        <v>0</v>
      </c>
      <c r="S1099" s="145">
        <f>K1099-'Order(Exhibit B)'!K1099</f>
        <v>3.9999999999999147E-2</v>
      </c>
      <c r="T1099" s="115">
        <f>M1099-'Order(Exhibit B)'!M1099</f>
        <v>0</v>
      </c>
    </row>
    <row r="1100" spans="1:20">
      <c r="A1100" s="136" t="s">
        <v>111</v>
      </c>
      <c r="C1100" s="135">
        <v>0</v>
      </c>
      <c r="D1100" s="135"/>
      <c r="E1100" s="135"/>
      <c r="F1100" s="193">
        <v>5.8281999999999998</v>
      </c>
      <c r="G1100" s="163" t="s">
        <v>112</v>
      </c>
      <c r="H1100" s="139">
        <f t="shared" ref="H1100:I1103" si="254">ROUND($F1100*C1100/100,0)</f>
        <v>0</v>
      </c>
      <c r="I1100" s="139">
        <f t="shared" si="254"/>
        <v>0</v>
      </c>
      <c r="J1100" s="135"/>
      <c r="K1100" s="193">
        <f>K$968</f>
        <v>6.0133000000000001</v>
      </c>
      <c r="L1100" s="163" t="s">
        <v>112</v>
      </c>
      <c r="M1100" s="139">
        <f>ROUND($K1100*D1100/100,0)</f>
        <v>0</v>
      </c>
      <c r="S1100" s="145">
        <f>K1100-'Order(Exhibit B)'!K1100</f>
        <v>1.7000000000000348E-2</v>
      </c>
      <c r="T1100" s="115">
        <f>M1100-'Order(Exhibit B)'!M1100</f>
        <v>0</v>
      </c>
    </row>
    <row r="1101" spans="1:20">
      <c r="A1101" s="136" t="s">
        <v>114</v>
      </c>
      <c r="C1101" s="135">
        <v>0</v>
      </c>
      <c r="D1101" s="135"/>
      <c r="E1101" s="135"/>
      <c r="F1101" s="193">
        <v>2.9624000000000001</v>
      </c>
      <c r="G1101" s="163" t="s">
        <v>112</v>
      </c>
      <c r="H1101" s="139">
        <f t="shared" si="254"/>
        <v>0</v>
      </c>
      <c r="I1101" s="139">
        <f t="shared" si="254"/>
        <v>0</v>
      </c>
      <c r="J1101" s="135"/>
      <c r="K1101" s="193">
        <f>K$969</f>
        <v>3.0565000000000002</v>
      </c>
      <c r="L1101" s="163" t="s">
        <v>112</v>
      </c>
      <c r="M1101" s="139">
        <f>ROUND($K1101*D1101/100,0)</f>
        <v>0</v>
      </c>
      <c r="S1101" s="145">
        <f>K1101-'Order(Exhibit B)'!K1101</f>
        <v>8.7000000000001521E-3</v>
      </c>
      <c r="T1101" s="115">
        <f>M1101-'Order(Exhibit B)'!M1101</f>
        <v>0</v>
      </c>
    </row>
    <row r="1102" spans="1:20">
      <c r="A1102" s="136" t="s">
        <v>183</v>
      </c>
      <c r="C1102" s="135">
        <v>0</v>
      </c>
      <c r="D1102" s="135"/>
      <c r="E1102" s="135"/>
      <c r="F1102" s="193">
        <v>5.1577000000000002</v>
      </c>
      <c r="G1102" s="163" t="s">
        <v>112</v>
      </c>
      <c r="H1102" s="139">
        <f t="shared" si="254"/>
        <v>0</v>
      </c>
      <c r="I1102" s="139">
        <f t="shared" si="254"/>
        <v>0</v>
      </c>
      <c r="J1102" s="135"/>
      <c r="K1102" s="193">
        <f>K$970</f>
        <v>5.3215000000000003</v>
      </c>
      <c r="L1102" s="163" t="s">
        <v>112</v>
      </c>
      <c r="M1102" s="139">
        <f>ROUND($K1102*D1102/100,0)</f>
        <v>0</v>
      </c>
      <c r="S1102" s="145">
        <f>K1102-'Order(Exhibit B)'!K1102</f>
        <v>1.5100000000000335E-2</v>
      </c>
      <c r="T1102" s="115">
        <f>M1102-'Order(Exhibit B)'!M1102</f>
        <v>0</v>
      </c>
    </row>
    <row r="1103" spans="1:20">
      <c r="A1103" s="136" t="s">
        <v>185</v>
      </c>
      <c r="C1103" s="135">
        <v>0</v>
      </c>
      <c r="D1103" s="135"/>
      <c r="E1103" s="135"/>
      <c r="F1103" s="193">
        <v>2.6215999999999999</v>
      </c>
      <c r="G1103" s="163" t="s">
        <v>112</v>
      </c>
      <c r="H1103" s="139">
        <f t="shared" si="254"/>
        <v>0</v>
      </c>
      <c r="I1103" s="139">
        <f t="shared" si="254"/>
        <v>0</v>
      </c>
      <c r="J1103" s="135"/>
      <c r="K1103" s="193">
        <f>K$971</f>
        <v>2.7065000000000001</v>
      </c>
      <c r="L1103" s="163" t="s">
        <v>112</v>
      </c>
      <c r="M1103" s="139">
        <f>ROUND($K1103*D1103/100,0)</f>
        <v>0</v>
      </c>
      <c r="S1103" s="145">
        <f>K1103-'Order(Exhibit B)'!K1103</f>
        <v>9.300000000000086E-3</v>
      </c>
      <c r="T1103" s="115">
        <f>M1103-'Order(Exhibit B)'!M1103</f>
        <v>0</v>
      </c>
    </row>
    <row r="1104" spans="1:20">
      <c r="A1104" s="136" t="s">
        <v>150</v>
      </c>
      <c r="C1104" s="135">
        <v>0</v>
      </c>
      <c r="D1104" s="135"/>
      <c r="E1104" s="135"/>
      <c r="F1104" s="190">
        <v>-1.1299999999999999</v>
      </c>
      <c r="G1104" s="190"/>
      <c r="H1104" s="139">
        <f>ROUND($F1104*C1104,0)</f>
        <v>0</v>
      </c>
      <c r="I1104" s="139">
        <f>ROUND($F1104*D1104,0)</f>
        <v>0</v>
      </c>
      <c r="J1104" s="135"/>
      <c r="K1104" s="190">
        <f>K$972</f>
        <v>-1.1299999999999999</v>
      </c>
      <c r="L1104" s="190"/>
      <c r="M1104" s="139">
        <f>ROUND($K1104*D1104,0)</f>
        <v>0</v>
      </c>
      <c r="S1104" s="145">
        <f>K1104-'Order(Exhibit B)'!K1104</f>
        <v>0</v>
      </c>
      <c r="T1104" s="115">
        <f>M1104-'Order(Exhibit B)'!M1104</f>
        <v>0</v>
      </c>
    </row>
    <row r="1105" spans="1:20">
      <c r="A1105" s="133" t="s">
        <v>473</v>
      </c>
      <c r="C1105" s="135"/>
      <c r="D1105" s="135"/>
      <c r="E1105" s="135"/>
      <c r="F1105" s="190"/>
      <c r="G1105" s="190"/>
      <c r="H1105" s="139"/>
      <c r="I1105" s="139"/>
      <c r="J1105" s="135"/>
      <c r="K1105" s="190"/>
      <c r="L1105" s="190"/>
      <c r="M1105" s="139"/>
      <c r="S1105" s="145">
        <f>K1105-'Order(Exhibit B)'!K1105</f>
        <v>0</v>
      </c>
      <c r="T1105" s="115">
        <f>M1105-'Order(Exhibit B)'!M1105</f>
        <v>0</v>
      </c>
    </row>
    <row r="1106" spans="1:20">
      <c r="A1106" s="136" t="s">
        <v>144</v>
      </c>
      <c r="C1106" s="135">
        <v>89639</v>
      </c>
      <c r="D1106" s="135">
        <f>ROUND($C1106*D$1115/$C$1115,0)</f>
        <v>46705</v>
      </c>
      <c r="E1106" s="135"/>
      <c r="F1106" s="190">
        <v>2.2799999999999998</v>
      </c>
      <c r="G1106" s="190"/>
      <c r="H1106" s="139">
        <f t="shared" ref="H1106:I1108" si="255">ROUND($F1106*C1106,0)</f>
        <v>204377</v>
      </c>
      <c r="I1106" s="139">
        <f t="shared" si="255"/>
        <v>106487</v>
      </c>
      <c r="J1106" s="135"/>
      <c r="K1106" s="190">
        <f>K$974</f>
        <v>2.37</v>
      </c>
      <c r="L1106" s="190"/>
      <c r="M1106" s="139">
        <f>ROUND($K1106*D1106,0)</f>
        <v>110691</v>
      </c>
      <c r="S1106" s="145">
        <f>K1106-'Order(Exhibit B)'!K1106</f>
        <v>0</v>
      </c>
      <c r="T1106" s="115">
        <f>M1106-'Order(Exhibit B)'!M1106</f>
        <v>0</v>
      </c>
    </row>
    <row r="1107" spans="1:20">
      <c r="A1107" s="136" t="s">
        <v>180</v>
      </c>
      <c r="C1107" s="135">
        <v>27297</v>
      </c>
      <c r="D1107" s="135">
        <f>ROUND($C1107*D$1115/$C$1115,0)</f>
        <v>14223</v>
      </c>
      <c r="E1107" s="135"/>
      <c r="F1107" s="190">
        <v>14.33</v>
      </c>
      <c r="G1107" s="190"/>
      <c r="H1107" s="139">
        <f t="shared" si="255"/>
        <v>391166</v>
      </c>
      <c r="I1107" s="139">
        <f t="shared" si="255"/>
        <v>203816</v>
      </c>
      <c r="J1107" s="135"/>
      <c r="K1107" s="190">
        <f>K$975</f>
        <v>14.92</v>
      </c>
      <c r="L1107" s="190"/>
      <c r="M1107" s="139">
        <f>ROUND($K1107*D1107,0)</f>
        <v>212207</v>
      </c>
      <c r="S1107" s="145">
        <f>K1107-'Order(Exhibit B)'!K1107</f>
        <v>5.0000000000000711E-2</v>
      </c>
      <c r="T1107" s="115">
        <f>M1107-'Order(Exhibit B)'!M1107</f>
        <v>711</v>
      </c>
    </row>
    <row r="1108" spans="1:20">
      <c r="A1108" s="136" t="s">
        <v>181</v>
      </c>
      <c r="C1108" s="135">
        <v>61644</v>
      </c>
      <c r="D1108" s="135">
        <f>ROUND($C1108*D$1115/$C$1115,0)</f>
        <v>32119</v>
      </c>
      <c r="E1108" s="135"/>
      <c r="F1108" s="190">
        <v>12.68</v>
      </c>
      <c r="G1108" s="190"/>
      <c r="H1108" s="139">
        <f t="shared" si="255"/>
        <v>781646</v>
      </c>
      <c r="I1108" s="139">
        <f t="shared" si="255"/>
        <v>407269</v>
      </c>
      <c r="J1108" s="135"/>
      <c r="K1108" s="190">
        <f>K$976</f>
        <v>13.21</v>
      </c>
      <c r="L1108" s="190"/>
      <c r="M1108" s="139">
        <f>ROUND($K1108*D1108,0)</f>
        <v>424292</v>
      </c>
      <c r="S1108" s="145">
        <f>K1108-'Order(Exhibit B)'!K1108</f>
        <v>5.0000000000000711E-2</v>
      </c>
      <c r="T1108" s="115">
        <f>M1108-'Order(Exhibit B)'!M1108</f>
        <v>1606</v>
      </c>
    </row>
    <row r="1109" spans="1:20">
      <c r="A1109" s="136" t="s">
        <v>111</v>
      </c>
      <c r="C1109" s="135">
        <v>9735853</v>
      </c>
      <c r="D1109" s="135">
        <f>ROUND($C1109*D$1115/($C$1115-$C$1114),0)</f>
        <v>5073976</v>
      </c>
      <c r="E1109" s="135"/>
      <c r="F1109" s="198">
        <v>5.1477000000000004</v>
      </c>
      <c r="G1109" s="163" t="s">
        <v>112</v>
      </c>
      <c r="H1109" s="139">
        <f t="shared" ref="H1109:I1112" si="256">ROUND($F1109*C1109/100,0)</f>
        <v>501173</v>
      </c>
      <c r="I1109" s="139">
        <f t="shared" si="256"/>
        <v>261193</v>
      </c>
      <c r="J1109" s="135"/>
      <c r="K1109" s="198">
        <f>K$977</f>
        <v>5.3608000000000002</v>
      </c>
      <c r="L1109" s="163" t="s">
        <v>112</v>
      </c>
      <c r="M1109" s="139">
        <f>ROUND($K1109*D1109/100,0)</f>
        <v>272006</v>
      </c>
      <c r="S1109" s="145">
        <f>K1109-'Order(Exhibit B)'!K1109</f>
        <v>1.9400000000000084E-2</v>
      </c>
      <c r="T1109" s="115">
        <f>M1109-'Order(Exhibit B)'!M1109</f>
        <v>985</v>
      </c>
    </row>
    <row r="1110" spans="1:20">
      <c r="A1110" s="136" t="s">
        <v>114</v>
      </c>
      <c r="C1110" s="135">
        <v>36671832</v>
      </c>
      <c r="D1110" s="135">
        <f t="shared" ref="D1110:D1112" si="257">ROUND($C1110*D$1115/($C$1115-$C$1114),0)</f>
        <v>19112037</v>
      </c>
      <c r="E1110" s="135"/>
      <c r="F1110" s="198">
        <v>2.6164999999999998</v>
      </c>
      <c r="G1110" s="163" t="s">
        <v>112</v>
      </c>
      <c r="H1110" s="139">
        <f t="shared" si="256"/>
        <v>959518</v>
      </c>
      <c r="I1110" s="139">
        <f t="shared" si="256"/>
        <v>500066</v>
      </c>
      <c r="J1110" s="135"/>
      <c r="K1110" s="198">
        <f>K$978</f>
        <v>2.7248000000000001</v>
      </c>
      <c r="L1110" s="163" t="s">
        <v>112</v>
      </c>
      <c r="M1110" s="139">
        <f>ROUND($K1110*D1110/100,0)</f>
        <v>520765</v>
      </c>
      <c r="S1110" s="145">
        <f>K1110-'Order(Exhibit B)'!K1110</f>
        <v>9.9000000000000199E-3</v>
      </c>
      <c r="T1110" s="115">
        <f>M1110-'Order(Exhibit B)'!M1110</f>
        <v>1892</v>
      </c>
    </row>
    <row r="1111" spans="1:20">
      <c r="A1111" s="136" t="s">
        <v>183</v>
      </c>
      <c r="C1111" s="135">
        <v>15243649</v>
      </c>
      <c r="D1111" s="135">
        <f t="shared" si="257"/>
        <v>7944440</v>
      </c>
      <c r="E1111" s="135"/>
      <c r="F1111" s="198">
        <v>4.5555000000000003</v>
      </c>
      <c r="G1111" s="163" t="s">
        <v>112</v>
      </c>
      <c r="H1111" s="139">
        <f t="shared" si="256"/>
        <v>694424</v>
      </c>
      <c r="I1111" s="139">
        <f t="shared" si="256"/>
        <v>361909</v>
      </c>
      <c r="J1111" s="135"/>
      <c r="K1111" s="198">
        <f>K$979</f>
        <v>4.7441000000000004</v>
      </c>
      <c r="L1111" s="163" t="s">
        <v>112</v>
      </c>
      <c r="M1111" s="139">
        <f>ROUND($K1111*D1111/100,0)</f>
        <v>376892</v>
      </c>
      <c r="S1111" s="145">
        <f>K1111-'Order(Exhibit B)'!K1111</f>
        <v>1.720000000000077E-2</v>
      </c>
      <c r="T1111" s="115">
        <f>M1111-'Order(Exhibit B)'!M1111</f>
        <v>1366</v>
      </c>
    </row>
    <row r="1112" spans="1:20">
      <c r="A1112" s="136" t="s">
        <v>185</v>
      </c>
      <c r="C1112" s="135">
        <v>57149575</v>
      </c>
      <c r="D1112" s="214">
        <f t="shared" si="257"/>
        <v>29784298</v>
      </c>
      <c r="E1112" s="214"/>
      <c r="F1112" s="239">
        <v>2.3155000000000001</v>
      </c>
      <c r="G1112" s="163" t="s">
        <v>112</v>
      </c>
      <c r="H1112" s="217">
        <f t="shared" si="256"/>
        <v>1323298</v>
      </c>
      <c r="I1112" s="217">
        <f t="shared" si="256"/>
        <v>689655</v>
      </c>
      <c r="J1112" s="214"/>
      <c r="K1112" s="239">
        <f>K$980</f>
        <v>2.4114</v>
      </c>
      <c r="L1112" s="163" t="s">
        <v>112</v>
      </c>
      <c r="M1112" s="217">
        <f>ROUND($K1112*D1112/100,0)</f>
        <v>718219</v>
      </c>
      <c r="S1112" s="145">
        <f>K1112-'Order(Exhibit B)'!K1112</f>
        <v>8.799999999999919E-3</v>
      </c>
      <c r="T1112" s="115">
        <f>M1112-'Order(Exhibit B)'!M1112</f>
        <v>2621</v>
      </c>
    </row>
    <row r="1113" spans="1:20">
      <c r="A1113" s="136" t="s">
        <v>312</v>
      </c>
      <c r="C1113" s="135"/>
      <c r="D1113" s="135"/>
      <c r="E1113" s="135"/>
      <c r="F1113" s="198"/>
      <c r="G1113" s="163"/>
      <c r="H1113" s="139">
        <f>SUM(H1097:H1112)</f>
        <v>4855602</v>
      </c>
      <c r="I1113" s="139">
        <f>SUM(I1097:I1112)</f>
        <v>2530395</v>
      </c>
      <c r="J1113" s="135"/>
      <c r="K1113" s="198"/>
      <c r="L1113" s="163"/>
      <c r="M1113" s="139">
        <f>SUM(M1097:M1112)</f>
        <v>2635072</v>
      </c>
      <c r="S1113" s="145">
        <f>K1113-'Order(Exhibit B)'!K1113</f>
        <v>0</v>
      </c>
      <c r="T1113" s="115">
        <f>M1113-'Order(Exhibit B)'!M1113</f>
        <v>9181</v>
      </c>
    </row>
    <row r="1114" spans="1:20">
      <c r="A1114" s="172" t="s">
        <v>125</v>
      </c>
      <c r="B1114" s="173"/>
      <c r="C1114" s="135">
        <v>28679</v>
      </c>
      <c r="D1114" s="135"/>
      <c r="E1114" s="135"/>
      <c r="F1114" s="174"/>
      <c r="G1114" s="13"/>
      <c r="H1114" s="139">
        <v>16646</v>
      </c>
      <c r="I1114" s="139"/>
      <c r="J1114" s="135"/>
      <c r="K1114" s="174"/>
      <c r="L1114" s="13"/>
      <c r="M1114" s="139"/>
      <c r="N1114" s="164"/>
      <c r="O1114" s="164"/>
      <c r="P1114" s="164"/>
      <c r="S1114" s="145">
        <f>K1114-'Order(Exhibit B)'!K1114</f>
        <v>0</v>
      </c>
      <c r="T1114" s="115">
        <f>M1114-'Order(Exhibit B)'!M1114</f>
        <v>0</v>
      </c>
    </row>
    <row r="1115" spans="1:20" ht="16.5" thickBot="1">
      <c r="A1115" s="176" t="s">
        <v>316</v>
      </c>
      <c r="B1115" s="177"/>
      <c r="C1115" s="178">
        <f>SUM(C1100:C1103,C1109:C1112,C1114)</f>
        <v>118829588</v>
      </c>
      <c r="D1115" s="178">
        <v>61914751</v>
      </c>
      <c r="E1115" s="178"/>
      <c r="F1115" s="177"/>
      <c r="G1115" s="177"/>
      <c r="H1115" s="179">
        <f>H1094+H1113+H1114</f>
        <v>7370607</v>
      </c>
      <c r="I1115" s="179">
        <f>I1094+I1113+I1114</f>
        <v>3844117</v>
      </c>
      <c r="J1115" s="178"/>
      <c r="K1115" s="177"/>
      <c r="L1115" s="177"/>
      <c r="M1115" s="179">
        <f>M1094+M1113+M1114</f>
        <v>3852865</v>
      </c>
      <c r="O1115" s="114" t="s">
        <v>108</v>
      </c>
      <c r="P1115" s="164">
        <f>M1115/I1115-1</f>
        <v>2.2756851573455528E-3</v>
      </c>
      <c r="S1115" s="145">
        <f>K1115-'Order(Exhibit B)'!K1115</f>
        <v>0</v>
      </c>
      <c r="T1115" s="115">
        <f>M1115-'Order(Exhibit B)'!M1115</f>
        <v>11497</v>
      </c>
    </row>
    <row r="1116" spans="1:20" ht="16.5" thickTop="1">
      <c r="S1116" s="145">
        <f>K1116-'Order(Exhibit B)'!K1116</f>
        <v>0</v>
      </c>
      <c r="T1116" s="115">
        <f>M1116-'Order(Exhibit B)'!M1116</f>
        <v>0</v>
      </c>
    </row>
    <row r="1117" spans="1:20" ht="18.75">
      <c r="A1117" s="240" t="s">
        <v>318</v>
      </c>
      <c r="C1117" s="135"/>
      <c r="D1117" s="135"/>
      <c r="E1117" s="135"/>
      <c r="F1117" s="193"/>
      <c r="G1117" s="193"/>
      <c r="J1117" s="135"/>
      <c r="K1117" s="193"/>
      <c r="L1117" s="193"/>
      <c r="S1117" s="145">
        <f>K1117-'Order(Exhibit B)'!K1117</f>
        <v>0</v>
      </c>
      <c r="T1117" s="115">
        <f>M1117-'Order(Exhibit B)'!M1117</f>
        <v>0</v>
      </c>
    </row>
    <row r="1118" spans="1:20">
      <c r="A1118" s="172" t="s">
        <v>319</v>
      </c>
      <c r="C1118" s="135"/>
      <c r="D1118" s="135"/>
      <c r="E1118" s="135"/>
      <c r="J1118" s="135"/>
      <c r="S1118" s="145">
        <f>K1118-'Order(Exhibit B)'!K1118</f>
        <v>0</v>
      </c>
      <c r="T1118" s="115">
        <f>M1118-'Order(Exhibit B)'!M1118</f>
        <v>0</v>
      </c>
    </row>
    <row r="1119" spans="1:20">
      <c r="A1119" s="172" t="s">
        <v>320</v>
      </c>
      <c r="B1119" s="220"/>
      <c r="C1119" s="236"/>
      <c r="D1119" s="135"/>
      <c r="E1119" s="135"/>
      <c r="F1119" s="241">
        <v>55</v>
      </c>
      <c r="G1119" s="138"/>
      <c r="H1119" s="139">
        <f t="shared" ref="H1119:I1121" si="258">ROUND($F1119*C1119,0)</f>
        <v>0</v>
      </c>
      <c r="I1119" s="139">
        <f t="shared" si="258"/>
        <v>0</v>
      </c>
      <c r="J1119" s="135"/>
      <c r="K1119" s="138">
        <f>'Exhibit D(Sch31-32 Rate)'!F61</f>
        <v>57</v>
      </c>
      <c r="L1119" s="138"/>
      <c r="M1119" s="139">
        <f>ROUND($K1119*D1119,0)</f>
        <v>0</v>
      </c>
      <c r="O1119" s="132"/>
      <c r="P1119" s="236"/>
      <c r="S1119" s="145">
        <f>K1119-'Order(Exhibit B)'!K1119</f>
        <v>1</v>
      </c>
      <c r="T1119" s="115">
        <f>M1119-'Order(Exhibit B)'!M1119</f>
        <v>0</v>
      </c>
    </row>
    <row r="1120" spans="1:20">
      <c r="A1120" s="172" t="s">
        <v>321</v>
      </c>
      <c r="B1120" s="220"/>
      <c r="C1120" s="236"/>
      <c r="D1120" s="135"/>
      <c r="E1120" s="135"/>
      <c r="F1120" s="241">
        <v>72</v>
      </c>
      <c r="G1120" s="138"/>
      <c r="H1120" s="139">
        <f t="shared" si="258"/>
        <v>0</v>
      </c>
      <c r="I1120" s="139">
        <f t="shared" si="258"/>
        <v>0</v>
      </c>
      <c r="J1120" s="135"/>
      <c r="K1120" s="138">
        <f>'Exhibit D(Sch31-32 Rate)'!F62</f>
        <v>74</v>
      </c>
      <c r="L1120" s="138"/>
      <c r="M1120" s="139">
        <f>ROUND($K1120*D1120,0)</f>
        <v>0</v>
      </c>
      <c r="O1120" s="146" t="s">
        <v>101</v>
      </c>
      <c r="P1120" s="147">
        <f>M1162</f>
        <v>3855027</v>
      </c>
      <c r="S1120" s="145">
        <f>K1120-'Order(Exhibit B)'!K1120</f>
        <v>0</v>
      </c>
      <c r="T1120" s="115">
        <f>M1120-'Order(Exhibit B)'!M1120</f>
        <v>0</v>
      </c>
    </row>
    <row r="1121" spans="1:20">
      <c r="A1121" s="172" t="s">
        <v>322</v>
      </c>
      <c r="B1121" s="220"/>
      <c r="C1121" s="236">
        <v>36</v>
      </c>
      <c r="D1121" s="135">
        <v>36</v>
      </c>
      <c r="E1121" s="135"/>
      <c r="F1121" s="242">
        <v>266</v>
      </c>
      <c r="G1121" s="190"/>
      <c r="H1121" s="139">
        <f t="shared" si="258"/>
        <v>9576</v>
      </c>
      <c r="I1121" s="139">
        <f t="shared" si="258"/>
        <v>9576</v>
      </c>
      <c r="J1121" s="135"/>
      <c r="K1121" s="138">
        <f>'Exhibit D(Sch31-32 Rate)'!F63</f>
        <v>283</v>
      </c>
      <c r="L1121" s="190"/>
      <c r="M1121" s="139">
        <f>ROUND($K1121*D1121,0)</f>
        <v>10188</v>
      </c>
      <c r="O1121" s="149" t="s">
        <v>103</v>
      </c>
      <c r="P1121" s="150">
        <f>'Exhibit B(Rate Spread)'!M30*1000+M1148+M1149</f>
        <v>4138918.0601537926</v>
      </c>
      <c r="S1121" s="145">
        <f>K1121-'Order(Exhibit B)'!K1121</f>
        <v>1</v>
      </c>
      <c r="T1121" s="115">
        <f>M1121-'Order(Exhibit B)'!M1121</f>
        <v>36</v>
      </c>
    </row>
    <row r="1122" spans="1:20">
      <c r="A1122" s="172" t="s">
        <v>323</v>
      </c>
      <c r="B1122" s="220"/>
      <c r="C1122" s="236"/>
      <c r="D1122" s="135"/>
      <c r="E1122" s="135"/>
      <c r="F1122" s="241"/>
      <c r="G1122" s="237"/>
      <c r="H1122" s="139"/>
      <c r="I1122" s="139"/>
      <c r="J1122" s="135"/>
      <c r="K1122" s="241"/>
      <c r="L1122" s="237"/>
      <c r="M1122" s="139"/>
      <c r="O1122" s="152" t="s">
        <v>105</v>
      </c>
      <c r="P1122" s="153">
        <f>P1121-P1120</f>
        <v>283891.06015379261</v>
      </c>
      <c r="S1122" s="145">
        <f>K1122-'Order(Exhibit B)'!K1122</f>
        <v>0</v>
      </c>
      <c r="T1122" s="115">
        <f>M1122-'Order(Exhibit B)'!M1122</f>
        <v>0</v>
      </c>
    </row>
    <row r="1123" spans="1:20">
      <c r="A1123" s="172" t="s">
        <v>324</v>
      </c>
      <c r="B1123" s="220"/>
      <c r="C1123" s="236">
        <v>12</v>
      </c>
      <c r="D1123" s="135">
        <f>$C1123/$C$1121*D$1121</f>
        <v>12</v>
      </c>
      <c r="E1123" s="135"/>
      <c r="F1123" s="241">
        <v>113</v>
      </c>
      <c r="G1123" s="237"/>
      <c r="H1123" s="139">
        <f t="shared" ref="H1123:I1125" si="259">ROUND($F1123*C1123,0)</f>
        <v>1356</v>
      </c>
      <c r="I1123" s="139">
        <f t="shared" si="259"/>
        <v>1356</v>
      </c>
      <c r="J1123" s="135"/>
      <c r="K1123" s="138">
        <f>ROUND(F1123*(1+$P$512),0)</f>
        <v>118</v>
      </c>
      <c r="L1123" s="237"/>
      <c r="M1123" s="139">
        <f>ROUND($K1123*D1123,0)</f>
        <v>1416</v>
      </c>
      <c r="O1123" s="146" t="s">
        <v>108</v>
      </c>
      <c r="P1123" s="192">
        <f>P1120/I1162-1</f>
        <v>-2.4497467886453794E-2</v>
      </c>
      <c r="S1123" s="145">
        <f>K1123-'Order(Exhibit B)'!K1123</f>
        <v>0</v>
      </c>
      <c r="T1123" s="115">
        <f>M1123-'Order(Exhibit B)'!M1123</f>
        <v>0</v>
      </c>
    </row>
    <row r="1124" spans="1:20" s="243" customFormat="1">
      <c r="A1124" s="172" t="s">
        <v>325</v>
      </c>
      <c r="B1124" s="220"/>
      <c r="C1124" s="236">
        <v>36</v>
      </c>
      <c r="D1124" s="135">
        <f>$C1124/$C$1121*D$1121</f>
        <v>36</v>
      </c>
      <c r="E1124" s="135"/>
      <c r="F1124" s="241">
        <v>154</v>
      </c>
      <c r="G1124" s="237"/>
      <c r="H1124" s="139">
        <f t="shared" si="259"/>
        <v>5544</v>
      </c>
      <c r="I1124" s="139">
        <f t="shared" si="259"/>
        <v>5544</v>
      </c>
      <c r="J1124" s="135"/>
      <c r="K1124" s="138">
        <f>ROUND(F1124*(1+$P$512),0)</f>
        <v>161</v>
      </c>
      <c r="L1124" s="237"/>
      <c r="M1124" s="139">
        <f>ROUND($K1124*D1124,0)</f>
        <v>5796</v>
      </c>
      <c r="N1124" s="114"/>
      <c r="O1124" s="149" t="s">
        <v>110</v>
      </c>
      <c r="P1124" s="191">
        <f>P1121/I1162-1</f>
        <v>4.7340277484570592E-2</v>
      </c>
      <c r="Q1124" s="114"/>
      <c r="R1124" s="114"/>
      <c r="S1124" s="145">
        <f>K1124-'Order(Exhibit B)'!K1124</f>
        <v>0</v>
      </c>
      <c r="T1124" s="115">
        <f>M1124-'Order(Exhibit B)'!M1124</f>
        <v>0</v>
      </c>
    </row>
    <row r="1125" spans="1:20" s="243" customFormat="1">
      <c r="A1125" s="136" t="s">
        <v>109</v>
      </c>
      <c r="B1125" s="114"/>
      <c r="C1125" s="135"/>
      <c r="D1125" s="135">
        <v>25.023355779832894</v>
      </c>
      <c r="E1125" s="135"/>
      <c r="F1125" s="138">
        <v>-0.5</v>
      </c>
      <c r="G1125" s="138"/>
      <c r="H1125" s="139">
        <f t="shared" si="259"/>
        <v>0</v>
      </c>
      <c r="I1125" s="139">
        <f t="shared" si="259"/>
        <v>-13</v>
      </c>
      <c r="J1125" s="135"/>
      <c r="K1125" s="138">
        <f>F1125</f>
        <v>-0.5</v>
      </c>
      <c r="L1125" s="138"/>
      <c r="M1125" s="139">
        <f>ROUND($K1125*D1125,0)</f>
        <v>-13</v>
      </c>
      <c r="N1125" s="114"/>
      <c r="O1125" s="167"/>
      <c r="P1125" s="194"/>
      <c r="Q1125" s="114"/>
      <c r="R1125" s="114"/>
      <c r="S1125" s="145">
        <f>K1125-'Order(Exhibit B)'!K1125</f>
        <v>0</v>
      </c>
      <c r="T1125" s="115">
        <f>M1125-'Order(Exhibit B)'!M1125</f>
        <v>0</v>
      </c>
    </row>
    <row r="1126" spans="1:20" s="243" customFormat="1">
      <c r="A1126" s="172" t="s">
        <v>326</v>
      </c>
      <c r="B1126" s="220"/>
      <c r="C1126" s="236"/>
      <c r="D1126" s="135"/>
      <c r="E1126" s="135"/>
      <c r="F1126" s="242"/>
      <c r="G1126" s="238"/>
      <c r="H1126" s="139"/>
      <c r="I1126" s="139"/>
      <c r="J1126" s="135"/>
      <c r="K1126" s="242"/>
      <c r="L1126" s="238"/>
      <c r="M1126" s="139"/>
      <c r="N1126" s="114"/>
      <c r="O1126" s="114"/>
      <c r="P1126" s="114"/>
      <c r="Q1126" s="114"/>
      <c r="R1126" s="114"/>
      <c r="S1126" s="145">
        <f>K1126-'Order(Exhibit B)'!K1126</f>
        <v>0</v>
      </c>
      <c r="T1126" s="115">
        <f>M1126-'Order(Exhibit B)'!M1126</f>
        <v>0</v>
      </c>
    </row>
    <row r="1127" spans="1:20" s="243" customFormat="1">
      <c r="A1127" s="172" t="s">
        <v>327</v>
      </c>
      <c r="B1127" s="220"/>
      <c r="C1127" s="236"/>
      <c r="D1127" s="135"/>
      <c r="E1127" s="135"/>
      <c r="F1127" s="241">
        <v>7.52</v>
      </c>
      <c r="G1127" s="237"/>
      <c r="H1127" s="139">
        <f t="shared" ref="H1127:I1131" si="260">ROUND($F1127*C1127,0)</f>
        <v>0</v>
      </c>
      <c r="I1127" s="139">
        <f t="shared" si="260"/>
        <v>0</v>
      </c>
      <c r="J1127" s="135"/>
      <c r="K1127" s="138">
        <f>'Exhibit D(Sch31-32 Rate)'!J66</f>
        <v>8.69</v>
      </c>
      <c r="L1127" s="237"/>
      <c r="M1127" s="139">
        <f>ROUND($K1127*D1127,0)</f>
        <v>0</v>
      </c>
      <c r="N1127" s="114"/>
      <c r="O1127" s="114"/>
      <c r="P1127" s="114"/>
      <c r="Q1127" s="114"/>
      <c r="R1127" s="114"/>
      <c r="S1127" s="145">
        <f>K1127-'Order(Exhibit B)'!K1127</f>
        <v>1.9999999999999574E-2</v>
      </c>
      <c r="T1127" s="115">
        <f>M1127-'Order(Exhibit B)'!M1127</f>
        <v>0</v>
      </c>
    </row>
    <row r="1128" spans="1:20" s="243" customFormat="1">
      <c r="A1128" s="172" t="s">
        <v>328</v>
      </c>
      <c r="B1128" s="220"/>
      <c r="C1128" s="236"/>
      <c r="D1128" s="135"/>
      <c r="E1128" s="135"/>
      <c r="F1128" s="241">
        <v>6.56</v>
      </c>
      <c r="G1128" s="237"/>
      <c r="H1128" s="139">
        <f t="shared" si="260"/>
        <v>0</v>
      </c>
      <c r="I1128" s="139">
        <f t="shared" si="260"/>
        <v>0</v>
      </c>
      <c r="J1128" s="135"/>
      <c r="K1128" s="138">
        <f>'Exhibit D(Sch31-32 Rate)'!J67</f>
        <v>7.86</v>
      </c>
      <c r="L1128" s="237"/>
      <c r="M1128" s="139">
        <f>ROUND($K1128*D1128,0)</f>
        <v>0</v>
      </c>
      <c r="N1128" s="114"/>
      <c r="O1128" s="114"/>
      <c r="P1128" s="114"/>
      <c r="Q1128" s="114"/>
      <c r="R1128" s="114"/>
      <c r="S1128" s="145">
        <f>K1128-'Order(Exhibit B)'!K1128</f>
        <v>2.0000000000000462E-2</v>
      </c>
      <c r="T1128" s="115">
        <f>M1128-'Order(Exhibit B)'!M1128</f>
        <v>0</v>
      </c>
    </row>
    <row r="1129" spans="1:20" s="243" customFormat="1">
      <c r="A1129" s="172" t="s">
        <v>329</v>
      </c>
      <c r="B1129" s="220"/>
      <c r="C1129" s="236"/>
      <c r="D1129" s="135"/>
      <c r="E1129" s="135"/>
      <c r="F1129" s="241">
        <v>8.3699999999999992</v>
      </c>
      <c r="G1129" s="138"/>
      <c r="H1129" s="139">
        <f t="shared" si="260"/>
        <v>0</v>
      </c>
      <c r="I1129" s="139">
        <f t="shared" si="260"/>
        <v>0</v>
      </c>
      <c r="J1129" s="135"/>
      <c r="K1129" s="138">
        <f>'Exhibit D(Sch31-32 Rate)'!J68</f>
        <v>9.99</v>
      </c>
      <c r="L1129" s="138"/>
      <c r="M1129" s="139">
        <f>ROUND($K1129*D1129,0)</f>
        <v>0</v>
      </c>
      <c r="N1129" s="114"/>
      <c r="O1129" s="114"/>
      <c r="P1129" s="114"/>
      <c r="Q1129" s="114"/>
      <c r="R1129" s="114"/>
      <c r="S1129" s="145">
        <f>K1129-'Order(Exhibit B)'!K1129</f>
        <v>2.9999999999999361E-2</v>
      </c>
      <c r="T1129" s="115">
        <f>M1129-'Order(Exhibit B)'!M1129</f>
        <v>0</v>
      </c>
    </row>
    <row r="1130" spans="1:20" s="243" customFormat="1">
      <c r="A1130" s="172" t="s">
        <v>330</v>
      </c>
      <c r="B1130" s="220"/>
      <c r="C1130" s="236"/>
      <c r="D1130" s="135"/>
      <c r="E1130" s="135"/>
      <c r="F1130" s="241">
        <v>7.24</v>
      </c>
      <c r="G1130" s="237"/>
      <c r="H1130" s="139">
        <f t="shared" si="260"/>
        <v>0</v>
      </c>
      <c r="I1130" s="139">
        <f t="shared" si="260"/>
        <v>0</v>
      </c>
      <c r="J1130" s="135"/>
      <c r="K1130" s="138">
        <f>'Exhibit D(Sch31-32 Rate)'!J69</f>
        <v>9.36</v>
      </c>
      <c r="L1130" s="237"/>
      <c r="M1130" s="139">
        <f>ROUND($K1130*D1130,0)</f>
        <v>0</v>
      </c>
      <c r="N1130" s="114"/>
      <c r="O1130" s="114"/>
      <c r="P1130" s="114"/>
      <c r="Q1130" s="114"/>
      <c r="R1130" s="114"/>
      <c r="S1130" s="145">
        <f>K1130-'Order(Exhibit B)'!K1130</f>
        <v>2.9999999999999361E-2</v>
      </c>
      <c r="T1130" s="115">
        <f>M1130-'Order(Exhibit B)'!M1130</f>
        <v>0</v>
      </c>
    </row>
    <row r="1131" spans="1:20" s="243" customFormat="1">
      <c r="A1131" s="172" t="s">
        <v>322</v>
      </c>
      <c r="B1131" s="220"/>
      <c r="C1131" s="236">
        <v>221576</v>
      </c>
      <c r="D1131" s="135">
        <f>$C1131*D$1150/$C$1150</f>
        <v>331031.77717170806</v>
      </c>
      <c r="E1131" s="135"/>
      <c r="F1131" s="241">
        <v>4.3499999999999996</v>
      </c>
      <c r="G1131" s="237"/>
      <c r="H1131" s="139">
        <f t="shared" si="260"/>
        <v>963856</v>
      </c>
      <c r="I1131" s="139">
        <f t="shared" si="260"/>
        <v>1439988</v>
      </c>
      <c r="J1131" s="135"/>
      <c r="K1131" s="138">
        <f>'Exhibit D(Sch31-32 Rate)'!J70</f>
        <v>5</v>
      </c>
      <c r="L1131" s="237"/>
      <c r="M1131" s="139">
        <f>ROUND($K1131*D1131,0)</f>
        <v>1655159</v>
      </c>
      <c r="N1131" s="114"/>
      <c r="O1131" s="114"/>
      <c r="P1131" s="114"/>
      <c r="Q1131" s="114"/>
      <c r="R1131" s="114"/>
      <c r="S1131" s="145">
        <f>K1131-'Order(Exhibit B)'!K1131</f>
        <v>9.9999999999997868E-3</v>
      </c>
      <c r="T1131" s="115">
        <f>M1131-'Order(Exhibit B)'!M1131</f>
        <v>3310</v>
      </c>
    </row>
    <row r="1132" spans="1:20" s="243" customFormat="1">
      <c r="A1132" s="172" t="s">
        <v>331</v>
      </c>
      <c r="B1132" s="114"/>
      <c r="C1132" s="236"/>
      <c r="D1132" s="135"/>
      <c r="E1132" s="135"/>
      <c r="F1132" s="242"/>
      <c r="G1132" s="114"/>
      <c r="H1132" s="114"/>
      <c r="I1132" s="114"/>
      <c r="J1132" s="135"/>
      <c r="K1132" s="242"/>
      <c r="L1132" s="114"/>
      <c r="M1132" s="114"/>
      <c r="N1132" s="114"/>
      <c r="O1132" s="114"/>
      <c r="P1132" s="114"/>
      <c r="Q1132" s="114"/>
      <c r="R1132" s="114"/>
      <c r="S1132" s="145">
        <f>K1132-'Order(Exhibit B)'!K1132</f>
        <v>0</v>
      </c>
      <c r="T1132" s="115">
        <f>M1132-'Order(Exhibit B)'!M1132</f>
        <v>0</v>
      </c>
    </row>
    <row r="1133" spans="1:20" s="243" customFormat="1">
      <c r="A1133" s="172" t="s">
        <v>332</v>
      </c>
      <c r="B1133" s="114"/>
      <c r="C1133" s="236"/>
      <c r="D1133" s="135"/>
      <c r="E1133" s="135"/>
      <c r="F1133" s="241"/>
      <c r="G1133" s="138"/>
      <c r="H1133" s="139"/>
      <c r="I1133" s="139"/>
      <c r="J1133" s="135"/>
      <c r="K1133" s="241"/>
      <c r="L1133" s="138"/>
      <c r="M1133" s="139"/>
      <c r="N1133" s="114"/>
      <c r="O1133" s="114"/>
      <c r="P1133" s="114"/>
      <c r="Q1133" s="114"/>
      <c r="R1133" s="114"/>
      <c r="S1133" s="145">
        <f>K1133-'Order(Exhibit B)'!K1133</f>
        <v>0</v>
      </c>
      <c r="T1133" s="115">
        <f>M1133-'Order(Exhibit B)'!M1133</f>
        <v>0</v>
      </c>
    </row>
    <row r="1134" spans="1:20" s="243" customFormat="1">
      <c r="A1134" s="172" t="s">
        <v>333</v>
      </c>
      <c r="B1134" s="114"/>
      <c r="C1134" s="236"/>
      <c r="D1134" s="135"/>
      <c r="E1134" s="135"/>
      <c r="F1134" s="241">
        <v>0.56999999999999995</v>
      </c>
      <c r="G1134" s="138"/>
      <c r="H1134" s="139">
        <f>ROUND($F1134*C1134,0)</f>
        <v>0</v>
      </c>
      <c r="I1134" s="139">
        <f>ROUND($F1134*D1134,0)</f>
        <v>0</v>
      </c>
      <c r="J1134" s="135"/>
      <c r="K1134" s="138">
        <f>'Exhibit D(Sch31-32 Rate)'!L73</f>
        <v>0.43</v>
      </c>
      <c r="L1134" s="138"/>
      <c r="M1134" s="139">
        <f>ROUND($K1134*D1134,0)</f>
        <v>0</v>
      </c>
      <c r="N1134" s="114"/>
      <c r="O1134" s="114"/>
      <c r="P1134" s="114"/>
      <c r="Q1134" s="114"/>
      <c r="R1134" s="114"/>
      <c r="S1134" s="145">
        <f>K1134-'Order(Exhibit B)'!K1134</f>
        <v>0</v>
      </c>
      <c r="T1134" s="115">
        <f>M1134-'Order(Exhibit B)'!M1134</f>
        <v>0</v>
      </c>
    </row>
    <row r="1135" spans="1:20" s="243" customFormat="1">
      <c r="A1135" s="172" t="s">
        <v>334</v>
      </c>
      <c r="B1135" s="114"/>
      <c r="C1135" s="236"/>
      <c r="D1135" s="135"/>
      <c r="E1135" s="135"/>
      <c r="F1135" s="241">
        <v>0.48</v>
      </c>
      <c r="G1135" s="138"/>
      <c r="H1135" s="139">
        <f>ROUND($F1135*C1135,0)</f>
        <v>0</v>
      </c>
      <c r="I1135" s="139">
        <f>ROUND($F1135*D1135,0)</f>
        <v>0</v>
      </c>
      <c r="J1135" s="135"/>
      <c r="K1135" s="138">
        <f>'Exhibit D(Sch31-32 Rate)'!L74</f>
        <v>0.36</v>
      </c>
      <c r="L1135" s="138"/>
      <c r="M1135" s="139">
        <f>ROUND($K1135*D1135,0)</f>
        <v>0</v>
      </c>
      <c r="N1135" s="114"/>
      <c r="O1135" s="114"/>
      <c r="P1135" s="114"/>
      <c r="Q1135" s="114"/>
      <c r="R1135" s="114"/>
      <c r="S1135" s="145">
        <f>K1135-'Order(Exhibit B)'!K1135</f>
        <v>0</v>
      </c>
      <c r="T1135" s="115">
        <f>M1135-'Order(Exhibit B)'!M1135</f>
        <v>0</v>
      </c>
    </row>
    <row r="1136" spans="1:20" s="243" customFormat="1">
      <c r="A1136" s="172" t="s">
        <v>335</v>
      </c>
      <c r="B1136" s="114"/>
      <c r="C1136" s="236"/>
      <c r="D1136" s="135"/>
      <c r="E1136" s="135"/>
      <c r="F1136" s="241"/>
      <c r="G1136" s="237"/>
      <c r="H1136" s="139"/>
      <c r="I1136" s="139"/>
      <c r="J1136" s="135"/>
      <c r="K1136" s="241"/>
      <c r="L1136" s="237"/>
      <c r="M1136" s="139"/>
      <c r="N1136" s="114"/>
      <c r="O1136" s="114"/>
      <c r="P1136" s="114"/>
      <c r="Q1136" s="114"/>
      <c r="R1136" s="114"/>
      <c r="S1136" s="145">
        <f>K1136-'Order(Exhibit B)'!K1136</f>
        <v>0</v>
      </c>
      <c r="T1136" s="115">
        <f>M1136-'Order(Exhibit B)'!M1136</f>
        <v>0</v>
      </c>
    </row>
    <row r="1137" spans="1:20" s="243" customFormat="1">
      <c r="A1137" s="172" t="s">
        <v>333</v>
      </c>
      <c r="B1137" s="114"/>
      <c r="C1137" s="236"/>
      <c r="D1137" s="135"/>
      <c r="E1137" s="135"/>
      <c r="F1137" s="241">
        <v>0.56999999999999995</v>
      </c>
      <c r="G1137" s="237"/>
      <c r="H1137" s="139">
        <f>ROUND($F1137*C1137,0)</f>
        <v>0</v>
      </c>
      <c r="I1137" s="139">
        <f>ROUND($F1137*D1137,0)</f>
        <v>0</v>
      </c>
      <c r="J1137" s="135"/>
      <c r="K1137" s="138">
        <f>'Exhibit D(Sch31-32 Rate)'!L75</f>
        <v>0.43</v>
      </c>
      <c r="L1137" s="237"/>
      <c r="M1137" s="139">
        <f>ROUND($K1137*D1137,0)</f>
        <v>0</v>
      </c>
      <c r="N1137" s="114"/>
      <c r="O1137" s="114"/>
      <c r="P1137" s="114"/>
      <c r="Q1137" s="114"/>
      <c r="R1137" s="114"/>
      <c r="S1137" s="145">
        <f>K1137-'Order(Exhibit B)'!K1137</f>
        <v>0</v>
      </c>
      <c r="T1137" s="115">
        <f>M1137-'Order(Exhibit B)'!M1137</f>
        <v>0</v>
      </c>
    </row>
    <row r="1138" spans="1:20" s="243" customFormat="1">
      <c r="A1138" s="172" t="s">
        <v>334</v>
      </c>
      <c r="B1138" s="114"/>
      <c r="C1138" s="236"/>
      <c r="D1138" s="135"/>
      <c r="E1138" s="135"/>
      <c r="F1138" s="241">
        <v>0.47</v>
      </c>
      <c r="G1138" s="237"/>
      <c r="H1138" s="139">
        <f>ROUND($F1138*C1138,0)</f>
        <v>0</v>
      </c>
      <c r="I1138" s="139">
        <f>ROUND($F1138*D1138,0)</f>
        <v>0</v>
      </c>
      <c r="J1138" s="135"/>
      <c r="K1138" s="138">
        <f>'Exhibit D(Sch31-32 Rate)'!L76</f>
        <v>0.36</v>
      </c>
      <c r="L1138" s="237"/>
      <c r="M1138" s="139">
        <f>ROUND($K1138*D1138,0)</f>
        <v>0</v>
      </c>
      <c r="N1138" s="114"/>
      <c r="O1138" s="114"/>
      <c r="P1138" s="114"/>
      <c r="Q1138" s="114"/>
      <c r="R1138" s="114"/>
      <c r="S1138" s="145">
        <f>K1138-'Order(Exhibit B)'!K1138</f>
        <v>1.0000000000000009E-2</v>
      </c>
      <c r="T1138" s="115">
        <f>M1138-'Order(Exhibit B)'!M1138</f>
        <v>0</v>
      </c>
    </row>
    <row r="1139" spans="1:20" s="243" customFormat="1">
      <c r="A1139" s="172" t="s">
        <v>336</v>
      </c>
      <c r="B1139" s="114"/>
      <c r="C1139" s="236"/>
      <c r="D1139" s="135"/>
      <c r="E1139" s="135"/>
      <c r="F1139" s="242"/>
      <c r="G1139" s="238"/>
      <c r="H1139" s="139"/>
      <c r="I1139" s="139"/>
      <c r="J1139" s="135"/>
      <c r="K1139" s="242"/>
      <c r="L1139" s="238"/>
      <c r="M1139" s="139"/>
      <c r="N1139" s="114"/>
      <c r="O1139" s="114"/>
      <c r="P1139" s="114"/>
      <c r="Q1139" s="114"/>
      <c r="R1139" s="114"/>
      <c r="S1139" s="145">
        <f>K1139-'Order(Exhibit B)'!K1139</f>
        <v>0</v>
      </c>
      <c r="T1139" s="115">
        <f>M1139-'Order(Exhibit B)'!M1139</f>
        <v>0</v>
      </c>
    </row>
    <row r="1140" spans="1:20" s="243" customFormat="1">
      <c r="A1140" s="172" t="s">
        <v>333</v>
      </c>
      <c r="B1140" s="114"/>
      <c r="C1140" s="236"/>
      <c r="D1140" s="135"/>
      <c r="E1140" s="135"/>
      <c r="F1140" s="241">
        <v>0.72</v>
      </c>
      <c r="G1140" s="237"/>
      <c r="H1140" s="139">
        <f>ROUND($F1140*C1140,0)</f>
        <v>0</v>
      </c>
      <c r="I1140" s="139">
        <f>ROUND($F1140*D1140,0)</f>
        <v>0</v>
      </c>
      <c r="J1140" s="135"/>
      <c r="K1140" s="138">
        <f>'Exhibit D(Sch31-32 Rate)'!L77</f>
        <v>0.53</v>
      </c>
      <c r="L1140" s="237"/>
      <c r="M1140" s="139">
        <f>ROUND($K1140*D1140,0)</f>
        <v>0</v>
      </c>
      <c r="N1140" s="114"/>
      <c r="O1140" s="114"/>
      <c r="P1140" s="114"/>
      <c r="Q1140" s="114"/>
      <c r="R1140" s="114"/>
      <c r="S1140" s="145">
        <f>K1140-'Order(Exhibit B)'!K1140</f>
        <v>0</v>
      </c>
      <c r="T1140" s="115">
        <f>M1140-'Order(Exhibit B)'!M1140</f>
        <v>0</v>
      </c>
    </row>
    <row r="1141" spans="1:20" s="243" customFormat="1">
      <c r="A1141" s="172" t="s">
        <v>334</v>
      </c>
      <c r="B1141" s="114"/>
      <c r="C1141" s="236"/>
      <c r="D1141" s="135"/>
      <c r="E1141" s="135"/>
      <c r="F1141" s="241">
        <v>0.61</v>
      </c>
      <c r="G1141" s="237"/>
      <c r="H1141" s="139">
        <f>ROUND($F1141*C1141,0)</f>
        <v>0</v>
      </c>
      <c r="I1141" s="139">
        <f>ROUND($F1141*D1141,0)</f>
        <v>0</v>
      </c>
      <c r="J1141" s="135"/>
      <c r="K1141" s="138">
        <f>'Exhibit D(Sch31-32 Rate)'!L78</f>
        <v>0.44</v>
      </c>
      <c r="L1141" s="237"/>
      <c r="M1141" s="139">
        <f>ROUND($K1141*D1141,0)</f>
        <v>0</v>
      </c>
      <c r="N1141" s="114"/>
      <c r="O1141" s="114"/>
      <c r="P1141" s="114"/>
      <c r="Q1141" s="114"/>
      <c r="R1141" s="114"/>
      <c r="S1141" s="145">
        <f>K1141-'Order(Exhibit B)'!K1141</f>
        <v>0</v>
      </c>
      <c r="T1141" s="115">
        <f>M1141-'Order(Exhibit B)'!M1141</f>
        <v>0</v>
      </c>
    </row>
    <row r="1142" spans="1:20" s="243" customFormat="1">
      <c r="A1142" s="172" t="s">
        <v>337</v>
      </c>
      <c r="B1142" s="114"/>
      <c r="C1142" s="236"/>
      <c r="D1142" s="135"/>
      <c r="E1142" s="135"/>
      <c r="F1142" s="241"/>
      <c r="G1142" s="138"/>
      <c r="H1142" s="139"/>
      <c r="I1142" s="139"/>
      <c r="J1142" s="135"/>
      <c r="K1142" s="241"/>
      <c r="L1142" s="138"/>
      <c r="M1142" s="139"/>
      <c r="N1142" s="114"/>
      <c r="O1142" s="114"/>
      <c r="P1142" s="114"/>
      <c r="Q1142" s="114"/>
      <c r="R1142" s="114"/>
      <c r="S1142" s="145">
        <f>K1142-'Order(Exhibit B)'!K1142</f>
        <v>0</v>
      </c>
      <c r="T1142" s="115">
        <f>M1142-'Order(Exhibit B)'!M1142</f>
        <v>0</v>
      </c>
    </row>
    <row r="1143" spans="1:20" s="243" customFormat="1">
      <c r="A1143" s="172" t="s">
        <v>333</v>
      </c>
      <c r="B1143" s="114"/>
      <c r="C1143" s="236"/>
      <c r="D1143" s="135"/>
      <c r="E1143" s="135"/>
      <c r="F1143" s="241">
        <v>0.71</v>
      </c>
      <c r="G1143" s="237"/>
      <c r="H1143" s="139">
        <f>ROUND($F1143*C1143,0)</f>
        <v>0</v>
      </c>
      <c r="I1143" s="139">
        <f>ROUND($F1143*D1143,0)</f>
        <v>0</v>
      </c>
      <c r="J1143" s="135"/>
      <c r="K1143" s="138">
        <f>'Exhibit D(Sch31-32 Rate)'!L79</f>
        <v>0.51</v>
      </c>
      <c r="L1143" s="237"/>
      <c r="M1143" s="139">
        <f>ROUND($K1143*D1143,0)</f>
        <v>0</v>
      </c>
      <c r="N1143" s="114"/>
      <c r="O1143" s="114"/>
      <c r="P1143" s="114"/>
      <c r="Q1143" s="114"/>
      <c r="R1143" s="114"/>
      <c r="S1143" s="145">
        <f>K1143-'Order(Exhibit B)'!K1143</f>
        <v>0</v>
      </c>
      <c r="T1143" s="115">
        <f>M1143-'Order(Exhibit B)'!M1143</f>
        <v>0</v>
      </c>
    </row>
    <row r="1144" spans="1:20" s="243" customFormat="1">
      <c r="A1144" s="172" t="s">
        <v>334</v>
      </c>
      <c r="B1144" s="114"/>
      <c r="C1144" s="236"/>
      <c r="D1144" s="135"/>
      <c r="E1144" s="135"/>
      <c r="F1144" s="241">
        <v>0.59</v>
      </c>
      <c r="G1144" s="237"/>
      <c r="H1144" s="139">
        <f>ROUND($F1144*C1144,0)</f>
        <v>0</v>
      </c>
      <c r="I1144" s="139">
        <f>ROUND($F1144*D1144,0)</f>
        <v>0</v>
      </c>
      <c r="J1144" s="135"/>
      <c r="K1144" s="138">
        <f>'Exhibit D(Sch31-32 Rate)'!L80</f>
        <v>0.42</v>
      </c>
      <c r="L1144" s="237"/>
      <c r="M1144" s="139">
        <f>ROUND($K1144*D1144,0)</f>
        <v>0</v>
      </c>
      <c r="N1144" s="114"/>
      <c r="O1144" s="114"/>
      <c r="P1144" s="114"/>
      <c r="Q1144" s="114"/>
      <c r="R1144" s="114"/>
      <c r="S1144" s="145">
        <f>K1144-'Order(Exhibit B)'!K1144</f>
        <v>0</v>
      </c>
      <c r="T1144" s="115">
        <f>M1144-'Order(Exhibit B)'!M1144</f>
        <v>0</v>
      </c>
    </row>
    <row r="1145" spans="1:20" s="243" customFormat="1">
      <c r="A1145" s="172" t="s">
        <v>338</v>
      </c>
      <c r="B1145" s="114"/>
      <c r="C1145" s="236"/>
      <c r="D1145" s="135"/>
      <c r="E1145" s="135"/>
      <c r="F1145" s="242"/>
      <c r="G1145" s="114"/>
      <c r="H1145" s="114"/>
      <c r="I1145" s="114"/>
      <c r="J1145" s="135"/>
      <c r="K1145" s="242"/>
      <c r="L1145" s="114"/>
      <c r="M1145" s="114"/>
      <c r="N1145" s="114"/>
      <c r="O1145" s="114"/>
      <c r="P1145" s="114"/>
      <c r="Q1145" s="114"/>
      <c r="R1145" s="114"/>
      <c r="S1145" s="145">
        <f>K1145-'Order(Exhibit B)'!K1145</f>
        <v>0</v>
      </c>
      <c r="T1145" s="115">
        <f>M1145-'Order(Exhibit B)'!M1145</f>
        <v>0</v>
      </c>
    </row>
    <row r="1146" spans="1:20" s="243" customFormat="1">
      <c r="A1146" s="172" t="s">
        <v>333</v>
      </c>
      <c r="B1146" s="114"/>
      <c r="C1146" s="236">
        <v>1185785</v>
      </c>
      <c r="D1146" s="135">
        <f>$C1146*D$1150/$C$1150</f>
        <v>1771547.9830557182</v>
      </c>
      <c r="E1146" s="135"/>
      <c r="F1146" s="241">
        <v>0.71</v>
      </c>
      <c r="G1146" s="138"/>
      <c r="H1146" s="139">
        <f>ROUND($F1146*C1146,0)</f>
        <v>841907</v>
      </c>
      <c r="I1146" s="139">
        <f>ROUND($F1146*D1146,0)</f>
        <v>1257799</v>
      </c>
      <c r="J1146" s="135"/>
      <c r="K1146" s="138">
        <f>'Exhibit D(Sch31-32 Rate)'!L81</f>
        <v>0.6</v>
      </c>
      <c r="L1146" s="138"/>
      <c r="M1146" s="139">
        <f>ROUND($K1146*D1146,0)</f>
        <v>1062929</v>
      </c>
      <c r="N1146" s="114"/>
      <c r="O1146" s="114"/>
      <c r="P1146" s="114"/>
      <c r="Q1146" s="114"/>
      <c r="R1146" s="114"/>
      <c r="S1146" s="145">
        <f>K1146-'Order(Exhibit B)'!K1146</f>
        <v>0</v>
      </c>
      <c r="T1146" s="115">
        <f>M1146-'Order(Exhibit B)'!M1146</f>
        <v>0</v>
      </c>
    </row>
    <row r="1147" spans="1:20" s="243" customFormat="1">
      <c r="A1147" s="172" t="s">
        <v>334</v>
      </c>
      <c r="B1147" s="114"/>
      <c r="C1147" s="236">
        <v>982939</v>
      </c>
      <c r="D1147" s="135">
        <f>$C1147*D$1150/$C$1150</f>
        <v>1468498.5920017581</v>
      </c>
      <c r="E1147" s="135"/>
      <c r="F1147" s="241">
        <v>0.61</v>
      </c>
      <c r="G1147" s="138"/>
      <c r="H1147" s="139">
        <f>ROUND($F1147*C1147,0)</f>
        <v>599593</v>
      </c>
      <c r="I1147" s="139">
        <f>ROUND($F1147*D1147,0)</f>
        <v>895784</v>
      </c>
      <c r="J1147" s="135"/>
      <c r="K1147" s="138">
        <f>'Exhibit D(Sch31-32 Rate)'!L82</f>
        <v>0.52</v>
      </c>
      <c r="L1147" s="138"/>
      <c r="M1147" s="139">
        <f>ROUND($K1147*D1147,0)</f>
        <v>763619</v>
      </c>
      <c r="N1147" s="114"/>
      <c r="O1147" s="114"/>
      <c r="P1147" s="114"/>
      <c r="Q1147" s="114"/>
      <c r="R1147" s="114"/>
      <c r="S1147" s="145">
        <f>K1147-'Order(Exhibit B)'!K1147</f>
        <v>0</v>
      </c>
      <c r="T1147" s="115">
        <f>M1147-'Order(Exhibit B)'!M1147</f>
        <v>0</v>
      </c>
    </row>
    <row r="1148" spans="1:20" s="243" customFormat="1">
      <c r="A1148" s="136" t="s">
        <v>339</v>
      </c>
      <c r="B1148" s="114"/>
      <c r="C1148" s="135">
        <v>110915000</v>
      </c>
      <c r="D1148" s="135">
        <f>C1148</f>
        <v>110915000</v>
      </c>
      <c r="E1148" s="135"/>
      <c r="F1148" s="244"/>
      <c r="G1148" s="163"/>
      <c r="H1148" s="139"/>
      <c r="I1148" s="139"/>
      <c r="J1148" s="135"/>
      <c r="K1148" s="244"/>
      <c r="L1148" s="163"/>
      <c r="M1148" s="139"/>
      <c r="N1148" s="114"/>
      <c r="O1148" s="244"/>
      <c r="P1148" s="145"/>
      <c r="Q1148" s="114"/>
      <c r="R1148" s="114"/>
      <c r="S1148" s="145">
        <f>K1148-'Order(Exhibit B)'!K1148</f>
        <v>0</v>
      </c>
      <c r="T1148" s="115">
        <f>M1148-'Order(Exhibit B)'!M1148</f>
        <v>0</v>
      </c>
    </row>
    <row r="1149" spans="1:20" s="243" customFormat="1">
      <c r="A1149" s="136" t="s">
        <v>340</v>
      </c>
      <c r="B1149" s="114"/>
      <c r="C1149" s="135">
        <v>0</v>
      </c>
      <c r="D1149" s="135">
        <v>54790625.000000007</v>
      </c>
      <c r="E1149" s="135"/>
      <c r="F1149" s="244"/>
      <c r="G1149" s="163"/>
      <c r="H1149" s="139"/>
      <c r="I1149" s="139"/>
      <c r="J1149" s="135"/>
      <c r="K1149" s="244"/>
      <c r="L1149" s="163"/>
      <c r="M1149" s="139"/>
      <c r="N1149" s="114"/>
      <c r="O1149" s="244"/>
      <c r="P1149" s="145"/>
      <c r="Q1149" s="114"/>
      <c r="R1149" s="114"/>
      <c r="S1149" s="145">
        <f>K1149-'Order(Exhibit B)'!K1149</f>
        <v>0</v>
      </c>
      <c r="T1149" s="115">
        <f>M1149-'Order(Exhibit B)'!M1149</f>
        <v>0</v>
      </c>
    </row>
    <row r="1150" spans="1:20">
      <c r="A1150" s="136" t="s">
        <v>341</v>
      </c>
      <c r="C1150" s="230">
        <f>SUM(C1148:C1149)</f>
        <v>110915000</v>
      </c>
      <c r="D1150" s="230">
        <f>SUM(D1148:D1149)</f>
        <v>165705625</v>
      </c>
      <c r="E1150" s="137"/>
      <c r="F1150" s="193"/>
      <c r="G1150" s="193"/>
      <c r="H1150" s="228">
        <f>SUM(H1119:H1148)</f>
        <v>2421832</v>
      </c>
      <c r="I1150" s="228">
        <f>SUM(I1119:I1149)</f>
        <v>3610034</v>
      </c>
      <c r="J1150" s="137"/>
      <c r="K1150" s="193"/>
      <c r="L1150" s="193"/>
      <c r="M1150" s="228">
        <f t="shared" ref="M1150" si="261">SUM(M1119:M1149)</f>
        <v>3499094</v>
      </c>
      <c r="S1150" s="145">
        <f>K1150-'Order(Exhibit B)'!K1150</f>
        <v>0</v>
      </c>
      <c r="T1150" s="115">
        <f>M1150-'Order(Exhibit B)'!M1150</f>
        <v>3346</v>
      </c>
    </row>
    <row r="1151" spans="1:20">
      <c r="A1151" s="245" t="s">
        <v>342</v>
      </c>
      <c r="S1151" s="145">
        <f>K1151-'Order(Exhibit B)'!K1151</f>
        <v>0</v>
      </c>
      <c r="T1151" s="115">
        <f>M1151-'Order(Exhibit B)'!M1151</f>
        <v>0</v>
      </c>
    </row>
    <row r="1152" spans="1:20">
      <c r="A1152" s="133" t="s">
        <v>343</v>
      </c>
      <c r="C1152" s="135"/>
      <c r="D1152" s="135"/>
      <c r="E1152" s="135"/>
      <c r="F1152" s="190"/>
      <c r="G1152" s="190"/>
      <c r="H1152" s="139"/>
      <c r="I1152" s="139"/>
      <c r="J1152" s="135"/>
      <c r="K1152" s="190"/>
      <c r="L1152" s="190"/>
      <c r="M1152" s="139"/>
      <c r="S1152" s="145">
        <f>K1152-'Order(Exhibit B)'!K1152</f>
        <v>0</v>
      </c>
      <c r="T1152" s="115">
        <f>M1152-'Order(Exhibit B)'!M1152</f>
        <v>0</v>
      </c>
    </row>
    <row r="1153" spans="1:20">
      <c r="A1153" s="172" t="s">
        <v>344</v>
      </c>
      <c r="C1153" s="135">
        <v>66944</v>
      </c>
      <c r="D1153" s="135">
        <f>$C1153*D$1160/$C$1160</f>
        <v>6241.8644327852708</v>
      </c>
      <c r="E1153" s="135"/>
      <c r="F1153" s="246">
        <v>2.2799999999999998</v>
      </c>
      <c r="G1153" s="246"/>
      <c r="H1153" s="139">
        <f t="shared" ref="H1153:I1155" si="262">ROUND($F1153*C1153,0)</f>
        <v>152632</v>
      </c>
      <c r="I1153" s="139">
        <f t="shared" si="262"/>
        <v>14231</v>
      </c>
      <c r="J1153" s="135"/>
      <c r="K1153" s="190">
        <f>K$974</f>
        <v>2.37</v>
      </c>
      <c r="L1153" s="246"/>
      <c r="M1153" s="139">
        <f>ROUND($K1153*D1153,0)</f>
        <v>14793</v>
      </c>
      <c r="S1153" s="145">
        <f>K1153-'Order(Exhibit B)'!K1153</f>
        <v>0</v>
      </c>
      <c r="T1153" s="115">
        <f>M1153-'Order(Exhibit B)'!M1153</f>
        <v>0</v>
      </c>
    </row>
    <row r="1154" spans="1:20">
      <c r="A1154" s="136" t="s">
        <v>345</v>
      </c>
      <c r="C1154" s="135">
        <v>30457</v>
      </c>
      <c r="D1154" s="135">
        <f t="shared" ref="D1154:D1159" si="263">$C1154*D$1160/$C$1160</f>
        <v>2839.8133518962268</v>
      </c>
      <c r="E1154" s="135"/>
      <c r="F1154" s="246">
        <v>14.33</v>
      </c>
      <c r="G1154" s="246"/>
      <c r="H1154" s="139">
        <f t="shared" si="262"/>
        <v>436449</v>
      </c>
      <c r="I1154" s="139">
        <f t="shared" si="262"/>
        <v>40695</v>
      </c>
      <c r="J1154" s="135"/>
      <c r="K1154" s="190">
        <f>K$975</f>
        <v>14.92</v>
      </c>
      <c r="L1154" s="246"/>
      <c r="M1154" s="139">
        <f>ROUND($K1154*D1154,0)</f>
        <v>42370</v>
      </c>
      <c r="S1154" s="145">
        <f>K1154-'Order(Exhibit B)'!K1154</f>
        <v>5.0000000000000711E-2</v>
      </c>
      <c r="T1154" s="115">
        <f>M1154-'Order(Exhibit B)'!M1154</f>
        <v>142</v>
      </c>
    </row>
    <row r="1155" spans="1:20">
      <c r="A1155" s="136" t="s">
        <v>346</v>
      </c>
      <c r="C1155" s="135">
        <v>32991</v>
      </c>
      <c r="D1155" s="135">
        <f t="shared" si="263"/>
        <v>3076.0837341960278</v>
      </c>
      <c r="E1155" s="135"/>
      <c r="F1155" s="246">
        <v>12.68</v>
      </c>
      <c r="G1155" s="246"/>
      <c r="H1155" s="139">
        <f t="shared" si="262"/>
        <v>418326</v>
      </c>
      <c r="I1155" s="139">
        <f t="shared" si="262"/>
        <v>39005</v>
      </c>
      <c r="J1155" s="135"/>
      <c r="K1155" s="190">
        <f>K$976</f>
        <v>13.21</v>
      </c>
      <c r="L1155" s="246"/>
      <c r="M1155" s="139">
        <f>ROUND($K1155*D1155,0)</f>
        <v>40635</v>
      </c>
      <c r="S1155" s="145">
        <f>K1155-'Order(Exhibit B)'!K1155</f>
        <v>5.0000000000000711E-2</v>
      </c>
      <c r="T1155" s="115">
        <f>M1155-'Order(Exhibit B)'!M1155</f>
        <v>154</v>
      </c>
    </row>
    <row r="1156" spans="1:20">
      <c r="A1156" s="136" t="s">
        <v>347</v>
      </c>
      <c r="C1156" s="135">
        <v>10320583</v>
      </c>
      <c r="D1156" s="135">
        <f t="shared" si="263"/>
        <v>962292.06431208632</v>
      </c>
      <c r="E1156" s="135"/>
      <c r="F1156" s="244">
        <v>5.1477000000000004</v>
      </c>
      <c r="G1156" s="163" t="s">
        <v>112</v>
      </c>
      <c r="H1156" s="139">
        <f t="shared" ref="H1156:I1159" si="264">ROUND($F1156*C1156/100,0)</f>
        <v>531273</v>
      </c>
      <c r="I1156" s="139">
        <f t="shared" si="264"/>
        <v>49536</v>
      </c>
      <c r="J1156" s="135"/>
      <c r="K1156" s="198">
        <f>K$977</f>
        <v>5.3608000000000002</v>
      </c>
      <c r="L1156" s="163" t="s">
        <v>112</v>
      </c>
      <c r="M1156" s="139">
        <f>ROUND($K1156*D1156/100,0)</f>
        <v>51587</v>
      </c>
      <c r="S1156" s="145">
        <f>K1156-'Order(Exhibit B)'!K1156</f>
        <v>1.9400000000000084E-2</v>
      </c>
      <c r="T1156" s="115">
        <f>M1156-'Order(Exhibit B)'!M1156</f>
        <v>187</v>
      </c>
    </row>
    <row r="1157" spans="1:20">
      <c r="A1157" s="136" t="s">
        <v>348</v>
      </c>
      <c r="C1157" s="135">
        <v>32543621</v>
      </c>
      <c r="D1157" s="135">
        <f t="shared" si="263"/>
        <v>3034370.0769888838</v>
      </c>
      <c r="E1157" s="135"/>
      <c r="F1157" s="244">
        <v>2.6164999999999998</v>
      </c>
      <c r="G1157" s="163" t="s">
        <v>112</v>
      </c>
      <c r="H1157" s="139">
        <f t="shared" si="264"/>
        <v>851504</v>
      </c>
      <c r="I1157" s="139">
        <f t="shared" si="264"/>
        <v>79394</v>
      </c>
      <c r="J1157" s="135"/>
      <c r="K1157" s="198">
        <f>K$978</f>
        <v>2.7248000000000001</v>
      </c>
      <c r="L1157" s="163" t="s">
        <v>112</v>
      </c>
      <c r="M1157" s="139">
        <f>ROUND($K1157*D1157/100,0)</f>
        <v>82681</v>
      </c>
      <c r="S1157" s="145">
        <f>K1157-'Order(Exhibit B)'!K1157</f>
        <v>9.9000000000000199E-3</v>
      </c>
      <c r="T1157" s="115">
        <f>M1157-'Order(Exhibit B)'!M1157</f>
        <v>301</v>
      </c>
    </row>
    <row r="1158" spans="1:20">
      <c r="A1158" s="136" t="s">
        <v>349</v>
      </c>
      <c r="C1158" s="135">
        <v>9476892</v>
      </c>
      <c r="D1158" s="135">
        <f t="shared" si="263"/>
        <v>883626.24145774485</v>
      </c>
      <c r="E1158" s="135"/>
      <c r="F1158" s="244">
        <v>4.5555000000000003</v>
      </c>
      <c r="G1158" s="163" t="s">
        <v>112</v>
      </c>
      <c r="H1158" s="139">
        <f t="shared" si="264"/>
        <v>431720</v>
      </c>
      <c r="I1158" s="139">
        <f t="shared" si="264"/>
        <v>40254</v>
      </c>
      <c r="J1158" s="135"/>
      <c r="K1158" s="198">
        <f>K$979</f>
        <v>4.7441000000000004</v>
      </c>
      <c r="L1158" s="163" t="s">
        <v>112</v>
      </c>
      <c r="M1158" s="139">
        <f>ROUND($K1158*D1158/100,0)</f>
        <v>41920</v>
      </c>
      <c r="S1158" s="145">
        <f>K1158-'Order(Exhibit B)'!K1158</f>
        <v>1.720000000000077E-2</v>
      </c>
      <c r="T1158" s="115">
        <f>M1158-'Order(Exhibit B)'!M1158</f>
        <v>152</v>
      </c>
    </row>
    <row r="1159" spans="1:20">
      <c r="A1159" s="136" t="s">
        <v>350</v>
      </c>
      <c r="C1159" s="214">
        <v>36446787</v>
      </c>
      <c r="D1159" s="214">
        <f t="shared" si="263"/>
        <v>3398301.6172412853</v>
      </c>
      <c r="E1159" s="214"/>
      <c r="F1159" s="247">
        <v>2.3155000000000001</v>
      </c>
      <c r="G1159" s="163" t="s">
        <v>112</v>
      </c>
      <c r="H1159" s="217">
        <f t="shared" si="264"/>
        <v>843925</v>
      </c>
      <c r="I1159" s="217">
        <f t="shared" si="264"/>
        <v>78688</v>
      </c>
      <c r="J1159" s="214"/>
      <c r="K1159" s="239">
        <f>K$980</f>
        <v>2.4114</v>
      </c>
      <c r="L1159" s="163" t="s">
        <v>112</v>
      </c>
      <c r="M1159" s="217">
        <f>ROUND($K1159*D1159/100,0)</f>
        <v>81947</v>
      </c>
      <c r="S1159" s="145">
        <f>K1159-'Order(Exhibit B)'!K1159</f>
        <v>8.799999999999919E-3</v>
      </c>
      <c r="T1159" s="115">
        <f>M1159-'Order(Exhibit B)'!M1159</f>
        <v>299</v>
      </c>
    </row>
    <row r="1160" spans="1:20">
      <c r="A1160" s="136" t="s">
        <v>341</v>
      </c>
      <c r="C1160" s="135">
        <f>SUM(C1156:C1159)</f>
        <v>88787883</v>
      </c>
      <c r="D1160" s="135">
        <f>D1162-D1150</f>
        <v>8278590</v>
      </c>
      <c r="E1160" s="135"/>
      <c r="F1160" s="198"/>
      <c r="G1160" s="163"/>
      <c r="H1160" s="139">
        <f>SUM(H1153:H1159)</f>
        <v>3665829</v>
      </c>
      <c r="I1160" s="139">
        <f>SUM(I1153:I1159)</f>
        <v>341803</v>
      </c>
      <c r="J1160" s="135"/>
      <c r="K1160" s="198"/>
      <c r="L1160" s="163"/>
      <c r="M1160" s="139">
        <f>SUM(M1153:M1159)</f>
        <v>355933</v>
      </c>
      <c r="S1160" s="145">
        <f>K1160-'Order(Exhibit B)'!K1160</f>
        <v>0</v>
      </c>
      <c r="T1160" s="115">
        <f>M1160-'Order(Exhibit B)'!M1160</f>
        <v>1235</v>
      </c>
    </row>
    <row r="1161" spans="1:20">
      <c r="A1161" s="172" t="s">
        <v>125</v>
      </c>
      <c r="B1161" s="173"/>
      <c r="C1161" s="135">
        <v>1522784</v>
      </c>
      <c r="D1161" s="135"/>
      <c r="E1161" s="135"/>
      <c r="F1161" s="174"/>
      <c r="G1161" s="13"/>
      <c r="H1161" s="139">
        <v>46158</v>
      </c>
      <c r="I1161" s="139"/>
      <c r="J1161" s="135"/>
      <c r="K1161" s="174"/>
      <c r="L1161" s="13"/>
      <c r="M1161" s="139"/>
      <c r="N1161" s="164"/>
      <c r="O1161" s="164"/>
      <c r="P1161" s="164"/>
      <c r="S1161" s="145">
        <f>K1161-'Order(Exhibit B)'!K1161</f>
        <v>0</v>
      </c>
      <c r="T1161" s="115">
        <f>M1161-'Order(Exhibit B)'!M1161</f>
        <v>0</v>
      </c>
    </row>
    <row r="1162" spans="1:20" ht="16.5" thickBot="1">
      <c r="A1162" s="136" t="s">
        <v>351</v>
      </c>
      <c r="C1162" s="248">
        <f>SUM(C1150,C1160:C1161)</f>
        <v>201225667</v>
      </c>
      <c r="D1162" s="248">
        <v>173984215</v>
      </c>
      <c r="E1162" s="248"/>
      <c r="F1162" s="249"/>
      <c r="H1162" s="250">
        <f>H1150+H1160+H1161</f>
        <v>6133819</v>
      </c>
      <c r="I1162" s="250">
        <f>I1150+I1160+I1161</f>
        <v>3951837</v>
      </c>
      <c r="J1162" s="248"/>
      <c r="K1162" s="249"/>
      <c r="M1162" s="250">
        <f>M1150+M1160+M1161</f>
        <v>3855027</v>
      </c>
      <c r="O1162" s="114" t="s">
        <v>108</v>
      </c>
      <c r="P1162" s="164">
        <f>M1162/I1162-1</f>
        <v>-2.4497467886453794E-2</v>
      </c>
      <c r="S1162" s="145">
        <f>K1162-'Order(Exhibit B)'!K1162</f>
        <v>0</v>
      </c>
      <c r="T1162" s="115">
        <f>M1162-'Order(Exhibit B)'!M1162</f>
        <v>4581</v>
      </c>
    </row>
    <row r="1163" spans="1:20" ht="16.5" thickTop="1">
      <c r="S1163" s="145">
        <f>K1163-'Order(Exhibit B)'!K1163</f>
        <v>0</v>
      </c>
      <c r="T1163" s="115">
        <f>M1163-'Order(Exhibit B)'!M1163</f>
        <v>0</v>
      </c>
    </row>
    <row r="1164" spans="1:20" ht="18.75">
      <c r="A1164" s="240" t="s">
        <v>352</v>
      </c>
      <c r="C1164" s="135"/>
      <c r="D1164" s="135"/>
      <c r="E1164" s="135"/>
      <c r="F1164" s="193"/>
      <c r="G1164" s="193"/>
      <c r="J1164" s="135"/>
      <c r="K1164" s="193"/>
      <c r="L1164" s="193"/>
      <c r="S1164" s="145">
        <f>K1164-'Order(Exhibit B)'!K1164</f>
        <v>0</v>
      </c>
      <c r="T1164" s="115">
        <f>M1164-'Order(Exhibit B)'!M1164</f>
        <v>0</v>
      </c>
    </row>
    <row r="1165" spans="1:20">
      <c r="A1165" s="172" t="s">
        <v>319</v>
      </c>
      <c r="C1165" s="135"/>
      <c r="D1165" s="135"/>
      <c r="E1165" s="135"/>
      <c r="J1165" s="135"/>
      <c r="S1165" s="145">
        <f>K1165-'Order(Exhibit B)'!K1165</f>
        <v>0</v>
      </c>
      <c r="T1165" s="115">
        <f>M1165-'Order(Exhibit B)'!M1165</f>
        <v>0</v>
      </c>
    </row>
    <row r="1166" spans="1:20">
      <c r="A1166" s="172" t="s">
        <v>320</v>
      </c>
      <c r="B1166" s="220"/>
      <c r="C1166" s="236">
        <v>168</v>
      </c>
      <c r="D1166" s="135">
        <v>180</v>
      </c>
      <c r="E1166" s="135"/>
      <c r="F1166" s="241">
        <v>55</v>
      </c>
      <c r="G1166" s="138"/>
      <c r="H1166" s="139">
        <f t="shared" ref="H1166:I1168" si="265">ROUND($F1166*C1166,0)</f>
        <v>9240</v>
      </c>
      <c r="I1166" s="139">
        <f t="shared" si="265"/>
        <v>9900</v>
      </c>
      <c r="J1166" s="135"/>
      <c r="K1166" s="241">
        <f>K$1119</f>
        <v>57</v>
      </c>
      <c r="L1166" s="138"/>
      <c r="M1166" s="139">
        <f>ROUND($K1166*D1166,0)</f>
        <v>10260</v>
      </c>
      <c r="O1166" s="132"/>
      <c r="P1166" s="236"/>
      <c r="S1166" s="145">
        <f>K1166-'Order(Exhibit B)'!K1166</f>
        <v>1</v>
      </c>
      <c r="T1166" s="115">
        <f>M1166-'Order(Exhibit B)'!M1166</f>
        <v>180</v>
      </c>
    </row>
    <row r="1167" spans="1:20">
      <c r="A1167" s="172" t="s">
        <v>321</v>
      </c>
      <c r="B1167" s="220"/>
      <c r="C1167" s="236"/>
      <c r="D1167" s="135"/>
      <c r="E1167" s="135"/>
      <c r="F1167" s="241">
        <v>72</v>
      </c>
      <c r="G1167" s="138"/>
      <c r="H1167" s="139">
        <f t="shared" si="265"/>
        <v>0</v>
      </c>
      <c r="I1167" s="139">
        <f t="shared" si="265"/>
        <v>0</v>
      </c>
      <c r="J1167" s="135"/>
      <c r="K1167" s="241">
        <f>K$1120</f>
        <v>74</v>
      </c>
      <c r="L1167" s="138"/>
      <c r="M1167" s="139">
        <f>ROUND($K1167*D1167,0)</f>
        <v>0</v>
      </c>
      <c r="O1167" s="146" t="s">
        <v>101</v>
      </c>
      <c r="P1167" s="147">
        <f>M1208</f>
        <v>1618457</v>
      </c>
      <c r="S1167" s="145">
        <f>K1167-'Order(Exhibit B)'!K1167</f>
        <v>0</v>
      </c>
      <c r="T1167" s="115">
        <f>M1167-'Order(Exhibit B)'!M1167</f>
        <v>0</v>
      </c>
    </row>
    <row r="1168" spans="1:20">
      <c r="A1168" s="172" t="s">
        <v>322</v>
      </c>
      <c r="B1168" s="220"/>
      <c r="C1168" s="236"/>
      <c r="D1168" s="135"/>
      <c r="E1168" s="135"/>
      <c r="F1168" s="242">
        <v>266</v>
      </c>
      <c r="G1168" s="190"/>
      <c r="H1168" s="139">
        <f t="shared" si="265"/>
        <v>0</v>
      </c>
      <c r="I1168" s="139">
        <f t="shared" si="265"/>
        <v>0</v>
      </c>
      <c r="J1168" s="135"/>
      <c r="K1168" s="241">
        <f>K$1121</f>
        <v>283</v>
      </c>
      <c r="L1168" s="190"/>
      <c r="M1168" s="139">
        <f>ROUND($K1168*D1168,0)</f>
        <v>0</v>
      </c>
      <c r="O1168" s="149" t="s">
        <v>103</v>
      </c>
      <c r="P1168" s="150">
        <f>'Exhibit B(Rate Spread)'!M31*1000+M1195</f>
        <v>1739729.6035476776</v>
      </c>
      <c r="S1168" s="145">
        <f>K1168-'Order(Exhibit B)'!K1168</f>
        <v>1</v>
      </c>
      <c r="T1168" s="115">
        <f>M1168-'Order(Exhibit B)'!M1168</f>
        <v>0</v>
      </c>
    </row>
    <row r="1169" spans="1:20">
      <c r="A1169" s="172" t="s">
        <v>323</v>
      </c>
      <c r="B1169" s="220"/>
      <c r="C1169" s="236"/>
      <c r="D1169" s="135"/>
      <c r="E1169" s="135"/>
      <c r="F1169" s="241"/>
      <c r="G1169" s="237"/>
      <c r="H1169" s="139"/>
      <c r="I1169" s="139"/>
      <c r="J1169" s="135"/>
      <c r="K1169" s="241"/>
      <c r="L1169" s="237"/>
      <c r="M1169" s="139"/>
      <c r="O1169" s="152" t="s">
        <v>105</v>
      </c>
      <c r="P1169" s="153">
        <f>P1168-P1167</f>
        <v>121272.60354767763</v>
      </c>
      <c r="S1169" s="145">
        <f>K1169-'Order(Exhibit B)'!K1169</f>
        <v>0</v>
      </c>
      <c r="T1169" s="115">
        <f>M1169-'Order(Exhibit B)'!M1169</f>
        <v>0</v>
      </c>
    </row>
    <row r="1170" spans="1:20">
      <c r="A1170" s="172" t="s">
        <v>324</v>
      </c>
      <c r="B1170" s="220"/>
      <c r="C1170" s="236"/>
      <c r="D1170" s="135">
        <f>D1166</f>
        <v>180</v>
      </c>
      <c r="E1170" s="135"/>
      <c r="F1170" s="241">
        <v>113</v>
      </c>
      <c r="G1170" s="237"/>
      <c r="H1170" s="139">
        <f t="shared" ref="H1170:I1172" si="266">ROUND($F1170*C1170,0)</f>
        <v>0</v>
      </c>
      <c r="I1170" s="139">
        <f t="shared" si="266"/>
        <v>20340</v>
      </c>
      <c r="J1170" s="135"/>
      <c r="K1170" s="241">
        <f>K$1123</f>
        <v>118</v>
      </c>
      <c r="L1170" s="237"/>
      <c r="M1170" s="139">
        <f>ROUND($K1170*D1170,0)</f>
        <v>21240</v>
      </c>
      <c r="O1170" s="146" t="s">
        <v>108</v>
      </c>
      <c r="P1170" s="192">
        <f>P1167/I1208-1</f>
        <v>-2.566743704295904E-2</v>
      </c>
      <c r="S1170" s="145">
        <f>K1170-'Order(Exhibit B)'!K1170</f>
        <v>0</v>
      </c>
      <c r="T1170" s="115">
        <f>M1170-'Order(Exhibit B)'!M1170</f>
        <v>0</v>
      </c>
    </row>
    <row r="1171" spans="1:20" s="243" customFormat="1">
      <c r="A1171" s="172" t="s">
        <v>325</v>
      </c>
      <c r="B1171" s="220"/>
      <c r="C1171" s="236"/>
      <c r="D1171" s="135">
        <f>D1166</f>
        <v>180</v>
      </c>
      <c r="E1171" s="135"/>
      <c r="F1171" s="241">
        <v>154</v>
      </c>
      <c r="G1171" s="237"/>
      <c r="H1171" s="139">
        <f t="shared" si="266"/>
        <v>0</v>
      </c>
      <c r="I1171" s="139">
        <f t="shared" si="266"/>
        <v>27720</v>
      </c>
      <c r="J1171" s="135"/>
      <c r="K1171" s="241">
        <f>K$1124</f>
        <v>161</v>
      </c>
      <c r="L1171" s="237"/>
      <c r="M1171" s="139">
        <f>ROUND($K1171*D1171,0)</f>
        <v>28980</v>
      </c>
      <c r="N1171" s="114"/>
      <c r="O1171" s="149" t="s">
        <v>110</v>
      </c>
      <c r="P1171" s="191">
        <f>P1168/I1208-1</f>
        <v>4.734027748457037E-2</v>
      </c>
      <c r="Q1171" s="114"/>
      <c r="R1171" s="114"/>
      <c r="S1171" s="145">
        <f>K1171-'Order(Exhibit B)'!K1171</f>
        <v>0</v>
      </c>
      <c r="T1171" s="115">
        <f>M1171-'Order(Exhibit B)'!M1171</f>
        <v>0</v>
      </c>
    </row>
    <row r="1172" spans="1:20" s="243" customFormat="1">
      <c r="A1172" s="136" t="s">
        <v>109</v>
      </c>
      <c r="B1172" s="114"/>
      <c r="C1172" s="135"/>
      <c r="D1172" s="135">
        <v>125.11677889916446</v>
      </c>
      <c r="E1172" s="135"/>
      <c r="F1172" s="138">
        <v>-0.5</v>
      </c>
      <c r="G1172" s="138"/>
      <c r="H1172" s="139">
        <f t="shared" si="266"/>
        <v>0</v>
      </c>
      <c r="I1172" s="139">
        <f t="shared" si="266"/>
        <v>-63</v>
      </c>
      <c r="J1172" s="135"/>
      <c r="K1172" s="241">
        <f>K$1125</f>
        <v>-0.5</v>
      </c>
      <c r="L1172" s="138"/>
      <c r="M1172" s="139">
        <f>ROUND($K1172*D1172,0)</f>
        <v>-63</v>
      </c>
      <c r="N1172" s="114"/>
      <c r="O1172" s="167"/>
      <c r="P1172" s="194"/>
      <c r="Q1172" s="114"/>
      <c r="R1172" s="114"/>
      <c r="S1172" s="145">
        <f>K1172-'Order(Exhibit B)'!K1172</f>
        <v>0</v>
      </c>
      <c r="T1172" s="115">
        <f>M1172-'Order(Exhibit B)'!M1172</f>
        <v>0</v>
      </c>
    </row>
    <row r="1173" spans="1:20" s="243" customFormat="1">
      <c r="A1173" s="172" t="s">
        <v>326</v>
      </c>
      <c r="B1173" s="220"/>
      <c r="C1173" s="236"/>
      <c r="D1173" s="135"/>
      <c r="E1173" s="135"/>
      <c r="F1173" s="242"/>
      <c r="G1173" s="238"/>
      <c r="H1173" s="139"/>
      <c r="I1173" s="139"/>
      <c r="J1173" s="135"/>
      <c r="K1173" s="242"/>
      <c r="L1173" s="238"/>
      <c r="M1173" s="139"/>
      <c r="N1173" s="114"/>
      <c r="O1173" s="114"/>
      <c r="P1173" s="114"/>
      <c r="Q1173" s="114"/>
      <c r="R1173" s="114"/>
      <c r="S1173" s="145">
        <f>K1173-'Order(Exhibit B)'!K1173</f>
        <v>0</v>
      </c>
      <c r="T1173" s="115">
        <f>M1173-'Order(Exhibit B)'!M1173</f>
        <v>0</v>
      </c>
    </row>
    <row r="1174" spans="1:20" s="243" customFormat="1">
      <c r="A1174" s="172" t="s">
        <v>327</v>
      </c>
      <c r="B1174" s="220"/>
      <c r="C1174" s="236"/>
      <c r="D1174" s="135">
        <f>D1131/D1150*D1196</f>
        <v>38856.800895956374</v>
      </c>
      <c r="E1174" s="135"/>
      <c r="F1174" s="241">
        <v>7.52</v>
      </c>
      <c r="G1174" s="237"/>
      <c r="H1174" s="139">
        <f t="shared" ref="H1174:I1178" si="267">ROUND($F1174*C1174,0)</f>
        <v>0</v>
      </c>
      <c r="I1174" s="139">
        <f t="shared" si="267"/>
        <v>292203</v>
      </c>
      <c r="J1174" s="135"/>
      <c r="K1174" s="241">
        <f>K$1127</f>
        <v>8.69</v>
      </c>
      <c r="L1174" s="237"/>
      <c r="M1174" s="139">
        <f>ROUND($K1174*D1174,0)</f>
        <v>337666</v>
      </c>
      <c r="N1174" s="114"/>
      <c r="O1174" s="114"/>
      <c r="P1174" s="114"/>
      <c r="Q1174" s="114"/>
      <c r="R1174" s="114"/>
      <c r="S1174" s="145">
        <f>K1174-'Order(Exhibit B)'!K1174</f>
        <v>1.9999999999999574E-2</v>
      </c>
      <c r="T1174" s="115">
        <f>M1174-'Order(Exhibit B)'!M1174</f>
        <v>778</v>
      </c>
    </row>
    <row r="1175" spans="1:20" s="243" customFormat="1">
      <c r="A1175" s="172" t="s">
        <v>328</v>
      </c>
      <c r="B1175" s="220"/>
      <c r="C1175" s="236"/>
      <c r="D1175" s="135"/>
      <c r="E1175" s="135"/>
      <c r="F1175" s="241">
        <v>6.56</v>
      </c>
      <c r="G1175" s="237"/>
      <c r="H1175" s="139">
        <f t="shared" si="267"/>
        <v>0</v>
      </c>
      <c r="I1175" s="139">
        <f t="shared" si="267"/>
        <v>0</v>
      </c>
      <c r="J1175" s="135"/>
      <c r="K1175" s="241">
        <f>K$1128</f>
        <v>7.86</v>
      </c>
      <c r="L1175" s="237"/>
      <c r="M1175" s="139">
        <f>ROUND($K1175*D1175,0)</f>
        <v>0</v>
      </c>
      <c r="N1175" s="114"/>
      <c r="O1175" s="114"/>
      <c r="P1175" s="114"/>
      <c r="Q1175" s="114"/>
      <c r="R1175" s="114"/>
      <c r="S1175" s="145">
        <f>K1175-'Order(Exhibit B)'!K1175</f>
        <v>2.0000000000000462E-2</v>
      </c>
      <c r="T1175" s="115">
        <f>M1175-'Order(Exhibit B)'!M1175</f>
        <v>0</v>
      </c>
    </row>
    <row r="1176" spans="1:20" s="243" customFormat="1">
      <c r="A1176" s="172" t="s">
        <v>329</v>
      </c>
      <c r="B1176" s="220"/>
      <c r="C1176" s="236"/>
      <c r="D1176" s="135"/>
      <c r="E1176" s="135"/>
      <c r="F1176" s="241">
        <v>8.3699999999999992</v>
      </c>
      <c r="G1176" s="138"/>
      <c r="H1176" s="139">
        <f t="shared" si="267"/>
        <v>0</v>
      </c>
      <c r="I1176" s="139">
        <f t="shared" si="267"/>
        <v>0</v>
      </c>
      <c r="J1176" s="135"/>
      <c r="K1176" s="241">
        <f>K$1129</f>
        <v>9.99</v>
      </c>
      <c r="L1176" s="138"/>
      <c r="M1176" s="139">
        <f>ROUND($K1176*D1176,0)</f>
        <v>0</v>
      </c>
      <c r="N1176" s="114"/>
      <c r="O1176" s="114"/>
      <c r="P1176" s="114"/>
      <c r="Q1176" s="114"/>
      <c r="R1176" s="114"/>
      <c r="S1176" s="145">
        <f>K1176-'Order(Exhibit B)'!K1176</f>
        <v>2.9999999999999361E-2</v>
      </c>
      <c r="T1176" s="115">
        <f>M1176-'Order(Exhibit B)'!M1176</f>
        <v>0</v>
      </c>
    </row>
    <row r="1177" spans="1:20" s="243" customFormat="1">
      <c r="A1177" s="172" t="s">
        <v>330</v>
      </c>
      <c r="B1177" s="220"/>
      <c r="C1177" s="236"/>
      <c r="D1177" s="135"/>
      <c r="E1177" s="135"/>
      <c r="F1177" s="241">
        <v>7.24</v>
      </c>
      <c r="G1177" s="237"/>
      <c r="H1177" s="139">
        <f t="shared" si="267"/>
        <v>0</v>
      </c>
      <c r="I1177" s="139">
        <f t="shared" si="267"/>
        <v>0</v>
      </c>
      <c r="J1177" s="135"/>
      <c r="K1177" s="241">
        <f>K$1130</f>
        <v>9.36</v>
      </c>
      <c r="L1177" s="237"/>
      <c r="M1177" s="139">
        <f>ROUND($K1177*D1177,0)</f>
        <v>0</v>
      </c>
      <c r="N1177" s="114"/>
      <c r="O1177" s="114"/>
      <c r="P1177" s="114"/>
      <c r="Q1177" s="114"/>
      <c r="R1177" s="114"/>
      <c r="S1177" s="145">
        <f>K1177-'Order(Exhibit B)'!K1177</f>
        <v>2.9999999999999361E-2</v>
      </c>
      <c r="T1177" s="115">
        <f>M1177-'Order(Exhibit B)'!M1177</f>
        <v>0</v>
      </c>
    </row>
    <row r="1178" spans="1:20" s="243" customFormat="1">
      <c r="A1178" s="172" t="s">
        <v>322</v>
      </c>
      <c r="B1178" s="220"/>
      <c r="C1178" s="236"/>
      <c r="D1178" s="135"/>
      <c r="E1178" s="135"/>
      <c r="F1178" s="241">
        <v>4.3499999999999996</v>
      </c>
      <c r="G1178" s="237"/>
      <c r="H1178" s="139">
        <f t="shared" si="267"/>
        <v>0</v>
      </c>
      <c r="I1178" s="139">
        <f t="shared" si="267"/>
        <v>0</v>
      </c>
      <c r="J1178" s="135"/>
      <c r="K1178" s="241">
        <f>K$1131</f>
        <v>5</v>
      </c>
      <c r="L1178" s="237"/>
      <c r="M1178" s="139">
        <f>ROUND($K1178*D1178,0)</f>
        <v>0</v>
      </c>
      <c r="N1178" s="114"/>
      <c r="O1178" s="114"/>
      <c r="P1178" s="114"/>
      <c r="Q1178" s="114"/>
      <c r="R1178" s="114"/>
      <c r="S1178" s="145">
        <f>K1178-'Order(Exhibit B)'!K1178</f>
        <v>9.9999999999997868E-3</v>
      </c>
      <c r="T1178" s="115">
        <f>M1178-'Order(Exhibit B)'!M1178</f>
        <v>0</v>
      </c>
    </row>
    <row r="1179" spans="1:20" s="243" customFormat="1">
      <c r="A1179" s="172" t="s">
        <v>331</v>
      </c>
      <c r="B1179" s="114"/>
      <c r="C1179" s="236"/>
      <c r="D1179" s="135"/>
      <c r="E1179" s="135"/>
      <c r="F1179" s="242"/>
      <c r="G1179" s="114"/>
      <c r="H1179" s="114"/>
      <c r="I1179" s="114"/>
      <c r="J1179" s="135"/>
      <c r="K1179" s="242"/>
      <c r="L1179" s="114"/>
      <c r="M1179" s="114"/>
      <c r="N1179" s="114"/>
      <c r="O1179" s="114"/>
      <c r="P1179" s="135"/>
      <c r="Q1179" s="114"/>
      <c r="R1179" s="114"/>
      <c r="S1179" s="145">
        <f>K1179-'Order(Exhibit B)'!K1179</f>
        <v>0</v>
      </c>
      <c r="T1179" s="115">
        <f>M1179-'Order(Exhibit B)'!M1179</f>
        <v>0</v>
      </c>
    </row>
    <row r="1180" spans="1:20" s="243" customFormat="1">
      <c r="A1180" s="172" t="s">
        <v>332</v>
      </c>
      <c r="B1180" s="114"/>
      <c r="C1180" s="236"/>
      <c r="E1180" s="135"/>
      <c r="F1180" s="241"/>
      <c r="G1180" s="138"/>
      <c r="H1180" s="139"/>
      <c r="I1180" s="139"/>
      <c r="J1180" s="135"/>
      <c r="K1180" s="241"/>
      <c r="L1180" s="138"/>
      <c r="M1180" s="139"/>
      <c r="N1180" s="114"/>
      <c r="O1180" s="114"/>
      <c r="P1180" s="135"/>
      <c r="Q1180" s="114"/>
      <c r="R1180" s="114"/>
      <c r="S1180" s="145">
        <f>K1180-'Order(Exhibit B)'!K1180</f>
        <v>0</v>
      </c>
      <c r="T1180" s="115">
        <f>M1180-'Order(Exhibit B)'!M1180</f>
        <v>0</v>
      </c>
    </row>
    <row r="1181" spans="1:20" s="243" customFormat="1">
      <c r="A1181" s="172" t="s">
        <v>333</v>
      </c>
      <c r="B1181" s="114"/>
      <c r="C1181" s="236"/>
      <c r="D1181" s="135">
        <f>($D$1208/$C$1208*C1200-D1200)*(365-(2*52+8))/12</f>
        <v>348935.13426884153</v>
      </c>
      <c r="E1181" s="135"/>
      <c r="F1181" s="241">
        <v>0.56999999999999995</v>
      </c>
      <c r="G1181" s="138"/>
      <c r="H1181" s="139">
        <f>ROUND($F1181*C1181,0)</f>
        <v>0</v>
      </c>
      <c r="I1181" s="139">
        <f>ROUND($F1181*D1181,0)</f>
        <v>198893</v>
      </c>
      <c r="J1181" s="135"/>
      <c r="K1181" s="241">
        <f>K$1134</f>
        <v>0.43</v>
      </c>
      <c r="L1181" s="138"/>
      <c r="M1181" s="139">
        <f>ROUND($K1181*D1181,0)</f>
        <v>150042</v>
      </c>
      <c r="N1181" s="114"/>
      <c r="O1181" s="114"/>
      <c r="P1181" s="114"/>
      <c r="Q1181" s="114"/>
      <c r="R1181" s="114"/>
      <c r="S1181" s="145">
        <f>K1181-'Order(Exhibit B)'!K1181</f>
        <v>0</v>
      </c>
      <c r="T1181" s="115">
        <f>M1181-'Order(Exhibit B)'!M1181</f>
        <v>0</v>
      </c>
    </row>
    <row r="1182" spans="1:20" s="243" customFormat="1">
      <c r="A1182" s="172" t="s">
        <v>334</v>
      </c>
      <c r="B1182" s="114"/>
      <c r="C1182" s="236"/>
      <c r="D1182" s="135">
        <f>($D$1208/$C$1208*C1201-D1201)*(365-(2*52+8))/12</f>
        <v>530312.1945788915</v>
      </c>
      <c r="E1182" s="135"/>
      <c r="F1182" s="241">
        <v>0.48</v>
      </c>
      <c r="G1182" s="138"/>
      <c r="H1182" s="139">
        <f>ROUND($F1182*C1182,0)</f>
        <v>0</v>
      </c>
      <c r="I1182" s="139">
        <f>ROUND($F1182*D1182,0)</f>
        <v>254550</v>
      </c>
      <c r="J1182" s="135"/>
      <c r="K1182" s="241">
        <f>K$1135</f>
        <v>0.36</v>
      </c>
      <c r="L1182" s="138"/>
      <c r="M1182" s="139">
        <f>ROUND($K1182*D1182,0)</f>
        <v>190912</v>
      </c>
      <c r="N1182" s="114"/>
      <c r="O1182" s="114"/>
      <c r="P1182" s="114"/>
      <c r="Q1182" s="114"/>
      <c r="R1182" s="114"/>
      <c r="S1182" s="145">
        <f>K1182-'Order(Exhibit B)'!K1182</f>
        <v>0</v>
      </c>
      <c r="T1182" s="115">
        <f>M1182-'Order(Exhibit B)'!M1182</f>
        <v>0</v>
      </c>
    </row>
    <row r="1183" spans="1:20" s="243" customFormat="1">
      <c r="A1183" s="172" t="s">
        <v>335</v>
      </c>
      <c r="B1183" s="114"/>
      <c r="C1183" s="236"/>
      <c r="D1183" s="135"/>
      <c r="E1183" s="135"/>
      <c r="F1183" s="241"/>
      <c r="G1183" s="237"/>
      <c r="H1183" s="139"/>
      <c r="I1183" s="139"/>
      <c r="J1183" s="135"/>
      <c r="K1183" s="241"/>
      <c r="L1183" s="237"/>
      <c r="M1183" s="139"/>
      <c r="N1183" s="114"/>
      <c r="O1183" s="114"/>
      <c r="P1183" s="114"/>
      <c r="Q1183" s="114"/>
      <c r="R1183" s="114"/>
      <c r="S1183" s="145">
        <f>K1183-'Order(Exhibit B)'!K1183</f>
        <v>0</v>
      </c>
      <c r="T1183" s="115">
        <f>M1183-'Order(Exhibit B)'!M1183</f>
        <v>0</v>
      </c>
    </row>
    <row r="1184" spans="1:20" s="243" customFormat="1">
      <c r="A1184" s="172" t="s">
        <v>333</v>
      </c>
      <c r="B1184" s="114"/>
      <c r="C1184" s="236"/>
      <c r="D1184" s="135"/>
      <c r="E1184" s="135"/>
      <c r="F1184" s="241">
        <v>0.56999999999999995</v>
      </c>
      <c r="G1184" s="237"/>
      <c r="H1184" s="139">
        <f>ROUND($F1184*C1184,0)</f>
        <v>0</v>
      </c>
      <c r="I1184" s="139">
        <f>ROUND($F1184*D1184,0)</f>
        <v>0</v>
      </c>
      <c r="J1184" s="135"/>
      <c r="K1184" s="241">
        <f>K$1137</f>
        <v>0.43</v>
      </c>
      <c r="L1184" s="237"/>
      <c r="M1184" s="139">
        <f>ROUND($K1184*D1184,0)</f>
        <v>0</v>
      </c>
      <c r="N1184" s="114"/>
      <c r="O1184" s="114"/>
      <c r="P1184" s="114"/>
      <c r="Q1184" s="114"/>
      <c r="R1184" s="114"/>
      <c r="S1184" s="145">
        <f>K1184-'Order(Exhibit B)'!K1184</f>
        <v>0</v>
      </c>
      <c r="T1184" s="115">
        <f>M1184-'Order(Exhibit B)'!M1184</f>
        <v>0</v>
      </c>
    </row>
    <row r="1185" spans="1:20" s="243" customFormat="1">
      <c r="A1185" s="172" t="s">
        <v>334</v>
      </c>
      <c r="B1185" s="114"/>
      <c r="C1185" s="236"/>
      <c r="D1185" s="135"/>
      <c r="E1185" s="135"/>
      <c r="F1185" s="241">
        <v>0.47</v>
      </c>
      <c r="G1185" s="237"/>
      <c r="H1185" s="139">
        <f>ROUND($F1185*C1185,0)</f>
        <v>0</v>
      </c>
      <c r="I1185" s="139">
        <f>ROUND($F1185*D1185,0)</f>
        <v>0</v>
      </c>
      <c r="J1185" s="135"/>
      <c r="K1185" s="241">
        <f>K$1138</f>
        <v>0.36</v>
      </c>
      <c r="L1185" s="237"/>
      <c r="M1185" s="139">
        <f>ROUND($K1185*D1185,0)</f>
        <v>0</v>
      </c>
      <c r="N1185" s="114"/>
      <c r="O1185" s="114"/>
      <c r="P1185" s="114"/>
      <c r="Q1185" s="114"/>
      <c r="R1185" s="114"/>
      <c r="S1185" s="145">
        <f>K1185-'Order(Exhibit B)'!K1185</f>
        <v>1.0000000000000009E-2</v>
      </c>
      <c r="T1185" s="115">
        <f>M1185-'Order(Exhibit B)'!M1185</f>
        <v>0</v>
      </c>
    </row>
    <row r="1186" spans="1:20" s="243" customFormat="1">
      <c r="A1186" s="172" t="s">
        <v>336</v>
      </c>
      <c r="B1186" s="114"/>
      <c r="C1186" s="236"/>
      <c r="D1186" s="135"/>
      <c r="E1186" s="135"/>
      <c r="F1186" s="242"/>
      <c r="G1186" s="238"/>
      <c r="H1186" s="139"/>
      <c r="I1186" s="139"/>
      <c r="J1186" s="135"/>
      <c r="K1186" s="242"/>
      <c r="L1186" s="238"/>
      <c r="M1186" s="139"/>
      <c r="N1186" s="114"/>
      <c r="O1186" s="114"/>
      <c r="P1186" s="114"/>
      <c r="Q1186" s="114"/>
      <c r="R1186" s="114"/>
      <c r="S1186" s="145">
        <f>K1186-'Order(Exhibit B)'!K1186</f>
        <v>0</v>
      </c>
      <c r="T1186" s="115">
        <f>M1186-'Order(Exhibit B)'!M1186</f>
        <v>0</v>
      </c>
    </row>
    <row r="1187" spans="1:20" s="243" customFormat="1">
      <c r="A1187" s="172" t="s">
        <v>333</v>
      </c>
      <c r="B1187" s="114"/>
      <c r="C1187" s="236"/>
      <c r="D1187" s="135"/>
      <c r="E1187" s="135"/>
      <c r="F1187" s="241">
        <v>0.72</v>
      </c>
      <c r="G1187" s="237"/>
      <c r="H1187" s="139">
        <f>ROUND($F1187*C1187,0)</f>
        <v>0</v>
      </c>
      <c r="I1187" s="139">
        <f>ROUND($F1187*D1187,0)</f>
        <v>0</v>
      </c>
      <c r="J1187" s="135"/>
      <c r="K1187" s="241">
        <f>K$1140</f>
        <v>0.53</v>
      </c>
      <c r="L1187" s="237"/>
      <c r="M1187" s="139">
        <f>ROUND($K1187*D1187,0)</f>
        <v>0</v>
      </c>
      <c r="N1187" s="114"/>
      <c r="O1187" s="114"/>
      <c r="P1187" s="114"/>
      <c r="Q1187" s="114"/>
      <c r="R1187" s="114"/>
      <c r="S1187" s="145">
        <f>K1187-'Order(Exhibit B)'!K1187</f>
        <v>0</v>
      </c>
      <c r="T1187" s="115">
        <f>M1187-'Order(Exhibit B)'!M1187</f>
        <v>0</v>
      </c>
    </row>
    <row r="1188" spans="1:20" s="243" customFormat="1">
      <c r="A1188" s="172" t="s">
        <v>334</v>
      </c>
      <c r="B1188" s="114"/>
      <c r="C1188" s="236"/>
      <c r="D1188" s="135"/>
      <c r="E1188" s="135"/>
      <c r="F1188" s="241">
        <v>0.61</v>
      </c>
      <c r="G1188" s="237"/>
      <c r="H1188" s="139">
        <f>ROUND($F1188*C1188,0)</f>
        <v>0</v>
      </c>
      <c r="I1188" s="139">
        <f>ROUND($F1188*D1188,0)</f>
        <v>0</v>
      </c>
      <c r="J1188" s="135"/>
      <c r="K1188" s="241">
        <f>K$1141</f>
        <v>0.44</v>
      </c>
      <c r="L1188" s="237"/>
      <c r="M1188" s="139">
        <f>ROUND($K1188*D1188,0)</f>
        <v>0</v>
      </c>
      <c r="N1188" s="114"/>
      <c r="O1188" s="114"/>
      <c r="P1188" s="114"/>
      <c r="Q1188" s="114"/>
      <c r="R1188" s="114"/>
      <c r="S1188" s="145">
        <f>K1188-'Order(Exhibit B)'!K1188</f>
        <v>0</v>
      </c>
      <c r="T1188" s="115">
        <f>M1188-'Order(Exhibit B)'!M1188</f>
        <v>0</v>
      </c>
    </row>
    <row r="1189" spans="1:20" s="243" customFormat="1">
      <c r="A1189" s="172" t="s">
        <v>337</v>
      </c>
      <c r="B1189" s="114"/>
      <c r="C1189" s="236"/>
      <c r="D1189" s="135"/>
      <c r="E1189" s="135"/>
      <c r="F1189" s="241"/>
      <c r="G1189" s="138"/>
      <c r="H1189" s="139"/>
      <c r="I1189" s="139"/>
      <c r="J1189" s="135"/>
      <c r="K1189" s="241"/>
      <c r="L1189" s="138"/>
      <c r="M1189" s="139"/>
      <c r="N1189" s="114"/>
      <c r="O1189" s="114"/>
      <c r="P1189" s="114"/>
      <c r="Q1189" s="114"/>
      <c r="R1189" s="114"/>
      <c r="S1189" s="145">
        <f>K1189-'Order(Exhibit B)'!K1189</f>
        <v>0</v>
      </c>
      <c r="T1189" s="115">
        <f>M1189-'Order(Exhibit B)'!M1189</f>
        <v>0</v>
      </c>
    </row>
    <row r="1190" spans="1:20" s="243" customFormat="1">
      <c r="A1190" s="172" t="s">
        <v>333</v>
      </c>
      <c r="B1190" s="114"/>
      <c r="C1190" s="236"/>
      <c r="D1190" s="135"/>
      <c r="E1190" s="135"/>
      <c r="F1190" s="241">
        <v>0.71</v>
      </c>
      <c r="G1190" s="237"/>
      <c r="H1190" s="139">
        <f>ROUND($F1190*C1190,0)</f>
        <v>0</v>
      </c>
      <c r="I1190" s="139">
        <f>ROUND($F1190*D1190,0)</f>
        <v>0</v>
      </c>
      <c r="J1190" s="135"/>
      <c r="K1190" s="241">
        <f>K$1143</f>
        <v>0.51</v>
      </c>
      <c r="L1190" s="237"/>
      <c r="M1190" s="139">
        <f>ROUND($K1190*D1190,0)</f>
        <v>0</v>
      </c>
      <c r="N1190" s="114"/>
      <c r="O1190" s="114"/>
      <c r="P1190" s="114"/>
      <c r="Q1190" s="114"/>
      <c r="R1190" s="114"/>
      <c r="S1190" s="145">
        <f>K1190-'Order(Exhibit B)'!K1190</f>
        <v>0</v>
      </c>
      <c r="T1190" s="115">
        <f>M1190-'Order(Exhibit B)'!M1190</f>
        <v>0</v>
      </c>
    </row>
    <row r="1191" spans="1:20" s="243" customFormat="1">
      <c r="A1191" s="172" t="s">
        <v>334</v>
      </c>
      <c r="B1191" s="114"/>
      <c r="C1191" s="236"/>
      <c r="D1191" s="135"/>
      <c r="E1191" s="135"/>
      <c r="F1191" s="241">
        <v>0.59</v>
      </c>
      <c r="G1191" s="237"/>
      <c r="H1191" s="139">
        <f>ROUND($F1191*C1191,0)</f>
        <v>0</v>
      </c>
      <c r="I1191" s="139">
        <f>ROUND($F1191*D1191,0)</f>
        <v>0</v>
      </c>
      <c r="J1191" s="135"/>
      <c r="K1191" s="241">
        <f>K$1144</f>
        <v>0.42</v>
      </c>
      <c r="L1191" s="237"/>
      <c r="M1191" s="139">
        <f>ROUND($K1191*D1191,0)</f>
        <v>0</v>
      </c>
      <c r="N1191" s="114"/>
      <c r="O1191" s="114"/>
      <c r="P1191" s="114"/>
      <c r="Q1191" s="114"/>
      <c r="R1191" s="114"/>
      <c r="S1191" s="145">
        <f>K1191-'Order(Exhibit B)'!K1191</f>
        <v>0</v>
      </c>
      <c r="T1191" s="115">
        <f>M1191-'Order(Exhibit B)'!M1191</f>
        <v>0</v>
      </c>
    </row>
    <row r="1192" spans="1:20" s="243" customFormat="1">
      <c r="A1192" s="172" t="s">
        <v>338</v>
      </c>
      <c r="B1192" s="114"/>
      <c r="C1192" s="236"/>
      <c r="D1192" s="135"/>
      <c r="E1192" s="135"/>
      <c r="F1192" s="242"/>
      <c r="G1192" s="114"/>
      <c r="H1192" s="114"/>
      <c r="I1192" s="114"/>
      <c r="J1192" s="135"/>
      <c r="K1192" s="242"/>
      <c r="L1192" s="114"/>
      <c r="M1192" s="114"/>
      <c r="N1192" s="114"/>
      <c r="O1192" s="114"/>
      <c r="P1192" s="114"/>
      <c r="Q1192" s="114"/>
      <c r="R1192" s="114"/>
      <c r="S1192" s="145">
        <f>K1192-'Order(Exhibit B)'!K1192</f>
        <v>0</v>
      </c>
      <c r="T1192" s="115">
        <f>M1192-'Order(Exhibit B)'!M1192</f>
        <v>0</v>
      </c>
    </row>
    <row r="1193" spans="1:20" s="243" customFormat="1">
      <c r="A1193" s="172" t="s">
        <v>333</v>
      </c>
      <c r="B1193" s="114"/>
      <c r="C1193" s="236"/>
      <c r="D1193" s="135"/>
      <c r="E1193" s="135"/>
      <c r="F1193" s="241">
        <v>0.71</v>
      </c>
      <c r="G1193" s="138"/>
      <c r="H1193" s="139">
        <f>ROUND($F1193*C1193,0)</f>
        <v>0</v>
      </c>
      <c r="I1193" s="139">
        <f>ROUND($F1193*D1193,0)</f>
        <v>0</v>
      </c>
      <c r="J1193" s="135"/>
      <c r="K1193" s="241">
        <f>K$1146</f>
        <v>0.6</v>
      </c>
      <c r="L1193" s="138"/>
      <c r="M1193" s="139">
        <f>ROUND($K1193*D1193,0)</f>
        <v>0</v>
      </c>
      <c r="N1193" s="114"/>
      <c r="O1193" s="114"/>
      <c r="P1193" s="114"/>
      <c r="Q1193" s="114"/>
      <c r="R1193" s="114"/>
      <c r="S1193" s="145">
        <f>K1193-'Order(Exhibit B)'!K1193</f>
        <v>0</v>
      </c>
      <c r="T1193" s="115">
        <f>M1193-'Order(Exhibit B)'!M1193</f>
        <v>0</v>
      </c>
    </row>
    <row r="1194" spans="1:20" s="243" customFormat="1">
      <c r="A1194" s="172" t="s">
        <v>334</v>
      </c>
      <c r="B1194" s="114"/>
      <c r="C1194" s="236"/>
      <c r="D1194" s="135"/>
      <c r="E1194" s="135"/>
      <c r="F1194" s="241">
        <v>0.61</v>
      </c>
      <c r="G1194" s="138"/>
      <c r="H1194" s="139">
        <f>ROUND($F1194*C1194,0)</f>
        <v>0</v>
      </c>
      <c r="I1194" s="139">
        <f>ROUND($F1194*D1194,0)</f>
        <v>0</v>
      </c>
      <c r="J1194" s="135"/>
      <c r="K1194" s="241">
        <f>K$1147</f>
        <v>0.52</v>
      </c>
      <c r="L1194" s="138"/>
      <c r="M1194" s="139">
        <f>ROUND($K1194*D1194,0)</f>
        <v>0</v>
      </c>
      <c r="N1194" s="114"/>
      <c r="O1194" s="114"/>
      <c r="P1194" s="114"/>
      <c r="Q1194" s="114"/>
      <c r="R1194" s="114"/>
      <c r="S1194" s="145">
        <f>K1194-'Order(Exhibit B)'!K1194</f>
        <v>0</v>
      </c>
      <c r="T1194" s="115">
        <f>M1194-'Order(Exhibit B)'!M1194</f>
        <v>0</v>
      </c>
    </row>
    <row r="1195" spans="1:20" s="243" customFormat="1">
      <c r="A1195" s="136" t="s">
        <v>340</v>
      </c>
      <c r="B1195" s="114"/>
      <c r="C1195" s="135"/>
      <c r="D1195" s="135">
        <v>19450671.875000004</v>
      </c>
      <c r="E1195" s="135"/>
      <c r="F1195" s="244"/>
      <c r="G1195" s="163"/>
      <c r="H1195" s="139"/>
      <c r="I1195" s="139"/>
      <c r="J1195" s="135"/>
      <c r="K1195" s="244"/>
      <c r="L1195" s="163"/>
      <c r="M1195" s="139"/>
      <c r="N1195" s="114"/>
      <c r="O1195" s="244"/>
      <c r="P1195" s="145"/>
      <c r="Q1195" s="114"/>
      <c r="R1195" s="114"/>
      <c r="S1195" s="145">
        <f>K1195-'Order(Exhibit B)'!K1195</f>
        <v>0</v>
      </c>
      <c r="T1195" s="115">
        <f>M1195-'Order(Exhibit B)'!M1195</f>
        <v>0</v>
      </c>
    </row>
    <row r="1196" spans="1:20">
      <c r="A1196" s="136" t="s">
        <v>341</v>
      </c>
      <c r="C1196" s="230">
        <f>C1195</f>
        <v>0</v>
      </c>
      <c r="D1196" s="230">
        <f>D1195</f>
        <v>19450671.875000004</v>
      </c>
      <c r="E1196" s="137"/>
      <c r="F1196" s="193"/>
      <c r="G1196" s="193"/>
      <c r="H1196" s="228">
        <f>SUM(H1166:H1195)</f>
        <v>9240</v>
      </c>
      <c r="I1196" s="228">
        <f>SUM(I1166:I1195)</f>
        <v>803543</v>
      </c>
      <c r="J1196" s="137"/>
      <c r="K1196" s="193"/>
      <c r="L1196" s="193"/>
      <c r="M1196" s="228">
        <f>SUM(M1166:M1195)</f>
        <v>739037</v>
      </c>
      <c r="S1196" s="145">
        <f>K1196-'Order(Exhibit B)'!K1196</f>
        <v>0</v>
      </c>
      <c r="T1196" s="115">
        <f>M1196-'Order(Exhibit B)'!M1196</f>
        <v>958</v>
      </c>
    </row>
    <row r="1197" spans="1:20">
      <c r="A1197" s="245" t="s">
        <v>342</v>
      </c>
      <c r="S1197" s="145">
        <f>K1197-'Order(Exhibit B)'!K1197</f>
        <v>0</v>
      </c>
      <c r="T1197" s="115">
        <f>M1197-'Order(Exhibit B)'!M1197</f>
        <v>0</v>
      </c>
    </row>
    <row r="1198" spans="1:20">
      <c r="A1198" s="133" t="s">
        <v>353</v>
      </c>
      <c r="C1198" s="135"/>
      <c r="D1198" s="135"/>
      <c r="E1198" s="135"/>
      <c r="F1198" s="190"/>
      <c r="G1198" s="190"/>
      <c r="H1198" s="139"/>
      <c r="I1198" s="139"/>
      <c r="J1198" s="135"/>
      <c r="K1198" s="190"/>
      <c r="L1198" s="190"/>
      <c r="M1198" s="139"/>
      <c r="S1198" s="145">
        <f>K1198-'Order(Exhibit B)'!K1198</f>
        <v>0</v>
      </c>
      <c r="T1198" s="115">
        <f>M1198-'Order(Exhibit B)'!M1198</f>
        <v>0</v>
      </c>
    </row>
    <row r="1199" spans="1:20">
      <c r="A1199" s="136" t="s">
        <v>144</v>
      </c>
      <c r="C1199" s="135">
        <v>63794</v>
      </c>
      <c r="D1199" s="135">
        <f>C1199/($C$1206-$C$1205)*($D$1206-$D$1205)</f>
        <v>26047.788072014733</v>
      </c>
      <c r="E1199" s="135"/>
      <c r="F1199" s="190">
        <v>3.99</v>
      </c>
      <c r="G1199" s="138"/>
      <c r="H1199" s="139">
        <f t="shared" ref="H1199:I1201" si="268">ROUND($F1199*C1199,0)</f>
        <v>254538</v>
      </c>
      <c r="I1199" s="139">
        <f t="shared" si="268"/>
        <v>103931</v>
      </c>
      <c r="J1199" s="135"/>
      <c r="K1199" s="190">
        <f>K$114</f>
        <v>4.1399999999999997</v>
      </c>
      <c r="L1199" s="138"/>
      <c r="M1199" s="139">
        <f>ROUND($K1199*D1199,0)</f>
        <v>107838</v>
      </c>
      <c r="S1199" s="145">
        <f>K1199-'Order(Exhibit B)'!K1199</f>
        <v>1.9999999999999574E-2</v>
      </c>
      <c r="T1199" s="115">
        <f>M1199-'Order(Exhibit B)'!M1199</f>
        <v>521</v>
      </c>
    </row>
    <row r="1200" spans="1:20">
      <c r="A1200" s="136" t="s">
        <v>145</v>
      </c>
      <c r="C1200" s="135">
        <v>25317.072343632299</v>
      </c>
      <c r="D1200" s="135">
        <f t="shared" ref="D1200:D1201" si="269">C1200/($C$1206-$C$1205)*($D$1206-$D$1205)</f>
        <v>10337.237593046359</v>
      </c>
      <c r="E1200" s="135"/>
      <c r="F1200" s="190">
        <v>13.27</v>
      </c>
      <c r="G1200" s="138"/>
      <c r="H1200" s="139">
        <f t="shared" si="268"/>
        <v>335958</v>
      </c>
      <c r="I1200" s="139">
        <f t="shared" si="268"/>
        <v>137175</v>
      </c>
      <c r="J1200" s="135"/>
      <c r="K1200" s="190">
        <f>K$115</f>
        <v>13.77</v>
      </c>
      <c r="L1200" s="138"/>
      <c r="M1200" s="139">
        <f>ROUND($K1200*D1200,0)</f>
        <v>142344</v>
      </c>
      <c r="S1200" s="145">
        <f>K1200-'Order(Exhibit B)'!K1200</f>
        <v>5.9999999999998721E-2</v>
      </c>
      <c r="T1200" s="115">
        <f>M1200-'Order(Exhibit B)'!M1200</f>
        <v>620</v>
      </c>
    </row>
    <row r="1201" spans="1:20">
      <c r="A1201" s="136" t="s">
        <v>146</v>
      </c>
      <c r="C1201" s="135">
        <v>38476.928449744497</v>
      </c>
      <c r="D1201" s="135">
        <f t="shared" si="269"/>
        <v>15710.550802912796</v>
      </c>
      <c r="E1201" s="135"/>
      <c r="F1201" s="190">
        <v>11.74</v>
      </c>
      <c r="G1201" s="138"/>
      <c r="H1201" s="139">
        <f t="shared" si="268"/>
        <v>451719</v>
      </c>
      <c r="I1201" s="139">
        <f t="shared" si="268"/>
        <v>184442</v>
      </c>
      <c r="J1201" s="135"/>
      <c r="K1201" s="190">
        <f>K$116</f>
        <v>12.18</v>
      </c>
      <c r="L1201" s="138"/>
      <c r="M1201" s="139">
        <f>ROUND($K1201*D1201,0)</f>
        <v>191355</v>
      </c>
      <c r="S1201" s="145">
        <f>K1201-'Order(Exhibit B)'!K1201</f>
        <v>4.9999999999998934E-2</v>
      </c>
      <c r="T1201" s="115">
        <f>M1201-'Order(Exhibit B)'!M1201</f>
        <v>786</v>
      </c>
    </row>
    <row r="1202" spans="1:20">
      <c r="A1202" s="136" t="s">
        <v>148</v>
      </c>
      <c r="C1202" s="135">
        <v>11583088</v>
      </c>
      <c r="D1202" s="135">
        <v>4278293.0546974754</v>
      </c>
      <c r="E1202" s="135"/>
      <c r="F1202" s="193">
        <v>3.8877999999999999</v>
      </c>
      <c r="G1202" s="163" t="s">
        <v>112</v>
      </c>
      <c r="H1202" s="139">
        <f>ROUND($F1202*C1202/100,0)</f>
        <v>450327</v>
      </c>
      <c r="I1202" s="139">
        <f>ROUND($F1202*D1202/100,0)</f>
        <v>166331</v>
      </c>
      <c r="J1202" s="135"/>
      <c r="K1202" s="193">
        <f>K$117</f>
        <v>3.9407999999999999</v>
      </c>
      <c r="L1202" s="163" t="s">
        <v>112</v>
      </c>
      <c r="M1202" s="139">
        <f>ROUND($K1202*D1202/100,0)</f>
        <v>168599</v>
      </c>
      <c r="S1202" s="145">
        <f>K1202-'Order(Exhibit B)'!K1202</f>
        <v>5.7000000000000384E-3</v>
      </c>
      <c r="T1202" s="115">
        <f>M1202-'Order(Exhibit B)'!M1202</f>
        <v>244</v>
      </c>
    </row>
    <row r="1203" spans="1:20">
      <c r="A1203" s="136" t="s">
        <v>149</v>
      </c>
      <c r="C1203" s="135">
        <v>17806649</v>
      </c>
      <c r="D1203" s="135">
        <v>7721858.0703025237</v>
      </c>
      <c r="E1203" s="135"/>
      <c r="F1203" s="193">
        <v>3.4405000000000001</v>
      </c>
      <c r="G1203" s="163" t="s">
        <v>112</v>
      </c>
      <c r="H1203" s="139">
        <f>ROUND($F1203*C1203/100,0)</f>
        <v>612638</v>
      </c>
      <c r="I1203" s="139">
        <f>ROUND($F1203*D1203/100,0)</f>
        <v>265671</v>
      </c>
      <c r="J1203" s="135"/>
      <c r="K1203" s="193">
        <f>K$118</f>
        <v>3.4872999999999998</v>
      </c>
      <c r="L1203" s="163" t="s">
        <v>112</v>
      </c>
      <c r="M1203" s="139">
        <f>ROUND($K1203*D1203/100,0)</f>
        <v>269284</v>
      </c>
      <c r="S1203" s="145">
        <f>K1203-'Order(Exhibit B)'!K1203</f>
        <v>4.9999999999998934E-3</v>
      </c>
      <c r="T1203" s="115">
        <f>M1203-'Order(Exhibit B)'!M1203</f>
        <v>386</v>
      </c>
    </row>
    <row r="1204" spans="1:20">
      <c r="A1204" s="136" t="s">
        <v>150</v>
      </c>
      <c r="C1204" s="135">
        <v>0</v>
      </c>
      <c r="D1204" s="135">
        <f>C1204/($C$1206-$C$1205)*($D$1206-$D$1205)</f>
        <v>0</v>
      </c>
      <c r="E1204" s="135"/>
      <c r="F1204" s="138">
        <v>-0.96</v>
      </c>
      <c r="G1204" s="138"/>
      <c r="H1204" s="139">
        <f>ROUND($F1204*C1204,0)</f>
        <v>0</v>
      </c>
      <c r="I1204" s="139">
        <f>ROUND($F1204*D1204,0)</f>
        <v>0</v>
      </c>
      <c r="J1204" s="135"/>
      <c r="K1204" s="138">
        <f>K$119</f>
        <v>-0.96</v>
      </c>
      <c r="L1204" s="138"/>
      <c r="M1204" s="139">
        <f>ROUND($K1204*D1204,0)</f>
        <v>0</v>
      </c>
      <c r="S1204" s="145">
        <f>K1204-'Order(Exhibit B)'!K1204</f>
        <v>0</v>
      </c>
      <c r="T1204" s="115">
        <f>M1204-'Order(Exhibit B)'!M1204</f>
        <v>0</v>
      </c>
    </row>
    <row r="1205" spans="1:20">
      <c r="A1205" s="172" t="s">
        <v>123</v>
      </c>
      <c r="C1205" s="135">
        <v>0</v>
      </c>
      <c r="D1205" s="135">
        <f>C1205</f>
        <v>0</v>
      </c>
      <c r="E1205" s="135"/>
      <c r="F1205" s="193">
        <v>7.125</v>
      </c>
      <c r="G1205" s="163" t="s">
        <v>112</v>
      </c>
      <c r="H1205" s="139">
        <f>ROUND($F1205*C1205/100,0)</f>
        <v>0</v>
      </c>
      <c r="I1205" s="139">
        <f>ROUND($F1205*D1205/100,0)</f>
        <v>0</v>
      </c>
      <c r="J1205" s="135"/>
      <c r="K1205" s="193">
        <f>K$120</f>
        <v>7.125</v>
      </c>
      <c r="L1205" s="163" t="s">
        <v>112</v>
      </c>
      <c r="M1205" s="139">
        <f>ROUND($K1205*D1205/100,0)</f>
        <v>0</v>
      </c>
      <c r="S1205" s="145">
        <f>K1205-'Order(Exhibit B)'!K1205</f>
        <v>0</v>
      </c>
      <c r="T1205" s="115">
        <f>M1205-'Order(Exhibit B)'!M1205</f>
        <v>0</v>
      </c>
    </row>
    <row r="1206" spans="1:20">
      <c r="A1206" s="136" t="s">
        <v>341</v>
      </c>
      <c r="C1206" s="214">
        <f>SUM(C1202:C1203,C1205)</f>
        <v>29389737</v>
      </c>
      <c r="D1206" s="214">
        <f>SUM(D1202:D1203,D1205)</f>
        <v>12000151.125</v>
      </c>
      <c r="E1206" s="214"/>
      <c r="F1206" s="239"/>
      <c r="G1206" s="216"/>
      <c r="H1206" s="217">
        <f>SUM(H1199:H1205)</f>
        <v>2105180</v>
      </c>
      <c r="I1206" s="217">
        <f>SUM(I1199:I1205)</f>
        <v>857550</v>
      </c>
      <c r="J1206" s="214"/>
      <c r="K1206" s="239"/>
      <c r="L1206" s="216"/>
      <c r="M1206" s="217">
        <f>SUM(M1199:M1205)</f>
        <v>879420</v>
      </c>
      <c r="S1206" s="145">
        <f>K1206-'Order(Exhibit B)'!K1206</f>
        <v>0</v>
      </c>
      <c r="T1206" s="115">
        <f>M1206-'Order(Exhibit B)'!M1206</f>
        <v>2557</v>
      </c>
    </row>
    <row r="1207" spans="1:20">
      <c r="A1207" s="172" t="s">
        <v>125</v>
      </c>
      <c r="B1207" s="173"/>
      <c r="C1207" s="135">
        <v>224104</v>
      </c>
      <c r="D1207" s="135"/>
      <c r="E1207" s="135"/>
      <c r="F1207" s="174"/>
      <c r="G1207" s="13"/>
      <c r="H1207" s="139">
        <v>16034</v>
      </c>
      <c r="I1207" s="139"/>
      <c r="J1207" s="135"/>
      <c r="K1207" s="174"/>
      <c r="L1207" s="13"/>
      <c r="M1207" s="139"/>
      <c r="N1207" s="164"/>
      <c r="O1207" s="164"/>
      <c r="P1207" s="164"/>
      <c r="S1207" s="145">
        <f>K1207-'Order(Exhibit B)'!K1207</f>
        <v>0</v>
      </c>
      <c r="T1207" s="115">
        <f>M1207-'Order(Exhibit B)'!M1207</f>
        <v>0</v>
      </c>
    </row>
    <row r="1208" spans="1:20" ht="16.5" thickBot="1">
      <c r="A1208" s="176" t="s">
        <v>316</v>
      </c>
      <c r="B1208" s="177"/>
      <c r="C1208" s="178">
        <f>SUM(C1196,C1206:C1207)</f>
        <v>29613841</v>
      </c>
      <c r="D1208" s="178">
        <v>31450823</v>
      </c>
      <c r="E1208" s="178"/>
      <c r="F1208" s="177"/>
      <c r="G1208" s="177"/>
      <c r="H1208" s="179">
        <f>SUM(H1196,H1206:H1207)</f>
        <v>2130454</v>
      </c>
      <c r="I1208" s="179">
        <f>SUM(I1196,I1206:I1207)</f>
        <v>1661093</v>
      </c>
      <c r="J1208" s="178"/>
      <c r="K1208" s="177"/>
      <c r="L1208" s="177"/>
      <c r="M1208" s="179">
        <f>SUM(M1196,M1206:M1207)</f>
        <v>1618457</v>
      </c>
      <c r="O1208" s="114" t="s">
        <v>108</v>
      </c>
      <c r="P1208" s="164">
        <f>M1208/I1208-1</f>
        <v>-2.566743704295904E-2</v>
      </c>
      <c r="S1208" s="145">
        <f>K1208-'Order(Exhibit B)'!K1208</f>
        <v>0</v>
      </c>
      <c r="T1208" s="115">
        <f>M1208-'Order(Exhibit B)'!M1208</f>
        <v>3515</v>
      </c>
    </row>
    <row r="1209" spans="1:20" ht="16.5" thickTop="1">
      <c r="S1209" s="145">
        <f>K1209-'Order(Exhibit B)'!K1209</f>
        <v>0</v>
      </c>
      <c r="T1209" s="115">
        <f>M1209-'Order(Exhibit B)'!M1209</f>
        <v>0</v>
      </c>
    </row>
    <row r="1210" spans="1:20" ht="18.75">
      <c r="A1210" s="240" t="s">
        <v>354</v>
      </c>
      <c r="C1210" s="135"/>
      <c r="D1210" s="135"/>
      <c r="E1210" s="135"/>
      <c r="F1210" s="193"/>
      <c r="G1210" s="193"/>
      <c r="J1210" s="135"/>
      <c r="K1210" s="193"/>
      <c r="L1210" s="193"/>
      <c r="S1210" s="145">
        <f>K1210-'Order(Exhibit B)'!K1210</f>
        <v>0</v>
      </c>
      <c r="T1210" s="115">
        <f>M1210-'Order(Exhibit B)'!M1210</f>
        <v>0</v>
      </c>
    </row>
    <row r="1211" spans="1:20">
      <c r="A1211" s="172" t="s">
        <v>319</v>
      </c>
      <c r="C1211" s="135"/>
      <c r="D1211" s="135"/>
      <c r="E1211" s="135"/>
      <c r="J1211" s="135"/>
      <c r="S1211" s="145">
        <f>K1211-'Order(Exhibit B)'!K1211</f>
        <v>0</v>
      </c>
      <c r="T1211" s="115">
        <f>M1211-'Order(Exhibit B)'!M1211</f>
        <v>0</v>
      </c>
    </row>
    <row r="1212" spans="1:20">
      <c r="A1212" s="172" t="s">
        <v>320</v>
      </c>
      <c r="B1212" s="220"/>
      <c r="C1212" s="236"/>
      <c r="D1212" s="135"/>
      <c r="E1212" s="135"/>
      <c r="F1212" s="241">
        <v>55</v>
      </c>
      <c r="G1212" s="138"/>
      <c r="H1212" s="139">
        <f t="shared" ref="H1212:I1214" si="270">ROUND($F1212*C1212,0)</f>
        <v>0</v>
      </c>
      <c r="I1212" s="139">
        <f t="shared" si="270"/>
        <v>0</v>
      </c>
      <c r="J1212" s="135"/>
      <c r="K1212" s="241">
        <f>K$1119</f>
        <v>57</v>
      </c>
      <c r="L1212" s="138"/>
      <c r="M1212" s="139">
        <f>ROUND($K1212*D1212,0)</f>
        <v>0</v>
      </c>
      <c r="O1212" s="132"/>
      <c r="P1212" s="236"/>
      <c r="S1212" s="145">
        <f>K1212-'Order(Exhibit B)'!K1212</f>
        <v>1</v>
      </c>
      <c r="T1212" s="115">
        <f>M1212-'Order(Exhibit B)'!M1212</f>
        <v>0</v>
      </c>
    </row>
    <row r="1213" spans="1:20">
      <c r="A1213" s="172" t="s">
        <v>321</v>
      </c>
      <c r="B1213" s="220"/>
      <c r="C1213" s="236">
        <v>64.233380281690103</v>
      </c>
      <c r="D1213" s="135">
        <v>72</v>
      </c>
      <c r="E1213" s="135"/>
      <c r="F1213" s="241">
        <v>72</v>
      </c>
      <c r="G1213" s="138"/>
      <c r="H1213" s="139">
        <f t="shared" si="270"/>
        <v>4625</v>
      </c>
      <c r="I1213" s="139">
        <f t="shared" si="270"/>
        <v>5184</v>
      </c>
      <c r="J1213" s="135"/>
      <c r="K1213" s="241">
        <f>K$1120</f>
        <v>74</v>
      </c>
      <c r="L1213" s="138"/>
      <c r="M1213" s="139">
        <f>ROUND($K1213*D1213,0)</f>
        <v>5328</v>
      </c>
      <c r="O1213" s="146" t="s">
        <v>101</v>
      </c>
      <c r="P1213" s="147">
        <f>M1255</f>
        <v>3583744</v>
      </c>
      <c r="S1213" s="145">
        <f>K1213-'Order(Exhibit B)'!K1213</f>
        <v>0</v>
      </c>
      <c r="T1213" s="115">
        <f>M1213-'Order(Exhibit B)'!M1213</f>
        <v>0</v>
      </c>
    </row>
    <row r="1214" spans="1:20">
      <c r="A1214" s="172" t="s">
        <v>322</v>
      </c>
      <c r="B1214" s="220"/>
      <c r="C1214" s="236"/>
      <c r="D1214" s="135"/>
      <c r="E1214" s="135"/>
      <c r="F1214" s="242">
        <v>266</v>
      </c>
      <c r="G1214" s="190"/>
      <c r="H1214" s="139">
        <f t="shared" si="270"/>
        <v>0</v>
      </c>
      <c r="I1214" s="139">
        <f t="shared" si="270"/>
        <v>0</v>
      </c>
      <c r="J1214" s="135"/>
      <c r="K1214" s="241">
        <f>K$1121</f>
        <v>283</v>
      </c>
      <c r="L1214" s="190"/>
      <c r="M1214" s="139">
        <f>ROUND($K1214*D1214,0)</f>
        <v>0</v>
      </c>
      <c r="O1214" s="149" t="s">
        <v>103</v>
      </c>
      <c r="P1214" s="150">
        <f>'Exhibit B(Rate Spread)'!M32*1000+M1241</f>
        <v>3758059.0522881937</v>
      </c>
      <c r="S1214" s="145">
        <f>K1214-'Order(Exhibit B)'!K1214</f>
        <v>1</v>
      </c>
      <c r="T1214" s="115">
        <f>M1214-'Order(Exhibit B)'!M1214</f>
        <v>0</v>
      </c>
    </row>
    <row r="1215" spans="1:20">
      <c r="A1215" s="172" t="s">
        <v>323</v>
      </c>
      <c r="B1215" s="220"/>
      <c r="C1215" s="236"/>
      <c r="D1215" s="135"/>
      <c r="E1215" s="135"/>
      <c r="F1215" s="241"/>
      <c r="G1215" s="237"/>
      <c r="H1215" s="139"/>
      <c r="I1215" s="139"/>
      <c r="J1215" s="135"/>
      <c r="K1215" s="241"/>
      <c r="L1215" s="237"/>
      <c r="M1215" s="139"/>
      <c r="O1215" s="152" t="s">
        <v>105</v>
      </c>
      <c r="P1215" s="153">
        <f>P1214-P1213</f>
        <v>174315.05228819372</v>
      </c>
      <c r="S1215" s="145">
        <f>K1215-'Order(Exhibit B)'!K1215</f>
        <v>0</v>
      </c>
      <c r="T1215" s="115">
        <f>M1215-'Order(Exhibit B)'!M1215</f>
        <v>0</v>
      </c>
    </row>
    <row r="1216" spans="1:20">
      <c r="A1216" s="172" t="s">
        <v>324</v>
      </c>
      <c r="B1216" s="220"/>
      <c r="C1216" s="236"/>
      <c r="D1216" s="135">
        <f>D1213</f>
        <v>72</v>
      </c>
      <c r="E1216" s="135"/>
      <c r="F1216" s="241">
        <v>113</v>
      </c>
      <c r="G1216" s="237"/>
      <c r="H1216" s="139">
        <f t="shared" ref="H1216:I1218" si="271">ROUND($F1216*C1216,0)</f>
        <v>0</v>
      </c>
      <c r="I1216" s="139">
        <f t="shared" si="271"/>
        <v>8136</v>
      </c>
      <c r="J1216" s="135"/>
      <c r="K1216" s="241">
        <f>K$1123</f>
        <v>118</v>
      </c>
      <c r="L1216" s="237"/>
      <c r="M1216" s="139">
        <f>ROUND($K1216*D1216,0)</f>
        <v>8496</v>
      </c>
      <c r="O1216" s="146" t="s">
        <v>108</v>
      </c>
      <c r="P1216" s="192">
        <f>P1213/I1255-1</f>
        <v>-1.2398998604590261E-3</v>
      </c>
      <c r="S1216" s="145">
        <f>K1216-'Order(Exhibit B)'!K1216</f>
        <v>0</v>
      </c>
      <c r="T1216" s="115">
        <f>M1216-'Order(Exhibit B)'!M1216</f>
        <v>0</v>
      </c>
    </row>
    <row r="1217" spans="1:20" s="243" customFormat="1">
      <c r="A1217" s="172" t="s">
        <v>325</v>
      </c>
      <c r="B1217" s="220"/>
      <c r="C1217" s="236"/>
      <c r="D1217" s="135">
        <f>D1213</f>
        <v>72</v>
      </c>
      <c r="E1217" s="135"/>
      <c r="F1217" s="241">
        <v>154</v>
      </c>
      <c r="G1217" s="237"/>
      <c r="H1217" s="139">
        <f t="shared" si="271"/>
        <v>0</v>
      </c>
      <c r="I1217" s="139">
        <f t="shared" si="271"/>
        <v>11088</v>
      </c>
      <c r="J1217" s="135"/>
      <c r="K1217" s="241">
        <f>K$1124</f>
        <v>161</v>
      </c>
      <c r="L1217" s="237"/>
      <c r="M1217" s="139">
        <f>ROUND($K1217*D1217,0)</f>
        <v>11592</v>
      </c>
      <c r="N1217" s="114"/>
      <c r="O1217" s="149" t="s">
        <v>110</v>
      </c>
      <c r="P1217" s="191">
        <f>P1214/I1255-1</f>
        <v>4.7340277484570592E-2</v>
      </c>
      <c r="Q1217" s="114"/>
      <c r="R1217" s="114"/>
      <c r="S1217" s="145">
        <f>K1217-'Order(Exhibit B)'!K1217</f>
        <v>0</v>
      </c>
      <c r="T1217" s="115">
        <f>M1217-'Order(Exhibit B)'!M1217</f>
        <v>0</v>
      </c>
    </row>
    <row r="1218" spans="1:20" s="243" customFormat="1">
      <c r="A1218" s="136" t="s">
        <v>109</v>
      </c>
      <c r="B1218" s="114"/>
      <c r="C1218" s="135"/>
      <c r="D1218" s="135">
        <v>50.046711559665788</v>
      </c>
      <c r="E1218" s="135"/>
      <c r="F1218" s="138">
        <v>-0.5</v>
      </c>
      <c r="G1218" s="138"/>
      <c r="H1218" s="139">
        <f t="shared" si="271"/>
        <v>0</v>
      </c>
      <c r="I1218" s="139">
        <f t="shared" si="271"/>
        <v>-25</v>
      </c>
      <c r="J1218" s="135"/>
      <c r="K1218" s="241">
        <f>K$1125</f>
        <v>-0.5</v>
      </c>
      <c r="L1218" s="138"/>
      <c r="M1218" s="139">
        <f>ROUND($K1218*D1218,0)</f>
        <v>-25</v>
      </c>
      <c r="N1218" s="114"/>
      <c r="O1218" s="167"/>
      <c r="P1218" s="194"/>
      <c r="Q1218" s="114"/>
      <c r="R1218" s="114"/>
      <c r="S1218" s="145">
        <f>K1218-'Order(Exhibit B)'!K1218</f>
        <v>0</v>
      </c>
      <c r="T1218" s="115">
        <f>M1218-'Order(Exhibit B)'!M1218</f>
        <v>0</v>
      </c>
    </row>
    <row r="1219" spans="1:20" s="243" customFormat="1">
      <c r="A1219" s="172" t="s">
        <v>326</v>
      </c>
      <c r="B1219" s="220"/>
      <c r="C1219" s="236"/>
      <c r="D1219" s="135"/>
      <c r="E1219" s="135"/>
      <c r="F1219" s="242"/>
      <c r="G1219" s="238"/>
      <c r="H1219" s="139"/>
      <c r="I1219" s="139"/>
      <c r="J1219" s="135"/>
      <c r="K1219" s="242"/>
      <c r="L1219" s="238"/>
      <c r="M1219" s="139"/>
      <c r="N1219" s="114"/>
      <c r="O1219" s="114"/>
      <c r="P1219" s="114"/>
      <c r="Q1219" s="114"/>
      <c r="R1219" s="114"/>
      <c r="S1219" s="145">
        <f>K1219-'Order(Exhibit B)'!K1219</f>
        <v>0</v>
      </c>
      <c r="T1219" s="115">
        <f>M1219-'Order(Exhibit B)'!M1219</f>
        <v>0</v>
      </c>
    </row>
    <row r="1220" spans="1:20" s="243" customFormat="1">
      <c r="A1220" s="172" t="s">
        <v>327</v>
      </c>
      <c r="B1220" s="220"/>
      <c r="C1220" s="236"/>
      <c r="D1220" s="135"/>
      <c r="E1220" s="135"/>
      <c r="F1220" s="241">
        <v>7.52</v>
      </c>
      <c r="G1220" s="237"/>
      <c r="H1220" s="139">
        <f t="shared" ref="H1220:I1224" si="272">ROUND($F1220*C1220,0)</f>
        <v>0</v>
      </c>
      <c r="I1220" s="139">
        <f t="shared" si="272"/>
        <v>0</v>
      </c>
      <c r="J1220" s="135"/>
      <c r="K1220" s="241">
        <f>K$1127</f>
        <v>8.69</v>
      </c>
      <c r="L1220" s="237"/>
      <c r="M1220" s="139">
        <f>ROUND($K1220*D1220,0)</f>
        <v>0</v>
      </c>
      <c r="N1220" s="114"/>
      <c r="O1220" s="114"/>
      <c r="P1220" s="114"/>
      <c r="Q1220" s="114"/>
      <c r="R1220" s="114"/>
      <c r="S1220" s="145">
        <f>K1220-'Order(Exhibit B)'!K1220</f>
        <v>1.9999999999999574E-2</v>
      </c>
      <c r="T1220" s="115">
        <f>M1220-'Order(Exhibit B)'!M1220</f>
        <v>0</v>
      </c>
    </row>
    <row r="1221" spans="1:20" s="243" customFormat="1">
      <c r="A1221" s="172" t="s">
        <v>328</v>
      </c>
      <c r="B1221" s="220"/>
      <c r="C1221" s="236"/>
      <c r="D1221" s="135"/>
      <c r="E1221" s="135"/>
      <c r="F1221" s="241">
        <v>6.56</v>
      </c>
      <c r="G1221" s="237"/>
      <c r="H1221" s="139">
        <f t="shared" si="272"/>
        <v>0</v>
      </c>
      <c r="I1221" s="139">
        <f t="shared" si="272"/>
        <v>0</v>
      </c>
      <c r="J1221" s="135"/>
      <c r="K1221" s="241">
        <f>K$1128</f>
        <v>7.86</v>
      </c>
      <c r="L1221" s="237"/>
      <c r="M1221" s="139">
        <f>ROUND($K1221*D1221,0)</f>
        <v>0</v>
      </c>
      <c r="N1221" s="114"/>
      <c r="O1221" s="114"/>
      <c r="P1221" s="114"/>
      <c r="Q1221" s="114"/>
      <c r="R1221" s="114"/>
      <c r="S1221" s="145">
        <f>K1221-'Order(Exhibit B)'!K1221</f>
        <v>2.0000000000000462E-2</v>
      </c>
      <c r="T1221" s="115">
        <f>M1221-'Order(Exhibit B)'!M1221</f>
        <v>0</v>
      </c>
    </row>
    <row r="1222" spans="1:20" s="243" customFormat="1">
      <c r="A1222" s="172" t="s">
        <v>329</v>
      </c>
      <c r="B1222" s="220"/>
      <c r="C1222" s="236"/>
      <c r="D1222" s="135"/>
      <c r="E1222" s="135"/>
      <c r="F1222" s="241">
        <v>8.3699999999999992</v>
      </c>
      <c r="G1222" s="138"/>
      <c r="H1222" s="139">
        <f t="shared" si="272"/>
        <v>0</v>
      </c>
      <c r="I1222" s="139">
        <f t="shared" si="272"/>
        <v>0</v>
      </c>
      <c r="J1222" s="135"/>
      <c r="K1222" s="241">
        <f>K$1129</f>
        <v>9.99</v>
      </c>
      <c r="L1222" s="138"/>
      <c r="M1222" s="139">
        <f>ROUND($K1222*D1222,0)</f>
        <v>0</v>
      </c>
      <c r="N1222" s="114"/>
      <c r="O1222" s="114"/>
      <c r="P1222" s="114"/>
      <c r="Q1222" s="114"/>
      <c r="R1222" s="114"/>
      <c r="S1222" s="145">
        <f>K1222-'Order(Exhibit B)'!K1222</f>
        <v>2.9999999999999361E-2</v>
      </c>
      <c r="T1222" s="115">
        <f>M1222-'Order(Exhibit B)'!M1222</f>
        <v>0</v>
      </c>
    </row>
    <row r="1223" spans="1:20" s="243" customFormat="1">
      <c r="A1223" s="172" t="s">
        <v>330</v>
      </c>
      <c r="B1223" s="220"/>
      <c r="C1223" s="236"/>
      <c r="D1223" s="135">
        <f>D1131/D1150*D1242</f>
        <v>70598.976275751716</v>
      </c>
      <c r="E1223" s="135"/>
      <c r="F1223" s="241">
        <v>7.24</v>
      </c>
      <c r="G1223" s="237"/>
      <c r="H1223" s="139">
        <f t="shared" si="272"/>
        <v>0</v>
      </c>
      <c r="I1223" s="139">
        <f t="shared" si="272"/>
        <v>511137</v>
      </c>
      <c r="J1223" s="135"/>
      <c r="K1223" s="241">
        <f>K$1130</f>
        <v>9.36</v>
      </c>
      <c r="L1223" s="237"/>
      <c r="M1223" s="139">
        <f>ROUND($K1223*D1223,0)</f>
        <v>660806</v>
      </c>
      <c r="N1223" s="114"/>
      <c r="O1223" s="114"/>
      <c r="P1223" s="114"/>
      <c r="Q1223" s="114"/>
      <c r="R1223" s="114"/>
      <c r="S1223" s="145">
        <f>K1223-'Order(Exhibit B)'!K1223</f>
        <v>2.9999999999999361E-2</v>
      </c>
      <c r="T1223" s="115">
        <f>M1223-'Order(Exhibit B)'!M1223</f>
        <v>2118</v>
      </c>
    </row>
    <row r="1224" spans="1:20" s="243" customFormat="1">
      <c r="A1224" s="172" t="s">
        <v>322</v>
      </c>
      <c r="B1224" s="220"/>
      <c r="C1224" s="236"/>
      <c r="D1224" s="135"/>
      <c r="E1224" s="135"/>
      <c r="F1224" s="241">
        <v>4.3499999999999996</v>
      </c>
      <c r="G1224" s="237"/>
      <c r="H1224" s="139">
        <f t="shared" si="272"/>
        <v>0</v>
      </c>
      <c r="I1224" s="139">
        <f t="shared" si="272"/>
        <v>0</v>
      </c>
      <c r="J1224" s="135"/>
      <c r="K1224" s="241">
        <f>K$1131</f>
        <v>5</v>
      </c>
      <c r="L1224" s="237"/>
      <c r="M1224" s="139">
        <f>ROUND($K1224*D1224,0)</f>
        <v>0</v>
      </c>
      <c r="N1224" s="114"/>
      <c r="O1224" s="114"/>
      <c r="P1224" s="114"/>
      <c r="Q1224" s="114"/>
      <c r="R1224" s="114"/>
      <c r="S1224" s="145">
        <f>K1224-'Order(Exhibit B)'!K1224</f>
        <v>9.9999999999997868E-3</v>
      </c>
      <c r="T1224" s="115">
        <f>M1224-'Order(Exhibit B)'!M1224</f>
        <v>0</v>
      </c>
    </row>
    <row r="1225" spans="1:20" s="243" customFormat="1">
      <c r="A1225" s="172" t="s">
        <v>331</v>
      </c>
      <c r="B1225" s="114"/>
      <c r="C1225" s="236"/>
      <c r="D1225" s="135"/>
      <c r="E1225" s="135"/>
      <c r="F1225" s="242"/>
      <c r="G1225" s="114"/>
      <c r="H1225" s="114"/>
      <c r="I1225" s="114"/>
      <c r="J1225" s="135"/>
      <c r="K1225" s="242"/>
      <c r="L1225" s="114"/>
      <c r="M1225" s="114"/>
      <c r="N1225" s="114"/>
      <c r="O1225" s="114"/>
      <c r="P1225" s="114"/>
      <c r="Q1225" s="114"/>
      <c r="R1225" s="114"/>
      <c r="S1225" s="145">
        <f>K1225-'Order(Exhibit B)'!K1225</f>
        <v>0</v>
      </c>
      <c r="T1225" s="115">
        <f>M1225-'Order(Exhibit B)'!M1225</f>
        <v>0</v>
      </c>
    </row>
    <row r="1226" spans="1:20" s="243" customFormat="1">
      <c r="A1226" s="172" t="s">
        <v>332</v>
      </c>
      <c r="B1226" s="114"/>
      <c r="C1226" s="236"/>
      <c r="D1226" s="135"/>
      <c r="E1226" s="135"/>
      <c r="F1226" s="241"/>
      <c r="G1226" s="138"/>
      <c r="H1226" s="139"/>
      <c r="I1226" s="139"/>
      <c r="J1226" s="135"/>
      <c r="K1226" s="241"/>
      <c r="L1226" s="138"/>
      <c r="M1226" s="139"/>
      <c r="N1226" s="114"/>
      <c r="O1226" s="114"/>
      <c r="P1226" s="114"/>
      <c r="Q1226" s="114"/>
      <c r="R1226" s="114"/>
      <c r="S1226" s="145">
        <f>K1226-'Order(Exhibit B)'!K1226</f>
        <v>0</v>
      </c>
      <c r="T1226" s="115">
        <f>M1226-'Order(Exhibit B)'!M1226</f>
        <v>0</v>
      </c>
    </row>
    <row r="1227" spans="1:20" s="243" customFormat="1">
      <c r="A1227" s="172" t="s">
        <v>333</v>
      </c>
      <c r="B1227" s="114"/>
      <c r="C1227" s="236"/>
      <c r="D1227" s="135"/>
      <c r="E1227" s="135"/>
      <c r="F1227" s="241">
        <v>0.56999999999999995</v>
      </c>
      <c r="G1227" s="138"/>
      <c r="H1227" s="139">
        <f>ROUND($F1227*C1227,0)</f>
        <v>0</v>
      </c>
      <c r="I1227" s="139">
        <f>ROUND($F1227*D1227,0)</f>
        <v>0</v>
      </c>
      <c r="J1227" s="135"/>
      <c r="K1227" s="241">
        <f>K$1134</f>
        <v>0.43</v>
      </c>
      <c r="L1227" s="138"/>
      <c r="M1227" s="139">
        <f>ROUND($K1227*D1227,0)</f>
        <v>0</v>
      </c>
      <c r="N1227" s="114"/>
      <c r="O1227" s="114"/>
      <c r="P1227" s="114"/>
      <c r="Q1227" s="114"/>
      <c r="R1227" s="114"/>
      <c r="S1227" s="145">
        <f>K1227-'Order(Exhibit B)'!K1227</f>
        <v>0</v>
      </c>
      <c r="T1227" s="115">
        <f>M1227-'Order(Exhibit B)'!M1227</f>
        <v>0</v>
      </c>
    </row>
    <row r="1228" spans="1:20" s="243" customFormat="1">
      <c r="A1228" s="172" t="s">
        <v>334</v>
      </c>
      <c r="B1228" s="114"/>
      <c r="C1228" s="236"/>
      <c r="D1228" s="135"/>
      <c r="E1228" s="135"/>
      <c r="F1228" s="241">
        <v>0.48</v>
      </c>
      <c r="G1228" s="138"/>
      <c r="H1228" s="139">
        <f>ROUND($F1228*C1228,0)</f>
        <v>0</v>
      </c>
      <c r="I1228" s="139">
        <f>ROUND($F1228*D1228,0)</f>
        <v>0</v>
      </c>
      <c r="J1228" s="135"/>
      <c r="K1228" s="241">
        <f>K$1135</f>
        <v>0.36</v>
      </c>
      <c r="L1228" s="138"/>
      <c r="M1228" s="139">
        <f>ROUND($K1228*D1228,0)</f>
        <v>0</v>
      </c>
      <c r="N1228" s="114"/>
      <c r="O1228" s="114"/>
      <c r="P1228" s="114"/>
      <c r="Q1228" s="114"/>
      <c r="R1228" s="114"/>
      <c r="S1228" s="145">
        <f>K1228-'Order(Exhibit B)'!K1228</f>
        <v>0</v>
      </c>
      <c r="T1228" s="115">
        <f>M1228-'Order(Exhibit B)'!M1228</f>
        <v>0</v>
      </c>
    </row>
    <row r="1229" spans="1:20" s="243" customFormat="1">
      <c r="A1229" s="172" t="s">
        <v>335</v>
      </c>
      <c r="B1229" s="114"/>
      <c r="C1229" s="236"/>
      <c r="D1229" s="135"/>
      <c r="E1229" s="135"/>
      <c r="F1229" s="241"/>
      <c r="G1229" s="237"/>
      <c r="H1229" s="139"/>
      <c r="I1229" s="139"/>
      <c r="J1229" s="135"/>
      <c r="K1229" s="241"/>
      <c r="L1229" s="237"/>
      <c r="M1229" s="139"/>
      <c r="N1229" s="114"/>
      <c r="O1229" s="114"/>
      <c r="P1229" s="114"/>
      <c r="Q1229" s="114"/>
      <c r="R1229" s="114"/>
      <c r="S1229" s="145">
        <f>K1229-'Order(Exhibit B)'!K1229</f>
        <v>0</v>
      </c>
      <c r="T1229" s="115">
        <f>M1229-'Order(Exhibit B)'!M1229</f>
        <v>0</v>
      </c>
    </row>
    <row r="1230" spans="1:20" s="243" customFormat="1">
      <c r="A1230" s="172" t="s">
        <v>333</v>
      </c>
      <c r="B1230" s="114"/>
      <c r="C1230" s="236"/>
      <c r="D1230" s="135"/>
      <c r="E1230" s="135"/>
      <c r="F1230" s="241">
        <v>0.56999999999999995</v>
      </c>
      <c r="G1230" s="237"/>
      <c r="H1230" s="139">
        <f>ROUND($F1230*C1230,0)</f>
        <v>0</v>
      </c>
      <c r="I1230" s="139">
        <f>ROUND($F1230*D1230,0)</f>
        <v>0</v>
      </c>
      <c r="J1230" s="135"/>
      <c r="K1230" s="241">
        <f>K$1137</f>
        <v>0.43</v>
      </c>
      <c r="L1230" s="237"/>
      <c r="M1230" s="139">
        <f>ROUND($K1230*D1230,0)</f>
        <v>0</v>
      </c>
      <c r="N1230" s="114"/>
      <c r="O1230" s="114"/>
      <c r="P1230" s="114"/>
      <c r="Q1230" s="114"/>
      <c r="R1230" s="114"/>
      <c r="S1230" s="145">
        <f>K1230-'Order(Exhibit B)'!K1230</f>
        <v>0</v>
      </c>
      <c r="T1230" s="115">
        <f>M1230-'Order(Exhibit B)'!M1230</f>
        <v>0</v>
      </c>
    </row>
    <row r="1231" spans="1:20" s="243" customFormat="1">
      <c r="A1231" s="172" t="s">
        <v>334</v>
      </c>
      <c r="B1231" s="114"/>
      <c r="C1231" s="236"/>
      <c r="D1231" s="135"/>
      <c r="E1231" s="135"/>
      <c r="F1231" s="241">
        <v>0.47</v>
      </c>
      <c r="G1231" s="237"/>
      <c r="H1231" s="139">
        <f>ROUND($F1231*C1231,0)</f>
        <v>0</v>
      </c>
      <c r="I1231" s="139">
        <f>ROUND($F1231*D1231,0)</f>
        <v>0</v>
      </c>
      <c r="J1231" s="135"/>
      <c r="K1231" s="241">
        <f>K$1138</f>
        <v>0.36</v>
      </c>
      <c r="L1231" s="237"/>
      <c r="M1231" s="139">
        <f>ROUND($K1231*D1231,0)</f>
        <v>0</v>
      </c>
      <c r="N1231" s="114"/>
      <c r="O1231" s="114"/>
      <c r="P1231" s="114"/>
      <c r="Q1231" s="114"/>
      <c r="R1231" s="114"/>
      <c r="S1231" s="145">
        <f>K1231-'Order(Exhibit B)'!K1231</f>
        <v>1.0000000000000009E-2</v>
      </c>
      <c r="T1231" s="115">
        <f>M1231-'Order(Exhibit B)'!M1231</f>
        <v>0</v>
      </c>
    </row>
    <row r="1232" spans="1:20" s="243" customFormat="1">
      <c r="A1232" s="172" t="s">
        <v>336</v>
      </c>
      <c r="B1232" s="114"/>
      <c r="C1232" s="236"/>
      <c r="D1232" s="135"/>
      <c r="E1232" s="135"/>
      <c r="F1232" s="242"/>
      <c r="G1232" s="238"/>
      <c r="H1232" s="139"/>
      <c r="I1232" s="139"/>
      <c r="J1232" s="135"/>
      <c r="K1232" s="242"/>
      <c r="L1232" s="238"/>
      <c r="M1232" s="139"/>
      <c r="N1232" s="114"/>
      <c r="O1232" s="114"/>
      <c r="P1232" s="114"/>
      <c r="Q1232" s="114"/>
      <c r="R1232" s="114"/>
      <c r="S1232" s="145">
        <f>K1232-'Order(Exhibit B)'!K1232</f>
        <v>0</v>
      </c>
      <c r="T1232" s="115">
        <f>M1232-'Order(Exhibit B)'!M1232</f>
        <v>0</v>
      </c>
    </row>
    <row r="1233" spans="1:20" s="243" customFormat="1">
      <c r="A1233" s="172" t="s">
        <v>333</v>
      </c>
      <c r="B1233" s="114"/>
      <c r="C1233" s="236"/>
      <c r="D1233" s="135"/>
      <c r="E1233" s="135"/>
      <c r="F1233" s="241">
        <v>0.72</v>
      </c>
      <c r="G1233" s="237"/>
      <c r="H1233" s="139">
        <f>ROUND($F1233*C1233,0)</f>
        <v>0</v>
      </c>
      <c r="I1233" s="139">
        <f>ROUND($F1233*D1233,0)</f>
        <v>0</v>
      </c>
      <c r="J1233" s="135"/>
      <c r="K1233" s="241">
        <f>K$1140</f>
        <v>0.53</v>
      </c>
      <c r="L1233" s="237"/>
      <c r="M1233" s="139">
        <f>ROUND($K1233*D1233,0)</f>
        <v>0</v>
      </c>
      <c r="N1233" s="114"/>
      <c r="O1233" s="114"/>
      <c r="P1233" s="114"/>
      <c r="Q1233" s="114"/>
      <c r="R1233" s="114"/>
      <c r="S1233" s="145">
        <f>K1233-'Order(Exhibit B)'!K1233</f>
        <v>0</v>
      </c>
      <c r="T1233" s="115">
        <f>M1233-'Order(Exhibit B)'!M1233</f>
        <v>0</v>
      </c>
    </row>
    <row r="1234" spans="1:20" s="243" customFormat="1">
      <c r="A1234" s="172" t="s">
        <v>334</v>
      </c>
      <c r="B1234" s="114"/>
      <c r="C1234" s="236"/>
      <c r="D1234" s="135"/>
      <c r="E1234" s="135"/>
      <c r="F1234" s="241">
        <v>0.61</v>
      </c>
      <c r="G1234" s="237"/>
      <c r="H1234" s="139">
        <f>ROUND($F1234*C1234,0)</f>
        <v>0</v>
      </c>
      <c r="I1234" s="139">
        <f>ROUND($F1234*D1234,0)</f>
        <v>0</v>
      </c>
      <c r="J1234" s="135"/>
      <c r="K1234" s="241">
        <f>K$1141</f>
        <v>0.44</v>
      </c>
      <c r="L1234" s="237"/>
      <c r="M1234" s="139">
        <f>ROUND($K1234*D1234,0)</f>
        <v>0</v>
      </c>
      <c r="N1234" s="114"/>
      <c r="O1234" s="114"/>
      <c r="P1234" s="114"/>
      <c r="Q1234" s="114"/>
      <c r="R1234" s="114"/>
      <c r="S1234" s="145">
        <f>K1234-'Order(Exhibit B)'!K1234</f>
        <v>0</v>
      </c>
      <c r="T1234" s="115">
        <f>M1234-'Order(Exhibit B)'!M1234</f>
        <v>0</v>
      </c>
    </row>
    <row r="1235" spans="1:20" s="243" customFormat="1">
      <c r="A1235" s="172" t="s">
        <v>337</v>
      </c>
      <c r="B1235" s="114"/>
      <c r="C1235" s="236"/>
      <c r="D1235" s="135"/>
      <c r="E1235" s="135"/>
      <c r="F1235" s="241"/>
      <c r="G1235" s="138"/>
      <c r="H1235" s="139"/>
      <c r="I1235" s="139"/>
      <c r="J1235" s="135"/>
      <c r="K1235" s="241"/>
      <c r="L1235" s="138"/>
      <c r="M1235" s="139"/>
      <c r="N1235" s="114"/>
      <c r="O1235" s="114"/>
      <c r="P1235" s="114"/>
      <c r="Q1235" s="114"/>
      <c r="R1235" s="114"/>
      <c r="S1235" s="145">
        <f>K1235-'Order(Exhibit B)'!K1235</f>
        <v>0</v>
      </c>
      <c r="T1235" s="115">
        <f>M1235-'Order(Exhibit B)'!M1235</f>
        <v>0</v>
      </c>
    </row>
    <row r="1236" spans="1:20" s="243" customFormat="1">
      <c r="A1236" s="172" t="s">
        <v>333</v>
      </c>
      <c r="B1236" s="114"/>
      <c r="C1236" s="236"/>
      <c r="D1236" s="135">
        <f>($D$1255/$C$1255*C1246-D1246)*(365-(2*52+8))/12</f>
        <v>497453.26783678989</v>
      </c>
      <c r="E1236" s="135"/>
      <c r="F1236" s="241">
        <v>0.71</v>
      </c>
      <c r="G1236" s="237"/>
      <c r="H1236" s="139">
        <f>ROUND($F1236*C1236,0)</f>
        <v>0</v>
      </c>
      <c r="I1236" s="139">
        <f>ROUND($F1236*D1236,0)</f>
        <v>353192</v>
      </c>
      <c r="J1236" s="135"/>
      <c r="K1236" s="241">
        <f>K$1143</f>
        <v>0.51</v>
      </c>
      <c r="L1236" s="237"/>
      <c r="M1236" s="139">
        <f>ROUND($K1236*D1236,0)</f>
        <v>253701</v>
      </c>
      <c r="N1236" s="114"/>
      <c r="O1236" s="114"/>
      <c r="P1236" s="114"/>
      <c r="Q1236" s="114"/>
      <c r="R1236" s="114"/>
      <c r="S1236" s="145">
        <f>K1236-'Order(Exhibit B)'!K1236</f>
        <v>0</v>
      </c>
      <c r="T1236" s="115">
        <f>M1236-'Order(Exhibit B)'!M1236</f>
        <v>0</v>
      </c>
    </row>
    <row r="1237" spans="1:20" s="243" customFormat="1">
      <c r="A1237" s="172" t="s">
        <v>334</v>
      </c>
      <c r="B1237" s="114"/>
      <c r="C1237" s="236"/>
      <c r="D1237" s="135">
        <f>($D$1255/$C$1255*C1247-D1247)*(365-(2*52+8))/12</f>
        <v>760398.27309171576</v>
      </c>
      <c r="E1237" s="135"/>
      <c r="F1237" s="241">
        <v>0.59</v>
      </c>
      <c r="G1237" s="237"/>
      <c r="H1237" s="139">
        <f>ROUND($F1237*C1237,0)</f>
        <v>0</v>
      </c>
      <c r="I1237" s="139">
        <f>ROUND($F1237*D1237,0)</f>
        <v>448635</v>
      </c>
      <c r="J1237" s="135"/>
      <c r="K1237" s="241">
        <f>K$1144</f>
        <v>0.42</v>
      </c>
      <c r="L1237" s="237"/>
      <c r="M1237" s="139">
        <f>ROUND($K1237*D1237,0)</f>
        <v>319367</v>
      </c>
      <c r="N1237" s="114"/>
      <c r="O1237" s="114"/>
      <c r="P1237" s="114"/>
      <c r="Q1237" s="114"/>
      <c r="R1237" s="114"/>
      <c r="S1237" s="145">
        <f>K1237-'Order(Exhibit B)'!K1237</f>
        <v>0</v>
      </c>
      <c r="T1237" s="115">
        <f>M1237-'Order(Exhibit B)'!M1237</f>
        <v>0</v>
      </c>
    </row>
    <row r="1238" spans="1:20" s="243" customFormat="1">
      <c r="A1238" s="172" t="s">
        <v>338</v>
      </c>
      <c r="B1238" s="114"/>
      <c r="C1238" s="236"/>
      <c r="D1238" s="135"/>
      <c r="E1238" s="135"/>
      <c r="F1238" s="242"/>
      <c r="G1238" s="114"/>
      <c r="H1238" s="114"/>
      <c r="I1238" s="114"/>
      <c r="J1238" s="135"/>
      <c r="K1238" s="242"/>
      <c r="L1238" s="114"/>
      <c r="M1238" s="114"/>
      <c r="N1238" s="114"/>
      <c r="O1238" s="114"/>
      <c r="P1238" s="114"/>
      <c r="Q1238" s="114"/>
      <c r="R1238" s="114"/>
      <c r="S1238" s="145">
        <f>K1238-'Order(Exhibit B)'!K1238</f>
        <v>0</v>
      </c>
      <c r="T1238" s="115">
        <f>M1238-'Order(Exhibit B)'!M1238</f>
        <v>0</v>
      </c>
    </row>
    <row r="1239" spans="1:20" s="243" customFormat="1">
      <c r="A1239" s="172" t="s">
        <v>333</v>
      </c>
      <c r="B1239" s="114"/>
      <c r="C1239" s="236"/>
      <c r="D1239" s="135"/>
      <c r="E1239" s="135"/>
      <c r="F1239" s="241">
        <v>0.71</v>
      </c>
      <c r="G1239" s="138"/>
      <c r="H1239" s="139">
        <f>ROUND($F1239*C1239,0)</f>
        <v>0</v>
      </c>
      <c r="I1239" s="139">
        <f>ROUND($F1239*D1239,0)</f>
        <v>0</v>
      </c>
      <c r="J1239" s="135"/>
      <c r="K1239" s="241">
        <f>K$1146</f>
        <v>0.6</v>
      </c>
      <c r="L1239" s="138"/>
      <c r="M1239" s="139">
        <f>ROUND($K1239*D1239,0)</f>
        <v>0</v>
      </c>
      <c r="N1239" s="114"/>
      <c r="O1239" s="114"/>
      <c r="P1239" s="114"/>
      <c r="Q1239" s="114"/>
      <c r="R1239" s="114"/>
      <c r="S1239" s="145">
        <f>K1239-'Order(Exhibit B)'!K1239</f>
        <v>0</v>
      </c>
      <c r="T1239" s="115">
        <f>M1239-'Order(Exhibit B)'!M1239</f>
        <v>0</v>
      </c>
    </row>
    <row r="1240" spans="1:20" s="243" customFormat="1">
      <c r="A1240" s="172" t="s">
        <v>334</v>
      </c>
      <c r="B1240" s="114"/>
      <c r="C1240" s="236"/>
      <c r="D1240" s="135"/>
      <c r="E1240" s="135"/>
      <c r="F1240" s="241">
        <v>0.61</v>
      </c>
      <c r="G1240" s="138"/>
      <c r="H1240" s="139">
        <f>ROUND($F1240*C1240,0)</f>
        <v>0</v>
      </c>
      <c r="I1240" s="139">
        <f>ROUND($F1240*D1240,0)</f>
        <v>0</v>
      </c>
      <c r="J1240" s="135"/>
      <c r="K1240" s="241">
        <f>K$1147</f>
        <v>0.52</v>
      </c>
      <c r="L1240" s="138"/>
      <c r="M1240" s="139">
        <f>ROUND($K1240*D1240,0)</f>
        <v>0</v>
      </c>
      <c r="N1240" s="114"/>
      <c r="O1240" s="114"/>
      <c r="P1240" s="114"/>
      <c r="Q1240" s="114"/>
      <c r="R1240" s="114"/>
      <c r="S1240" s="145">
        <f>K1240-'Order(Exhibit B)'!K1240</f>
        <v>0</v>
      </c>
      <c r="T1240" s="115">
        <f>M1240-'Order(Exhibit B)'!M1240</f>
        <v>0</v>
      </c>
    </row>
    <row r="1241" spans="1:20" s="243" customFormat="1">
      <c r="A1241" s="136" t="s">
        <v>340</v>
      </c>
      <c r="B1241" s="114"/>
      <c r="C1241" s="135"/>
      <c r="D1241" s="135">
        <v>35339953.125000007</v>
      </c>
      <c r="E1241" s="135"/>
      <c r="F1241" s="244"/>
      <c r="G1241" s="163"/>
      <c r="H1241" s="139"/>
      <c r="I1241" s="139"/>
      <c r="J1241" s="135"/>
      <c r="K1241" s="244"/>
      <c r="L1241" s="163"/>
      <c r="M1241" s="139"/>
      <c r="N1241" s="114"/>
      <c r="O1241" s="244"/>
      <c r="P1241" s="145"/>
      <c r="Q1241" s="114"/>
      <c r="R1241" s="114"/>
      <c r="S1241" s="145">
        <f>K1241-'Order(Exhibit B)'!K1241</f>
        <v>0</v>
      </c>
      <c r="T1241" s="115">
        <f>M1241-'Order(Exhibit B)'!M1241</f>
        <v>0</v>
      </c>
    </row>
    <row r="1242" spans="1:20">
      <c r="A1242" s="136" t="s">
        <v>341</v>
      </c>
      <c r="C1242" s="230">
        <f>C1241</f>
        <v>0</v>
      </c>
      <c r="D1242" s="230">
        <f>D1241</f>
        <v>35339953.125000007</v>
      </c>
      <c r="E1242" s="137"/>
      <c r="F1242" s="193"/>
      <c r="G1242" s="193"/>
      <c r="H1242" s="228">
        <f>SUM(H1212:H1241)</f>
        <v>4625</v>
      </c>
      <c r="I1242" s="228">
        <f>SUM(I1212:I1241)</f>
        <v>1337347</v>
      </c>
      <c r="J1242" s="137"/>
      <c r="K1242" s="193"/>
      <c r="L1242" s="193"/>
      <c r="M1242" s="228">
        <f>SUM(M1212:M1241)</f>
        <v>1259265</v>
      </c>
      <c r="S1242" s="145">
        <f>K1242-'Order(Exhibit B)'!K1242</f>
        <v>0</v>
      </c>
      <c r="T1242" s="115">
        <f>M1242-'Order(Exhibit B)'!M1242</f>
        <v>2118</v>
      </c>
    </row>
    <row r="1243" spans="1:20">
      <c r="A1243" s="245" t="s">
        <v>342</v>
      </c>
      <c r="S1243" s="145">
        <f>K1243-'Order(Exhibit B)'!K1243</f>
        <v>0</v>
      </c>
      <c r="T1243" s="115">
        <f>M1243-'Order(Exhibit B)'!M1243</f>
        <v>0</v>
      </c>
    </row>
    <row r="1244" spans="1:20">
      <c r="A1244" s="133" t="s">
        <v>355</v>
      </c>
      <c r="C1244" s="135"/>
      <c r="D1244" s="135"/>
      <c r="E1244" s="135"/>
      <c r="F1244" s="190"/>
      <c r="G1244" s="190"/>
      <c r="H1244" s="139"/>
      <c r="I1244" s="139"/>
      <c r="J1244" s="135"/>
      <c r="K1244" s="190"/>
      <c r="L1244" s="190"/>
      <c r="M1244" s="139"/>
      <c r="S1244" s="145">
        <f>K1244-'Order(Exhibit B)'!K1244</f>
        <v>0</v>
      </c>
      <c r="T1244" s="115">
        <f>M1244-'Order(Exhibit B)'!M1244</f>
        <v>0</v>
      </c>
    </row>
    <row r="1245" spans="1:20">
      <c r="A1245" s="136" t="s">
        <v>144</v>
      </c>
      <c r="C1245" s="135">
        <v>121095.634095634</v>
      </c>
      <c r="D1245" s="135">
        <f>C1245/$C$1253*$D$1253</f>
        <v>62059.878903145291</v>
      </c>
      <c r="E1245" s="135"/>
      <c r="F1245" s="138">
        <v>4.8099999999999996</v>
      </c>
      <c r="G1245" s="138"/>
      <c r="H1245" s="139">
        <f t="shared" ref="H1245:I1247" si="273">ROUND($F1245*C1245,0)</f>
        <v>582470</v>
      </c>
      <c r="I1245" s="139">
        <f t="shared" si="273"/>
        <v>298508</v>
      </c>
      <c r="J1245" s="135"/>
      <c r="K1245" s="138">
        <f>K$429</f>
        <v>4.96</v>
      </c>
      <c r="L1245" s="138"/>
      <c r="M1245" s="139">
        <f>ROUND($K1245*D1245,0)</f>
        <v>307817</v>
      </c>
      <c r="S1245" s="145">
        <f>K1245-'Order(Exhibit B)'!K1245</f>
        <v>9.9999999999997868E-3</v>
      </c>
      <c r="T1245" s="115">
        <f>M1245-'Order(Exhibit B)'!M1245</f>
        <v>621</v>
      </c>
    </row>
    <row r="1246" spans="1:20">
      <c r="A1246" s="136" t="s">
        <v>180</v>
      </c>
      <c r="C1246" s="135">
        <v>45172.005085823301</v>
      </c>
      <c r="D1246" s="135">
        <f t="shared" ref="D1246:D1252" si="274">C1246/$C$1253*$D$1253</f>
        <v>23150.04323958142</v>
      </c>
      <c r="E1246" s="135"/>
      <c r="F1246" s="138">
        <v>15.73</v>
      </c>
      <c r="G1246" s="138"/>
      <c r="H1246" s="139">
        <f t="shared" si="273"/>
        <v>710556</v>
      </c>
      <c r="I1246" s="139">
        <f t="shared" si="273"/>
        <v>364150</v>
      </c>
      <c r="J1246" s="135"/>
      <c r="K1246" s="138">
        <f>K$430</f>
        <v>16.23</v>
      </c>
      <c r="L1246" s="138"/>
      <c r="M1246" s="139">
        <f>ROUND($K1246*D1246,0)</f>
        <v>375725</v>
      </c>
      <c r="S1246" s="145">
        <f>K1246-'Order(Exhibit B)'!K1246</f>
        <v>5.0000000000000711E-2</v>
      </c>
      <c r="T1246" s="115">
        <f>M1246-'Order(Exhibit B)'!M1246</f>
        <v>1157</v>
      </c>
    </row>
    <row r="1247" spans="1:20">
      <c r="A1247" s="136" t="s">
        <v>181</v>
      </c>
      <c r="C1247" s="135">
        <v>69049.128591953995</v>
      </c>
      <c r="D1247" s="135">
        <f t="shared" si="274"/>
        <v>35386.746935898584</v>
      </c>
      <c r="E1247" s="135"/>
      <c r="F1247" s="138">
        <v>13.92</v>
      </c>
      <c r="G1247" s="138"/>
      <c r="H1247" s="139">
        <f t="shared" si="273"/>
        <v>961164</v>
      </c>
      <c r="I1247" s="139">
        <f t="shared" si="273"/>
        <v>492584</v>
      </c>
      <c r="J1247" s="135"/>
      <c r="K1247" s="138">
        <f>K$431</f>
        <v>14.36</v>
      </c>
      <c r="L1247" s="138"/>
      <c r="M1247" s="139">
        <f>ROUND($K1247*D1247,0)</f>
        <v>508154</v>
      </c>
      <c r="S1247" s="145">
        <f>K1247-'Order(Exhibit B)'!K1247</f>
        <v>3.9999999999999147E-2</v>
      </c>
      <c r="T1247" s="115">
        <f>M1247-'Order(Exhibit B)'!M1247</f>
        <v>1416</v>
      </c>
    </row>
    <row r="1248" spans="1:20">
      <c r="A1248" s="136" t="s">
        <v>111</v>
      </c>
      <c r="C1248" s="135">
        <v>5468667</v>
      </c>
      <c r="D1248" s="135">
        <v>3256011.2597899702</v>
      </c>
      <c r="E1248" s="135"/>
      <c r="F1248" s="204">
        <v>5.8281999999999998</v>
      </c>
      <c r="G1248" s="163" t="s">
        <v>112</v>
      </c>
      <c r="H1248" s="139">
        <f t="shared" ref="H1248:I1251" si="275">ROUND($F1248*C1248/100,0)</f>
        <v>318725</v>
      </c>
      <c r="I1248" s="139">
        <f t="shared" si="275"/>
        <v>189767</v>
      </c>
      <c r="J1248" s="135"/>
      <c r="K1248" s="204">
        <f>K$432</f>
        <v>6.0133000000000001</v>
      </c>
      <c r="L1248" s="163" t="s">
        <v>112</v>
      </c>
      <c r="M1248" s="139">
        <f>ROUND($K1248*D1248/100,0)</f>
        <v>195794</v>
      </c>
      <c r="S1248" s="145">
        <f>K1248-'Order(Exhibit B)'!K1248</f>
        <v>1.7000000000000348E-2</v>
      </c>
      <c r="T1248" s="115">
        <f>M1248-'Order(Exhibit B)'!M1248</f>
        <v>554</v>
      </c>
    </row>
    <row r="1249" spans="1:20">
      <c r="A1249" s="136" t="s">
        <v>114</v>
      </c>
      <c r="C1249" s="135">
        <v>19885808</v>
      </c>
      <c r="D1249" s="135">
        <v>8433253.2325451672</v>
      </c>
      <c r="E1249" s="135"/>
      <c r="F1249" s="204">
        <v>2.9624000000000001</v>
      </c>
      <c r="G1249" s="163" t="s">
        <v>112</v>
      </c>
      <c r="H1249" s="139">
        <f t="shared" si="275"/>
        <v>589097</v>
      </c>
      <c r="I1249" s="139">
        <f t="shared" si="275"/>
        <v>249827</v>
      </c>
      <c r="J1249" s="135"/>
      <c r="K1249" s="204">
        <f>K$433</f>
        <v>3.0565000000000002</v>
      </c>
      <c r="L1249" s="163" t="s">
        <v>112</v>
      </c>
      <c r="M1249" s="139">
        <f>ROUND($K1249*D1249/100,0)</f>
        <v>257762</v>
      </c>
      <c r="S1249" s="145">
        <f>K1249-'Order(Exhibit B)'!K1249</f>
        <v>8.7000000000001521E-3</v>
      </c>
      <c r="T1249" s="115">
        <f>M1249-'Order(Exhibit B)'!M1249</f>
        <v>733</v>
      </c>
    </row>
    <row r="1250" spans="1:20">
      <c r="A1250" s="136" t="s">
        <v>183</v>
      </c>
      <c r="C1250" s="135">
        <v>8528733</v>
      </c>
      <c r="D1250" s="135">
        <v>5248824.0384272002</v>
      </c>
      <c r="E1250" s="135"/>
      <c r="F1250" s="204">
        <v>5.1577000000000002</v>
      </c>
      <c r="G1250" s="163" t="s">
        <v>112</v>
      </c>
      <c r="H1250" s="139">
        <f t="shared" si="275"/>
        <v>439886</v>
      </c>
      <c r="I1250" s="139">
        <f t="shared" si="275"/>
        <v>270719</v>
      </c>
      <c r="J1250" s="135"/>
      <c r="K1250" s="204">
        <f>K$434</f>
        <v>5.3215000000000003</v>
      </c>
      <c r="L1250" s="163" t="s">
        <v>112</v>
      </c>
      <c r="M1250" s="139">
        <f>ROUND($K1250*D1250/100,0)</f>
        <v>279316</v>
      </c>
      <c r="S1250" s="145">
        <f>K1250-'Order(Exhibit B)'!K1250</f>
        <v>1.5100000000000335E-2</v>
      </c>
      <c r="T1250" s="115">
        <f>M1250-'Order(Exhibit B)'!M1250</f>
        <v>792</v>
      </c>
    </row>
    <row r="1251" spans="1:20">
      <c r="A1251" s="136" t="s">
        <v>185</v>
      </c>
      <c r="C1251" s="135">
        <v>32768392</v>
      </c>
      <c r="D1251" s="135">
        <v>17219957.344237652</v>
      </c>
      <c r="E1251" s="135"/>
      <c r="F1251" s="204">
        <v>2.6215999999999999</v>
      </c>
      <c r="G1251" s="163" t="s">
        <v>112</v>
      </c>
      <c r="H1251" s="139">
        <f t="shared" si="275"/>
        <v>859056</v>
      </c>
      <c r="I1251" s="139">
        <f t="shared" si="275"/>
        <v>451438</v>
      </c>
      <c r="J1251" s="135"/>
      <c r="K1251" s="204">
        <f>K$435</f>
        <v>2.7065000000000001</v>
      </c>
      <c r="L1251" s="163" t="s">
        <v>112</v>
      </c>
      <c r="M1251" s="139">
        <f>ROUND($K1251*D1251/100,0)</f>
        <v>466058</v>
      </c>
      <c r="S1251" s="145">
        <f>K1251-'Order(Exhibit B)'!K1251</f>
        <v>9.300000000000086E-3</v>
      </c>
      <c r="T1251" s="115">
        <f>M1251-'Order(Exhibit B)'!M1251</f>
        <v>1601</v>
      </c>
    </row>
    <row r="1252" spans="1:20">
      <c r="A1252" s="136" t="s">
        <v>150</v>
      </c>
      <c r="C1252" s="135">
        <v>114221.13274336301</v>
      </c>
      <c r="D1252" s="135">
        <f t="shared" si="274"/>
        <v>58536.789696605279</v>
      </c>
      <c r="E1252" s="135"/>
      <c r="F1252" s="138">
        <v>-1.1299999999999999</v>
      </c>
      <c r="G1252" s="138"/>
      <c r="H1252" s="139">
        <f>ROUND($F1252*C1252,0)</f>
        <v>-129070</v>
      </c>
      <c r="I1252" s="139">
        <f>ROUND($F1252*D1252,0)</f>
        <v>-66147</v>
      </c>
      <c r="J1252" s="135"/>
      <c r="K1252" s="138">
        <f>K$436</f>
        <v>-1.1299999999999999</v>
      </c>
      <c r="L1252" s="138"/>
      <c r="M1252" s="139">
        <f>ROUND($K1252*D1252,0)</f>
        <v>-66147</v>
      </c>
      <c r="S1252" s="145">
        <f>K1252-'Order(Exhibit B)'!K1252</f>
        <v>0</v>
      </c>
      <c r="T1252" s="115">
        <f>M1252-'Order(Exhibit B)'!M1252</f>
        <v>0</v>
      </c>
    </row>
    <row r="1253" spans="1:20">
      <c r="A1253" s="136" t="s">
        <v>341</v>
      </c>
      <c r="C1253" s="214">
        <f>SUM(C1248:C1251)</f>
        <v>66651600</v>
      </c>
      <c r="D1253" s="214">
        <f>SUM(D1248:D1251)</f>
        <v>34158045.874999985</v>
      </c>
      <c r="E1253" s="214"/>
      <c r="F1253" s="239"/>
      <c r="G1253" s="216"/>
      <c r="H1253" s="217">
        <f>SUM(H1245:H1252)</f>
        <v>4331884</v>
      </c>
      <c r="I1253" s="217">
        <f>SUM(I1245:I1252)</f>
        <v>2250846</v>
      </c>
      <c r="J1253" s="214"/>
      <c r="K1253" s="239"/>
      <c r="L1253" s="216"/>
      <c r="M1253" s="217">
        <f>SUM(M1245:M1252)</f>
        <v>2324479</v>
      </c>
      <c r="S1253" s="145">
        <f>K1253-'Order(Exhibit B)'!K1253</f>
        <v>0</v>
      </c>
      <c r="T1253" s="115">
        <f>M1253-'Order(Exhibit B)'!M1253</f>
        <v>6874</v>
      </c>
    </row>
    <row r="1254" spans="1:20">
      <c r="A1254" s="172" t="s">
        <v>125</v>
      </c>
      <c r="B1254" s="173"/>
      <c r="C1254" s="135">
        <v>508235</v>
      </c>
      <c r="D1254" s="135"/>
      <c r="E1254" s="135"/>
      <c r="F1254" s="174"/>
      <c r="G1254" s="13"/>
      <c r="H1254" s="139">
        <v>32889</v>
      </c>
      <c r="I1254" s="139"/>
      <c r="J1254" s="135"/>
      <c r="K1254" s="174"/>
      <c r="L1254" s="13"/>
      <c r="M1254" s="139"/>
      <c r="N1254" s="164"/>
      <c r="O1254" s="164"/>
      <c r="P1254" s="164"/>
      <c r="S1254" s="145">
        <f>K1254-'Order(Exhibit B)'!K1254</f>
        <v>0</v>
      </c>
      <c r="T1254" s="115">
        <f>M1254-'Order(Exhibit B)'!M1254</f>
        <v>0</v>
      </c>
    </row>
    <row r="1255" spans="1:20" ht="16.5" thickBot="1">
      <c r="A1255" s="176" t="s">
        <v>316</v>
      </c>
      <c r="B1255" s="177"/>
      <c r="C1255" s="178">
        <f>SUM(C1253:C1254,C1242)</f>
        <v>67159835</v>
      </c>
      <c r="D1255" s="178">
        <v>69497999</v>
      </c>
      <c r="E1255" s="178"/>
      <c r="F1255" s="177"/>
      <c r="G1255" s="177"/>
      <c r="H1255" s="179">
        <f>H1242+H1253+H1254</f>
        <v>4369398</v>
      </c>
      <c r="I1255" s="179">
        <f>I1242+I1253+I1254</f>
        <v>3588193</v>
      </c>
      <c r="J1255" s="178"/>
      <c r="K1255" s="177"/>
      <c r="L1255" s="177"/>
      <c r="M1255" s="179">
        <f>M1242+M1253+M1254</f>
        <v>3583744</v>
      </c>
      <c r="O1255" s="114" t="s">
        <v>108</v>
      </c>
      <c r="P1255" s="164">
        <f>M1255/I1255-1</f>
        <v>-1.2398998604590261E-3</v>
      </c>
      <c r="S1255" s="145">
        <f>K1255-'Order(Exhibit B)'!K1255</f>
        <v>0</v>
      </c>
      <c r="T1255" s="115">
        <f>M1255-'Order(Exhibit B)'!M1255</f>
        <v>8992</v>
      </c>
    </row>
    <row r="1256" spans="1:20" ht="16.5" thickTop="1">
      <c r="S1256" s="145">
        <f>K1256-'Order(Exhibit B)'!K1256</f>
        <v>0</v>
      </c>
      <c r="T1256" s="115">
        <f>M1256-'Order(Exhibit B)'!M1256</f>
        <v>0</v>
      </c>
    </row>
    <row r="1257" spans="1:20">
      <c r="A1257" s="133" t="s">
        <v>356</v>
      </c>
      <c r="C1257" s="135"/>
      <c r="D1257" s="135"/>
      <c r="E1257" s="135"/>
      <c r="F1257" s="193"/>
      <c r="G1257" s="193"/>
      <c r="J1257" s="135"/>
      <c r="K1257" s="193"/>
      <c r="L1257" s="193"/>
      <c r="S1257" s="145">
        <f>K1257-'Order(Exhibit B)'!K1257</f>
        <v>0</v>
      </c>
      <c r="T1257" s="115">
        <f>M1257-'Order(Exhibit B)'!M1257</f>
        <v>0</v>
      </c>
    </row>
    <row r="1258" spans="1:20" ht="16.5" thickBot="1">
      <c r="A1258" s="176" t="s">
        <v>357</v>
      </c>
      <c r="B1258" s="177"/>
      <c r="C1258" s="178">
        <v>757303000</v>
      </c>
      <c r="D1258" s="178">
        <v>1236761957.7242603</v>
      </c>
      <c r="E1258" s="178"/>
      <c r="F1258" s="251"/>
      <c r="G1258" s="251"/>
      <c r="H1258" s="179">
        <v>18254383.376400001</v>
      </c>
      <c r="I1258" s="179">
        <v>16875427.752652895</v>
      </c>
      <c r="J1258" s="178"/>
      <c r="K1258" s="251"/>
      <c r="L1258" s="251"/>
      <c r="M1258" s="179">
        <f>I1258</f>
        <v>16875427.752652895</v>
      </c>
      <c r="N1258" s="252"/>
      <c r="O1258" s="114" t="s">
        <v>108</v>
      </c>
      <c r="P1258" s="164">
        <f>M1258/I1258-1</f>
        <v>0</v>
      </c>
      <c r="S1258" s="145">
        <f>K1258-'Order(Exhibit B)'!K1258</f>
        <v>0</v>
      </c>
      <c r="T1258" s="115">
        <f>M1258-'Order(Exhibit B)'!M1258</f>
        <v>0</v>
      </c>
    </row>
    <row r="1259" spans="1:20" ht="16.5" thickTop="1">
      <c r="C1259" s="135"/>
      <c r="D1259" s="135"/>
      <c r="E1259" s="135"/>
      <c r="F1259" s="193"/>
      <c r="G1259" s="193"/>
      <c r="J1259" s="135"/>
      <c r="K1259" s="193"/>
      <c r="L1259" s="193"/>
      <c r="S1259" s="145">
        <f>K1259-'Order(Exhibit B)'!K1259</f>
        <v>0</v>
      </c>
      <c r="T1259" s="115">
        <f>M1259-'Order(Exhibit B)'!M1259</f>
        <v>0</v>
      </c>
    </row>
    <row r="1260" spans="1:20">
      <c r="A1260" s="133" t="s">
        <v>60</v>
      </c>
      <c r="C1260" s="135"/>
      <c r="D1260" s="135"/>
      <c r="E1260" s="135"/>
      <c r="J1260" s="135"/>
      <c r="S1260" s="145">
        <f>K1260-'Order(Exhibit B)'!K1260</f>
        <v>0</v>
      </c>
      <c r="T1260" s="115">
        <f>M1260-'Order(Exhibit B)'!M1260</f>
        <v>0</v>
      </c>
    </row>
    <row r="1261" spans="1:20">
      <c r="A1261" s="136" t="s">
        <v>143</v>
      </c>
      <c r="C1261" s="135">
        <v>12</v>
      </c>
      <c r="D1261" s="135">
        <v>12</v>
      </c>
      <c r="E1261" s="135"/>
      <c r="F1261" s="190">
        <v>0</v>
      </c>
      <c r="G1261" s="193"/>
      <c r="H1261" s="139">
        <f t="shared" ref="H1261:I1264" si="276">ROUND($F1261*C1261,0)</f>
        <v>0</v>
      </c>
      <c r="I1261" s="139">
        <f t="shared" si="276"/>
        <v>0</v>
      </c>
      <c r="J1261" s="135"/>
      <c r="K1261" s="190">
        <v>0</v>
      </c>
      <c r="L1261" s="193"/>
      <c r="M1261" s="139">
        <f>ROUND($K1261*D1261,0)</f>
        <v>0</v>
      </c>
      <c r="O1261" s="146" t="s">
        <v>101</v>
      </c>
      <c r="P1261" s="147">
        <f>M1269</f>
        <v>40829443</v>
      </c>
      <c r="S1261" s="145">
        <f>K1261-'Order(Exhibit B)'!K1261</f>
        <v>0</v>
      </c>
      <c r="T1261" s="115">
        <f>M1261-'Order(Exhibit B)'!M1261</f>
        <v>0</v>
      </c>
    </row>
    <row r="1262" spans="1:20">
      <c r="A1262" s="136" t="s">
        <v>358</v>
      </c>
      <c r="C1262" s="135">
        <v>1176440</v>
      </c>
      <c r="D1262" s="135">
        <f t="shared" ref="D1262:D1264" si="277">ROUND($C1262*D$1269/$C$1269,0)</f>
        <v>1315074</v>
      </c>
      <c r="E1262" s="135"/>
      <c r="F1262" s="190">
        <v>3.41</v>
      </c>
      <c r="G1262" s="193"/>
      <c r="H1262" s="139">
        <f t="shared" si="276"/>
        <v>4011660</v>
      </c>
      <c r="I1262" s="139">
        <f t="shared" si="276"/>
        <v>4484402</v>
      </c>
      <c r="J1262" s="135"/>
      <c r="K1262" s="190">
        <f>ROUND(F1262*(1+$P$1265),2)</f>
        <v>3.54</v>
      </c>
      <c r="L1262" s="193"/>
      <c r="M1262" s="139">
        <f>ROUND($K1262*D1262,0)</f>
        <v>4655362</v>
      </c>
      <c r="O1262" s="149" t="s">
        <v>103</v>
      </c>
      <c r="P1262" s="150">
        <f>'Exhibit B(Rate Spread)'!M35*1000</f>
        <v>40829484.561170779</v>
      </c>
      <c r="S1262" s="145">
        <f>K1262-'Order(Exhibit B)'!K1262</f>
        <v>1.0000000000000231E-2</v>
      </c>
      <c r="T1262" s="115">
        <f>M1262-'Order(Exhibit B)'!M1262</f>
        <v>13151</v>
      </c>
    </row>
    <row r="1263" spans="1:20">
      <c r="A1263" s="136" t="s">
        <v>359</v>
      </c>
      <c r="C1263" s="135">
        <v>365020</v>
      </c>
      <c r="D1263" s="135">
        <f t="shared" si="277"/>
        <v>408035</v>
      </c>
      <c r="E1263" s="135"/>
      <c r="F1263" s="238">
        <v>18.472999999999999</v>
      </c>
      <c r="G1263" s="193"/>
      <c r="H1263" s="139">
        <f t="shared" si="276"/>
        <v>6743014</v>
      </c>
      <c r="I1263" s="139">
        <f t="shared" si="276"/>
        <v>7537631</v>
      </c>
      <c r="J1263" s="135"/>
      <c r="K1263" s="238">
        <f>ROUND(F1263*(1+$P$1265),4)</f>
        <v>19.1616</v>
      </c>
      <c r="L1263" s="193"/>
      <c r="M1263" s="139">
        <f>ROUND($K1263*D1263,0)</f>
        <v>7818603</v>
      </c>
      <c r="O1263" s="152" t="s">
        <v>105</v>
      </c>
      <c r="P1263" s="153">
        <f>P1262-P1261</f>
        <v>41.561170779168606</v>
      </c>
      <c r="S1263" s="145">
        <f>K1263-'Order(Exhibit B)'!K1263</f>
        <v>5.4600000000000648E-2</v>
      </c>
      <c r="T1263" s="115">
        <f>M1263-'Order(Exhibit B)'!M1263</f>
        <v>22278</v>
      </c>
    </row>
    <row r="1264" spans="1:20">
      <c r="A1264" s="136" t="s">
        <v>360</v>
      </c>
      <c r="C1264" s="135">
        <v>733970</v>
      </c>
      <c r="D1264" s="135">
        <f t="shared" si="277"/>
        <v>820462</v>
      </c>
      <c r="E1264" s="135"/>
      <c r="F1264" s="238">
        <v>16.347799999999999</v>
      </c>
      <c r="G1264" s="193"/>
      <c r="H1264" s="139">
        <f t="shared" si="276"/>
        <v>11998795</v>
      </c>
      <c r="I1264" s="139">
        <f t="shared" si="276"/>
        <v>13412749</v>
      </c>
      <c r="J1264" s="135"/>
      <c r="K1264" s="238">
        <f>ROUND(F1264*(1+$P$1265),4)</f>
        <v>16.9572</v>
      </c>
      <c r="L1264" s="193"/>
      <c r="M1264" s="139">
        <f>ROUND($K1264*D1264,0)</f>
        <v>13912738</v>
      </c>
      <c r="O1264" s="146" t="s">
        <v>108</v>
      </c>
      <c r="P1264" s="192">
        <f>P1261/I1269-1</f>
        <v>3.7277592633607748E-2</v>
      </c>
      <c r="S1264" s="145">
        <f>K1264-'Order(Exhibit B)'!K1264</f>
        <v>4.8400000000000887E-2</v>
      </c>
      <c r="T1264" s="115">
        <f>M1264-'Order(Exhibit B)'!M1264</f>
        <v>39710</v>
      </c>
    </row>
    <row r="1265" spans="1:20">
      <c r="A1265" s="136" t="s">
        <v>361</v>
      </c>
      <c r="C1265" s="135">
        <v>34978000</v>
      </c>
      <c r="D1265" s="135">
        <v>42707942.596536614</v>
      </c>
      <c r="E1265" s="135"/>
      <c r="F1265" s="193">
        <v>3.7787999999999999</v>
      </c>
      <c r="G1265" s="163" t="s">
        <v>112</v>
      </c>
      <c r="H1265" s="253">
        <f t="shared" ref="H1265:I1268" si="278">ROUND($F1265*C1265/100,0)</f>
        <v>1321749</v>
      </c>
      <c r="I1265" s="253">
        <f t="shared" si="278"/>
        <v>1613848</v>
      </c>
      <c r="J1265" s="135"/>
      <c r="K1265" s="193">
        <f>ROUND(F1265*(1+$P$1265),$P$8)</f>
        <v>3.9197000000000002</v>
      </c>
      <c r="L1265" s="163" t="s">
        <v>112</v>
      </c>
      <c r="M1265" s="253">
        <f>ROUND($K1265*D1265/100,0)</f>
        <v>1674023</v>
      </c>
      <c r="O1265" s="149" t="s">
        <v>110</v>
      </c>
      <c r="P1265" s="191">
        <f>P1262/I1269-1</f>
        <v>3.7278648500844946E-2</v>
      </c>
      <c r="S1265" s="145">
        <f>K1265-'Order(Exhibit B)'!K1265</f>
        <v>1.1200000000000099E-2</v>
      </c>
      <c r="T1265" s="115">
        <f>M1265-'Order(Exhibit B)'!M1265</f>
        <v>4783</v>
      </c>
    </row>
    <row r="1266" spans="1:20">
      <c r="A1266" s="136" t="s">
        <v>362</v>
      </c>
      <c r="C1266" s="135">
        <v>144384000</v>
      </c>
      <c r="D1266" s="135">
        <v>176292057.40346339</v>
      </c>
      <c r="E1266" s="135"/>
      <c r="F1266" s="193">
        <v>1.9207000000000001</v>
      </c>
      <c r="G1266" s="163" t="s">
        <v>112</v>
      </c>
      <c r="H1266" s="253">
        <f t="shared" si="278"/>
        <v>2773183</v>
      </c>
      <c r="I1266" s="253">
        <f t="shared" si="278"/>
        <v>3386042</v>
      </c>
      <c r="J1266" s="135"/>
      <c r="K1266" s="193">
        <f>ROUND(F1266*(1+$P$1265),$P$8)</f>
        <v>1.9923</v>
      </c>
      <c r="L1266" s="163" t="s">
        <v>112</v>
      </c>
      <c r="M1266" s="253">
        <f>ROUND($K1266*D1266/100,0)</f>
        <v>3512267</v>
      </c>
      <c r="O1266" s="167"/>
      <c r="P1266" s="210">
        <f>F1265/F1267</f>
        <v>1.2914559125085441</v>
      </c>
      <c r="Q1266" s="254">
        <f>F1265/F1266</f>
        <v>1.9674077159368979</v>
      </c>
      <c r="S1266" s="145">
        <f>K1266-'Order(Exhibit B)'!K1266</f>
        <v>5.7000000000000384E-3</v>
      </c>
      <c r="T1266" s="115">
        <f>M1266-'Order(Exhibit B)'!M1266</f>
        <v>10049</v>
      </c>
    </row>
    <row r="1267" spans="1:20">
      <c r="A1267" s="136" t="s">
        <v>183</v>
      </c>
      <c r="C1267" s="135">
        <v>78393000</v>
      </c>
      <c r="D1267" s="135">
        <v>83999789.701375946</v>
      </c>
      <c r="E1267" s="135"/>
      <c r="F1267" s="193">
        <v>2.9260000000000002</v>
      </c>
      <c r="G1267" s="163" t="s">
        <v>112</v>
      </c>
      <c r="H1267" s="253">
        <f>ROUND($F1267*C1267/100,0)</f>
        <v>2293779</v>
      </c>
      <c r="I1267" s="253">
        <f t="shared" si="278"/>
        <v>2457834</v>
      </c>
      <c r="J1267" s="135"/>
      <c r="K1267" s="193">
        <f>ROUND(F1267*(1+$P$1265),$P$8)</f>
        <v>3.0350999999999999</v>
      </c>
      <c r="L1267" s="163" t="s">
        <v>112</v>
      </c>
      <c r="M1267" s="253">
        <f>ROUND($K1267*D1267/100,0)</f>
        <v>2549478</v>
      </c>
      <c r="S1267" s="145">
        <f>K1267-'Order(Exhibit B)'!K1267</f>
        <v>8.699999999999708E-3</v>
      </c>
      <c r="T1267" s="115">
        <f>M1267-'Order(Exhibit B)'!M1267</f>
        <v>7308</v>
      </c>
    </row>
    <row r="1268" spans="1:20">
      <c r="A1268" s="136" t="s">
        <v>185</v>
      </c>
      <c r="C1268" s="214">
        <v>321039000</v>
      </c>
      <c r="D1268" s="226">
        <f>D1269-D1265-D1266-D1267</f>
        <v>344000210.29862404</v>
      </c>
      <c r="E1268" s="135"/>
      <c r="F1268" s="193">
        <v>1.8807</v>
      </c>
      <c r="G1268" s="163" t="s">
        <v>112</v>
      </c>
      <c r="H1268" s="228">
        <f t="shared" si="278"/>
        <v>6037780</v>
      </c>
      <c r="I1268" s="228">
        <f t="shared" si="278"/>
        <v>6469612</v>
      </c>
      <c r="J1268" s="135"/>
      <c r="K1268" s="193">
        <f>ROUND((P1262-SUM(M1261:M1267))/D1268*100,P8)</f>
        <v>1.9497</v>
      </c>
      <c r="L1268" s="163" t="s">
        <v>112</v>
      </c>
      <c r="M1268" s="228">
        <f>ROUND($K1268*D1268/100,0)</f>
        <v>6706972</v>
      </c>
      <c r="S1268" s="145">
        <f>K1268-'Order(Exhibit B)'!K1268</f>
        <v>5.6000000000000494E-3</v>
      </c>
      <c r="T1268" s="115">
        <f>M1268-'Order(Exhibit B)'!M1268</f>
        <v>19264</v>
      </c>
    </row>
    <row r="1269" spans="1:20" ht="16.5" thickBot="1">
      <c r="A1269" s="176" t="s">
        <v>127</v>
      </c>
      <c r="B1269" s="177"/>
      <c r="C1269" s="178">
        <f>SUM(C1265:C1268)</f>
        <v>578794000</v>
      </c>
      <c r="D1269" s="178">
        <v>647000000</v>
      </c>
      <c r="E1269" s="178"/>
      <c r="F1269" s="251"/>
      <c r="G1269" s="251"/>
      <c r="H1269" s="179">
        <f>SUM(H1261:H1268)</f>
        <v>35179960</v>
      </c>
      <c r="I1269" s="179">
        <f>SUM(I1261:I1268)</f>
        <v>39362118</v>
      </c>
      <c r="J1269" s="178"/>
      <c r="K1269" s="251"/>
      <c r="L1269" s="251"/>
      <c r="M1269" s="179">
        <f>SUM(M1261:M1268)</f>
        <v>40829443</v>
      </c>
      <c r="O1269" s="114" t="s">
        <v>108</v>
      </c>
      <c r="P1269" s="164">
        <f>M1269/I1269-1</f>
        <v>3.7277592633607748E-2</v>
      </c>
      <c r="S1269" s="145">
        <f>K1269-'Order(Exhibit B)'!K1269</f>
        <v>0</v>
      </c>
      <c r="T1269" s="115">
        <f>M1269-'Order(Exhibit B)'!M1269</f>
        <v>116543</v>
      </c>
    </row>
    <row r="1270" spans="1:20" ht="16.5" thickTop="1">
      <c r="C1270" s="135"/>
      <c r="D1270" s="135"/>
      <c r="E1270" s="135"/>
      <c r="H1270" s="193"/>
      <c r="I1270" s="193"/>
      <c r="J1270" s="135"/>
      <c r="M1270" s="193"/>
      <c r="S1270" s="145">
        <f>K1270-'Order(Exhibit B)'!K1270</f>
        <v>0</v>
      </c>
      <c r="T1270" s="115">
        <f>M1270-'Order(Exhibit B)'!M1270</f>
        <v>0</v>
      </c>
    </row>
    <row r="1271" spans="1:20">
      <c r="A1271" s="133" t="s">
        <v>363</v>
      </c>
      <c r="C1271" s="135"/>
      <c r="D1271" s="135"/>
      <c r="E1271" s="135"/>
      <c r="F1271" s="193"/>
      <c r="G1271" s="193"/>
      <c r="J1271" s="135"/>
      <c r="K1271" s="193"/>
      <c r="L1271" s="193"/>
      <c r="S1271" s="145">
        <f>K1271-'Order(Exhibit B)'!K1271</f>
        <v>0</v>
      </c>
      <c r="T1271" s="115">
        <f>M1271-'Order(Exhibit B)'!M1271</f>
        <v>0</v>
      </c>
    </row>
    <row r="1272" spans="1:20">
      <c r="A1272" s="136" t="s">
        <v>143</v>
      </c>
      <c r="C1272" s="135">
        <v>12</v>
      </c>
      <c r="D1272" s="135">
        <v>12</v>
      </c>
      <c r="E1272" s="135"/>
      <c r="F1272" s="190">
        <v>696</v>
      </c>
      <c r="H1272" s="139">
        <f t="shared" ref="H1272:I1275" si="279">ROUND($F1272*C1272,0)</f>
        <v>8352</v>
      </c>
      <c r="I1272" s="139">
        <f t="shared" si="279"/>
        <v>8352</v>
      </c>
      <c r="J1272" s="135"/>
      <c r="K1272" s="190">
        <f>K$497</f>
        <v>399</v>
      </c>
      <c r="M1272" s="139">
        <f>ROUND($K1272*D1272,0)</f>
        <v>4788</v>
      </c>
      <c r="O1272" s="146" t="s">
        <v>101</v>
      </c>
      <c r="P1272" s="147">
        <f>M1280</f>
        <v>18717984</v>
      </c>
      <c r="S1272" s="145">
        <f>K1272-'Order(Exhibit B)'!K1272</f>
        <v>0</v>
      </c>
      <c r="T1272" s="115">
        <f>M1272-'Order(Exhibit B)'!M1272</f>
        <v>0</v>
      </c>
    </row>
    <row r="1273" spans="1:20">
      <c r="A1273" s="136" t="s">
        <v>358</v>
      </c>
      <c r="C1273" s="135">
        <v>60402</v>
      </c>
      <c r="D1273" s="135">
        <f>ROUND($C1273*D$1280/$C$1280,0)</f>
        <v>557041</v>
      </c>
      <c r="E1273" s="135"/>
      <c r="F1273" s="190">
        <v>2.2799999999999998</v>
      </c>
      <c r="G1273" s="193"/>
      <c r="H1273" s="139">
        <f t="shared" si="279"/>
        <v>137717</v>
      </c>
      <c r="I1273" s="139">
        <f t="shared" si="279"/>
        <v>1270053</v>
      </c>
      <c r="J1273" s="135"/>
      <c r="K1273" s="190">
        <f>K$500</f>
        <v>2.37</v>
      </c>
      <c r="L1273" s="193"/>
      <c r="M1273" s="139">
        <f>ROUND($K1273*D1273,0)</f>
        <v>1320187</v>
      </c>
      <c r="O1273" s="149" t="s">
        <v>103</v>
      </c>
      <c r="P1273" s="150">
        <f>'Exhibit B(Rate Spread)'!M24*1000</f>
        <v>16827756.581941776</v>
      </c>
      <c r="S1273" s="145">
        <f>K1273-'Order(Exhibit B)'!K1273</f>
        <v>0</v>
      </c>
      <c r="T1273" s="115">
        <f>M1273-'Order(Exhibit B)'!M1273</f>
        <v>0</v>
      </c>
    </row>
    <row r="1274" spans="1:20">
      <c r="A1274" s="136" t="s">
        <v>359</v>
      </c>
      <c r="C1274" s="135">
        <v>18296</v>
      </c>
      <c r="D1274" s="135">
        <f t="shared" ref="D1274" si="280">ROUND($C1274*D$1280/$C$1280,0)</f>
        <v>168730</v>
      </c>
      <c r="E1274" s="135"/>
      <c r="F1274" s="190">
        <v>10.58</v>
      </c>
      <c r="G1274" s="193"/>
      <c r="H1274" s="139">
        <f t="shared" si="279"/>
        <v>193572</v>
      </c>
      <c r="I1274" s="139">
        <f t="shared" si="279"/>
        <v>1785163</v>
      </c>
      <c r="J1274" s="135"/>
      <c r="K1274" s="190">
        <f>K$501</f>
        <v>14.92</v>
      </c>
      <c r="L1274" s="193"/>
      <c r="M1274" s="139">
        <f>ROUND($K1274*D1274,0)</f>
        <v>2517452</v>
      </c>
      <c r="O1274" s="152" t="s">
        <v>105</v>
      </c>
      <c r="P1274" s="153">
        <f>P1273-P1272</f>
        <v>-1890227.418058224</v>
      </c>
      <c r="S1274" s="145">
        <f>K1274-'Order(Exhibit B)'!K1274</f>
        <v>5.0000000000000711E-2</v>
      </c>
      <c r="T1274" s="115">
        <f>M1274-'Order(Exhibit B)'!M1274</f>
        <v>8437</v>
      </c>
    </row>
    <row r="1275" spans="1:20">
      <c r="A1275" s="136" t="s">
        <v>360</v>
      </c>
      <c r="C1275" s="135">
        <v>41764</v>
      </c>
      <c r="D1275" s="135">
        <f>ROUND($C1275*D$1280/$C$1280,0)</f>
        <v>385157</v>
      </c>
      <c r="E1275" s="135"/>
      <c r="F1275" s="190">
        <v>9.36</v>
      </c>
      <c r="G1275" s="193"/>
      <c r="H1275" s="139">
        <f t="shared" si="279"/>
        <v>390911</v>
      </c>
      <c r="I1275" s="139">
        <f t="shared" si="279"/>
        <v>3605070</v>
      </c>
      <c r="J1275" s="135"/>
      <c r="K1275" s="190">
        <f>K$502</f>
        <v>13.21</v>
      </c>
      <c r="L1275" s="193"/>
      <c r="M1275" s="139">
        <f>ROUND($K1275*D1275,0)</f>
        <v>5087924</v>
      </c>
      <c r="O1275" s="146" t="s">
        <v>108</v>
      </c>
      <c r="P1275" s="192">
        <f>P1272/I1280-1</f>
        <v>0.16498586493397016</v>
      </c>
      <c r="S1275" s="145">
        <f>K1275-'Order(Exhibit B)'!K1275</f>
        <v>5.0000000000000711E-2</v>
      </c>
      <c r="T1275" s="115">
        <f>M1275-'Order(Exhibit B)'!M1275</f>
        <v>19258</v>
      </c>
    </row>
    <row r="1276" spans="1:20">
      <c r="A1276" s="136" t="s">
        <v>361</v>
      </c>
      <c r="C1276" s="135">
        <v>2167529</v>
      </c>
      <c r="D1276" s="135">
        <v>23494531.451716397</v>
      </c>
      <c r="E1276" s="135"/>
      <c r="F1276" s="193">
        <v>5.1477000000000004</v>
      </c>
      <c r="G1276" s="163" t="s">
        <v>112</v>
      </c>
      <c r="H1276" s="253">
        <f t="shared" ref="H1276:I1279" si="281">ROUND($F1276*C1276/100,0)</f>
        <v>111578</v>
      </c>
      <c r="I1276" s="253">
        <f t="shared" si="281"/>
        <v>1209428</v>
      </c>
      <c r="J1276" s="135"/>
      <c r="K1276" s="198">
        <f>K$503</f>
        <v>5.3608000000000002</v>
      </c>
      <c r="L1276" s="163" t="s">
        <v>112</v>
      </c>
      <c r="M1276" s="253">
        <f>ROUND($K1276*D1276/100,0)</f>
        <v>1259495</v>
      </c>
      <c r="O1276" s="149" t="s">
        <v>110</v>
      </c>
      <c r="P1276" s="191">
        <f>P1273/I1280-1</f>
        <v>4.734027748457037E-2</v>
      </c>
      <c r="S1276" s="145">
        <f>K1276-'Order(Exhibit B)'!K1276</f>
        <v>1.9400000000000084E-2</v>
      </c>
      <c r="T1276" s="115">
        <f>M1276-'Order(Exhibit B)'!M1276</f>
        <v>4558</v>
      </c>
    </row>
    <row r="1277" spans="1:20">
      <c r="A1277" s="136" t="s">
        <v>362</v>
      </c>
      <c r="C1277" s="135">
        <v>8660400</v>
      </c>
      <c r="D1277" s="135">
        <v>93872811.014037043</v>
      </c>
      <c r="E1277" s="135"/>
      <c r="F1277" s="193">
        <v>2.6165000000000003</v>
      </c>
      <c r="G1277" s="163" t="s">
        <v>112</v>
      </c>
      <c r="H1277" s="253">
        <f t="shared" si="281"/>
        <v>226599</v>
      </c>
      <c r="I1277" s="253">
        <f t="shared" si="281"/>
        <v>2456182</v>
      </c>
      <c r="J1277" s="135"/>
      <c r="K1277" s="198">
        <f>K$504</f>
        <v>2.7248000000000001</v>
      </c>
      <c r="L1277" s="163" t="s">
        <v>112</v>
      </c>
      <c r="M1277" s="253">
        <f>ROUND($K1277*D1277/100,0)</f>
        <v>2557846</v>
      </c>
      <c r="O1277" s="167"/>
      <c r="P1277" s="194"/>
      <c r="S1277" s="145">
        <f>K1277-'Order(Exhibit B)'!K1277</f>
        <v>9.9000000000000199E-3</v>
      </c>
      <c r="T1277" s="115">
        <f>M1277-'Order(Exhibit B)'!M1277</f>
        <v>9293</v>
      </c>
    </row>
    <row r="1278" spans="1:20">
      <c r="A1278" s="136" t="s">
        <v>183</v>
      </c>
      <c r="C1278" s="135">
        <v>4959800</v>
      </c>
      <c r="D1278" s="135">
        <v>42169719.16894675</v>
      </c>
      <c r="E1278" s="135"/>
      <c r="F1278" s="193">
        <v>4.5554999999999994</v>
      </c>
      <c r="G1278" s="163" t="s">
        <v>112</v>
      </c>
      <c r="H1278" s="253">
        <f t="shared" si="281"/>
        <v>225944</v>
      </c>
      <c r="I1278" s="253">
        <f t="shared" si="281"/>
        <v>1921042</v>
      </c>
      <c r="J1278" s="135"/>
      <c r="K1278" s="198">
        <f>K$505</f>
        <v>4.7441000000000004</v>
      </c>
      <c r="L1278" s="163" t="s">
        <v>112</v>
      </c>
      <c r="M1278" s="253">
        <f>ROUND($K1278*D1278/100,0)</f>
        <v>2000574</v>
      </c>
      <c r="S1278" s="145">
        <f>K1278-'Order(Exhibit B)'!K1278</f>
        <v>1.720000000000077E-2</v>
      </c>
      <c r="T1278" s="115">
        <f>M1278-'Order(Exhibit B)'!M1278</f>
        <v>7254</v>
      </c>
    </row>
    <row r="1279" spans="1:20">
      <c r="A1279" s="136" t="s">
        <v>185</v>
      </c>
      <c r="C1279" s="214">
        <v>19362160</v>
      </c>
      <c r="D1279" s="226">
        <f>D1280-D1276-D1277-D1278</f>
        <v>164622938.36529979</v>
      </c>
      <c r="E1279" s="135"/>
      <c r="F1279" s="193">
        <v>2.3154999999999997</v>
      </c>
      <c r="G1279" s="163" t="s">
        <v>112</v>
      </c>
      <c r="H1279" s="228">
        <f t="shared" si="281"/>
        <v>448331</v>
      </c>
      <c r="I1279" s="228">
        <f t="shared" si="281"/>
        <v>3811844</v>
      </c>
      <c r="J1279" s="135"/>
      <c r="K1279" s="198">
        <f>K$506</f>
        <v>2.4114</v>
      </c>
      <c r="L1279" s="163" t="s">
        <v>112</v>
      </c>
      <c r="M1279" s="228">
        <f>ROUND($K1279*D1279/100,0)</f>
        <v>3969718</v>
      </c>
      <c r="S1279" s="145">
        <f>K1279-'Order(Exhibit B)'!K1279</f>
        <v>8.799999999999919E-3</v>
      </c>
      <c r="T1279" s="115">
        <f>M1279-'Order(Exhibit B)'!M1279</f>
        <v>14487</v>
      </c>
    </row>
    <row r="1280" spans="1:20" ht="16.5" thickBot="1">
      <c r="A1280" s="176" t="s">
        <v>127</v>
      </c>
      <c r="B1280" s="177"/>
      <c r="C1280" s="255">
        <f>SUM(C1276:C1279)</f>
        <v>35149889</v>
      </c>
      <c r="D1280" s="178">
        <v>324160000</v>
      </c>
      <c r="E1280" s="178"/>
      <c r="F1280" s="251"/>
      <c r="G1280" s="251"/>
      <c r="H1280" s="256">
        <f>SUM(H1272:H1279)</f>
        <v>1743004</v>
      </c>
      <c r="I1280" s="256">
        <f>SUM(I1272:I1279)</f>
        <v>16067134</v>
      </c>
      <c r="J1280" s="178"/>
      <c r="K1280" s="251"/>
      <c r="L1280" s="251"/>
      <c r="M1280" s="256">
        <f>SUM(M1272:M1279)</f>
        <v>18717984</v>
      </c>
      <c r="O1280" s="114" t="s">
        <v>108</v>
      </c>
      <c r="P1280" s="164">
        <f>M1280/I1280-1</f>
        <v>0.16498586493397016</v>
      </c>
      <c r="S1280" s="145">
        <f>K1280-'Order(Exhibit B)'!K1280</f>
        <v>0</v>
      </c>
      <c r="T1280" s="115">
        <f>M1280-'Order(Exhibit B)'!M1280</f>
        <v>63287</v>
      </c>
    </row>
    <row r="1281" spans="1:20" ht="16.5" thickTop="1">
      <c r="A1281" s="136"/>
      <c r="C1281" s="135"/>
      <c r="D1281" s="135"/>
      <c r="E1281" s="135"/>
      <c r="F1281" s="234"/>
      <c r="G1281" s="234"/>
      <c r="H1281" s="139"/>
      <c r="I1281" s="139"/>
      <c r="J1281" s="135"/>
      <c r="K1281" s="234"/>
      <c r="L1281" s="234"/>
      <c r="M1281" s="139"/>
      <c r="S1281" s="145">
        <f>K1281-'Order(Exhibit B)'!K1281</f>
        <v>0</v>
      </c>
      <c r="T1281" s="115">
        <f>M1281-'Order(Exhibit B)'!M1281</f>
        <v>0</v>
      </c>
    </row>
    <row r="1282" spans="1:20">
      <c r="A1282" s="133" t="s">
        <v>61</v>
      </c>
      <c r="C1282" s="135"/>
      <c r="D1282" s="135"/>
      <c r="E1282" s="135"/>
      <c r="F1282" s="193"/>
      <c r="G1282" s="193"/>
      <c r="J1282" s="135"/>
      <c r="K1282" s="193"/>
      <c r="L1282" s="193"/>
      <c r="S1282" s="145">
        <f>K1282-'Order(Exhibit B)'!K1282</f>
        <v>0</v>
      </c>
      <c r="T1282" s="115">
        <f>M1282-'Order(Exhibit B)'!M1282</f>
        <v>0</v>
      </c>
    </row>
    <row r="1283" spans="1:20">
      <c r="A1283" s="136" t="s">
        <v>364</v>
      </c>
      <c r="C1283" s="135">
        <v>371593191</v>
      </c>
      <c r="D1283" s="135">
        <v>376680000</v>
      </c>
      <c r="E1283" s="135"/>
      <c r="F1283" s="198"/>
      <c r="G1283" s="163"/>
      <c r="H1283" s="139">
        <v>22497802.829999804</v>
      </c>
      <c r="I1283" s="139">
        <v>23725948.320000004</v>
      </c>
      <c r="J1283" s="135"/>
      <c r="K1283" s="198"/>
      <c r="L1283" s="163"/>
      <c r="M1283" s="139">
        <f>I1283</f>
        <v>23725948.320000004</v>
      </c>
      <c r="O1283" s="193"/>
      <c r="P1283" s="193"/>
      <c r="S1283" s="145">
        <f>K1283-'Order(Exhibit B)'!K1283</f>
        <v>0</v>
      </c>
      <c r="T1283" s="115">
        <f>M1283-'Order(Exhibit B)'!M1283</f>
        <v>0</v>
      </c>
    </row>
    <row r="1284" spans="1:20">
      <c r="A1284" s="136" t="s">
        <v>365</v>
      </c>
      <c r="C1284" s="135">
        <v>0</v>
      </c>
      <c r="D1284" s="135"/>
      <c r="E1284" s="135"/>
      <c r="F1284" s="198"/>
      <c r="G1284" s="163"/>
      <c r="H1284" s="139"/>
      <c r="I1284" s="139"/>
      <c r="J1284" s="135"/>
      <c r="K1284" s="198"/>
      <c r="L1284" s="163"/>
      <c r="M1284" s="139"/>
      <c r="O1284" s="193"/>
      <c r="P1284" s="193"/>
      <c r="S1284" s="145">
        <f>K1284-'Order(Exhibit B)'!K1284</f>
        <v>0</v>
      </c>
      <c r="T1284" s="115">
        <f>M1284-'Order(Exhibit B)'!M1284</f>
        <v>0</v>
      </c>
    </row>
    <row r="1285" spans="1:20">
      <c r="A1285" s="136" t="s">
        <v>366</v>
      </c>
      <c r="C1285" s="214">
        <v>791122988.00000012</v>
      </c>
      <c r="D1285" s="214">
        <v>962908000</v>
      </c>
      <c r="E1285" s="135"/>
      <c r="F1285" s="198"/>
      <c r="G1285" s="163"/>
      <c r="H1285" s="139">
        <v>72313496.139999986</v>
      </c>
      <c r="I1285" s="139">
        <v>80902526.148982793</v>
      </c>
      <c r="J1285" s="135"/>
      <c r="K1285" s="198"/>
      <c r="L1285" s="163"/>
      <c r="M1285" s="139">
        <f>I1285</f>
        <v>80902526.148982793</v>
      </c>
      <c r="O1285" s="193"/>
      <c r="P1285" s="193"/>
      <c r="S1285" s="145">
        <f>K1285-'Order(Exhibit B)'!K1285</f>
        <v>0</v>
      </c>
      <c r="T1285" s="115">
        <f>M1285-'Order(Exhibit B)'!M1285</f>
        <v>0</v>
      </c>
    </row>
    <row r="1286" spans="1:20" ht="16.5" thickBot="1">
      <c r="A1286" s="176" t="s">
        <v>357</v>
      </c>
      <c r="B1286" s="177"/>
      <c r="C1286" s="178">
        <f>SUM(C1283:C1285)</f>
        <v>1162716179</v>
      </c>
      <c r="D1286" s="178">
        <f>SUM(D1283:D1285)</f>
        <v>1339588000</v>
      </c>
      <c r="E1286" s="178"/>
      <c r="F1286" s="251"/>
      <c r="G1286" s="251"/>
      <c r="H1286" s="179">
        <f>SUM(H1283:H1285)</f>
        <v>94811298.96999979</v>
      </c>
      <c r="I1286" s="179">
        <f>SUM(I1283:I1285)</f>
        <v>104628474.4689828</v>
      </c>
      <c r="J1286" s="178"/>
      <c r="K1286" s="251"/>
      <c r="L1286" s="251"/>
      <c r="M1286" s="179">
        <f>SUM(M1283:M1285)</f>
        <v>104628474.4689828</v>
      </c>
      <c r="O1286" s="114" t="s">
        <v>108</v>
      </c>
      <c r="P1286" s="164">
        <f>M1286/I1286-1</f>
        <v>0</v>
      </c>
      <c r="S1286" s="145">
        <f>K1286-'Order(Exhibit B)'!K1286</f>
        <v>0</v>
      </c>
      <c r="T1286" s="115">
        <f>M1286-'Order(Exhibit B)'!M1286</f>
        <v>0</v>
      </c>
    </row>
    <row r="1287" spans="1:20" ht="16.5" thickTop="1">
      <c r="C1287" s="135"/>
      <c r="D1287" s="135"/>
      <c r="E1287" s="135"/>
      <c r="F1287" s="193"/>
      <c r="G1287" s="193"/>
      <c r="J1287" s="135"/>
      <c r="K1287" s="193"/>
      <c r="L1287" s="193"/>
      <c r="S1287" s="145">
        <f>K1287-'Order(Exhibit B)'!K1287</f>
        <v>0</v>
      </c>
      <c r="T1287" s="115">
        <f>M1287-'Order(Exhibit B)'!M1287</f>
        <v>0</v>
      </c>
    </row>
    <row r="1288" spans="1:20">
      <c r="A1288" s="133" t="s">
        <v>367</v>
      </c>
      <c r="C1288" s="135"/>
      <c r="D1288" s="135"/>
      <c r="E1288" s="135"/>
      <c r="J1288" s="135"/>
      <c r="S1288" s="145">
        <f>K1288-'Order(Exhibit B)'!K1288</f>
        <v>0</v>
      </c>
      <c r="T1288" s="115">
        <f>M1288-'Order(Exhibit B)'!M1288</f>
        <v>0</v>
      </c>
    </row>
    <row r="1289" spans="1:20">
      <c r="A1289" s="136" t="s">
        <v>368</v>
      </c>
      <c r="C1289" s="135">
        <f>C1297+C1305</f>
        <v>33.068807339449499</v>
      </c>
      <c r="D1289" s="135">
        <f t="shared" ref="D1289" si="282">D1297+D1305</f>
        <v>48</v>
      </c>
      <c r="E1289" s="135"/>
      <c r="F1289" s="138">
        <v>2.1800000000000002</v>
      </c>
      <c r="G1289" s="138"/>
      <c r="H1289" s="139">
        <f>ROUND($F1289*C1289,0)</f>
        <v>72</v>
      </c>
      <c r="I1289" s="139">
        <f>ROUND($F1289*D1289,0)</f>
        <v>105</v>
      </c>
      <c r="J1289" s="135"/>
      <c r="K1289" s="138">
        <f>F1289</f>
        <v>2.1800000000000002</v>
      </c>
      <c r="L1289" s="138"/>
      <c r="M1289" s="139">
        <f>ROUND($K1289*D1289,0)</f>
        <v>105</v>
      </c>
      <c r="S1289" s="145">
        <f>K1289-'Order(Exhibit B)'!K1289</f>
        <v>0</v>
      </c>
      <c r="T1289" s="115">
        <f>M1289-'Order(Exhibit B)'!M1289</f>
        <v>0</v>
      </c>
    </row>
    <row r="1290" spans="1:20">
      <c r="A1290" s="136" t="s">
        <v>369</v>
      </c>
      <c r="C1290" s="135">
        <f t="shared" ref="C1290:D1294" si="283">C1298+C1306</f>
        <v>211.844633543783</v>
      </c>
      <c r="D1290" s="135">
        <f t="shared" si="283"/>
        <v>208</v>
      </c>
      <c r="E1290" s="135"/>
      <c r="F1290" s="257">
        <v>2.1858</v>
      </c>
      <c r="G1290" s="163"/>
      <c r="H1290" s="217">
        <f>ROUND($F1290*C1290,0)</f>
        <v>463</v>
      </c>
      <c r="I1290" s="217">
        <f>ROUND($F1290*D1290,0)</f>
        <v>455</v>
      </c>
      <c r="J1290" s="135"/>
      <c r="K1290" s="257">
        <f>F1290</f>
        <v>2.1858</v>
      </c>
      <c r="L1290" s="163"/>
      <c r="M1290" s="217">
        <f>ROUND($K1290*D1290,0)</f>
        <v>455</v>
      </c>
      <c r="S1290" s="145">
        <f>K1290-'Order(Exhibit B)'!K1290</f>
        <v>0</v>
      </c>
      <c r="T1290" s="115">
        <f>M1290-'Order(Exhibit B)'!M1290</f>
        <v>0</v>
      </c>
    </row>
    <row r="1291" spans="1:20">
      <c r="A1291" s="136" t="s">
        <v>370</v>
      </c>
      <c r="C1291" s="226">
        <f t="shared" si="283"/>
        <v>244.91344088323251</v>
      </c>
      <c r="D1291" s="135">
        <f t="shared" si="283"/>
        <v>256</v>
      </c>
      <c r="E1291" s="135"/>
      <c r="H1291" s="139">
        <f>SUM(H1289:H1290)</f>
        <v>535</v>
      </c>
      <c r="I1291" s="139">
        <f>SUM(I1289:I1290)</f>
        <v>560</v>
      </c>
      <c r="J1291" s="135"/>
      <c r="M1291" s="139">
        <f>SUM(M1289:M1290)</f>
        <v>560</v>
      </c>
      <c r="S1291" s="145">
        <f>K1291-'Order(Exhibit B)'!K1291</f>
        <v>0</v>
      </c>
      <c r="T1291" s="115">
        <f>M1291-'Order(Exhibit B)'!M1291</f>
        <v>0</v>
      </c>
    </row>
    <row r="1292" spans="1:20" ht="16.5" thickBot="1">
      <c r="A1292" s="136" t="s">
        <v>371</v>
      </c>
      <c r="C1292" s="258">
        <f t="shared" si="283"/>
        <v>7102.4897856137368</v>
      </c>
      <c r="D1292" s="137">
        <f t="shared" si="283"/>
        <v>7423</v>
      </c>
      <c r="E1292" s="137"/>
      <c r="J1292" s="137"/>
      <c r="S1292" s="145">
        <f>K1292-'Order(Exhibit B)'!K1292</f>
        <v>0</v>
      </c>
      <c r="T1292" s="115">
        <f>M1292-'Order(Exhibit B)'!M1292</f>
        <v>0</v>
      </c>
    </row>
    <row r="1293" spans="1:20" ht="16.5" thickTop="1">
      <c r="A1293" s="136" t="s">
        <v>173</v>
      </c>
      <c r="C1293" s="137">
        <f t="shared" si="283"/>
        <v>3</v>
      </c>
      <c r="D1293" s="137">
        <f t="shared" si="283"/>
        <v>4</v>
      </c>
      <c r="E1293" s="137"/>
      <c r="J1293" s="137"/>
      <c r="S1293" s="145">
        <f>K1293-'Order(Exhibit B)'!K1293</f>
        <v>0</v>
      </c>
      <c r="T1293" s="115">
        <f>M1293-'Order(Exhibit B)'!M1293</f>
        <v>0</v>
      </c>
    </row>
    <row r="1294" spans="1:20" ht="16.5" thickBot="1">
      <c r="A1294" s="176" t="s">
        <v>127</v>
      </c>
      <c r="B1294" s="177"/>
      <c r="C1294" s="203">
        <f t="shared" si="283"/>
        <v>7102.4897856137368</v>
      </c>
      <c r="D1294" s="203">
        <f>D1302+D1310</f>
        <v>7423</v>
      </c>
      <c r="E1294" s="203"/>
      <c r="F1294" s="222"/>
      <c r="G1294" s="222"/>
      <c r="H1294" s="222">
        <f>H1291</f>
        <v>535</v>
      </c>
      <c r="I1294" s="222">
        <f>I1291</f>
        <v>560</v>
      </c>
      <c r="J1294" s="203"/>
      <c r="K1294" s="222"/>
      <c r="L1294" s="222"/>
      <c r="M1294" s="222">
        <f>M1291</f>
        <v>560</v>
      </c>
      <c r="O1294" s="114" t="s">
        <v>108</v>
      </c>
      <c r="P1294" s="164">
        <f>M1294/I1294-1</f>
        <v>0</v>
      </c>
      <c r="S1294" s="145">
        <f>K1294-'Order(Exhibit B)'!K1294</f>
        <v>0</v>
      </c>
      <c r="T1294" s="115">
        <f>M1294-'Order(Exhibit B)'!M1294</f>
        <v>0</v>
      </c>
    </row>
    <row r="1295" spans="1:20" ht="16.5" thickTop="1">
      <c r="C1295" s="135"/>
      <c r="D1295" s="135"/>
      <c r="E1295" s="135"/>
      <c r="F1295" s="193"/>
      <c r="G1295" s="193"/>
      <c r="J1295" s="135"/>
      <c r="K1295" s="193"/>
      <c r="L1295" s="193"/>
      <c r="S1295" s="145">
        <f>K1295-'Order(Exhibit B)'!K1295</f>
        <v>0</v>
      </c>
      <c r="T1295" s="115">
        <f>M1295-'Order(Exhibit B)'!M1295</f>
        <v>0</v>
      </c>
    </row>
    <row r="1296" spans="1:20">
      <c r="A1296" s="133" t="s">
        <v>372</v>
      </c>
      <c r="C1296" s="135"/>
      <c r="D1296" s="135"/>
      <c r="E1296" s="135"/>
      <c r="J1296" s="135"/>
      <c r="S1296" s="145">
        <f>K1296-'Order(Exhibit B)'!K1296</f>
        <v>0</v>
      </c>
      <c r="T1296" s="115">
        <f>M1296-'Order(Exhibit B)'!M1296</f>
        <v>0</v>
      </c>
    </row>
    <row r="1297" spans="1:20">
      <c r="A1297" s="136" t="s">
        <v>368</v>
      </c>
      <c r="C1297" s="135">
        <v>0</v>
      </c>
      <c r="D1297" s="135">
        <f>ROUND($C1297*(D$1300/$C$1300),0)</f>
        <v>0</v>
      </c>
      <c r="E1297" s="135"/>
      <c r="F1297" s="138">
        <v>2.1800000000000002</v>
      </c>
      <c r="G1297" s="138"/>
      <c r="H1297" s="139">
        <f>ROUND($F1297*C1297,0)</f>
        <v>0</v>
      </c>
      <c r="I1297" s="139">
        <f>ROUND($F1297*D1297,0)</f>
        <v>0</v>
      </c>
      <c r="J1297" s="135"/>
      <c r="K1297" s="138">
        <f>K1289</f>
        <v>2.1800000000000002</v>
      </c>
      <c r="L1297" s="138"/>
      <c r="M1297" s="139">
        <f>ROUND($K1297*D1297,0)</f>
        <v>0</v>
      </c>
      <c r="S1297" s="145">
        <f>K1297-'Order(Exhibit B)'!K1297</f>
        <v>0</v>
      </c>
      <c r="T1297" s="115">
        <f>M1297-'Order(Exhibit B)'!M1297</f>
        <v>0</v>
      </c>
    </row>
    <row r="1298" spans="1:20">
      <c r="A1298" s="136" t="s">
        <v>369</v>
      </c>
      <c r="C1298" s="135">
        <v>211.844633543783</v>
      </c>
      <c r="D1298" s="214">
        <f>ROUND($C1298*(D$1300/$C$1300),0)</f>
        <v>208</v>
      </c>
      <c r="E1298" s="214"/>
      <c r="F1298" s="257">
        <v>2.1858</v>
      </c>
      <c r="G1298" s="163"/>
      <c r="H1298" s="217">
        <f>ROUND($F1298*C1298,0)</f>
        <v>463</v>
      </c>
      <c r="I1298" s="217">
        <f>ROUND($F1298*D1298,0)</f>
        <v>455</v>
      </c>
      <c r="J1298" s="214"/>
      <c r="K1298" s="257">
        <f>K1290</f>
        <v>2.1858</v>
      </c>
      <c r="L1298" s="163"/>
      <c r="M1298" s="217">
        <f>ROUND($K1298*D1298,0)</f>
        <v>455</v>
      </c>
      <c r="S1298" s="145">
        <f>K1298-'Order(Exhibit B)'!K1298</f>
        <v>0</v>
      </c>
      <c r="T1298" s="115">
        <f>M1298-'Order(Exhibit B)'!M1298</f>
        <v>0</v>
      </c>
    </row>
    <row r="1299" spans="1:20">
      <c r="A1299" s="136" t="s">
        <v>370</v>
      </c>
      <c r="C1299" s="226">
        <f>SUM(C1297:C1298)</f>
        <v>211.844633543783</v>
      </c>
      <c r="D1299" s="135">
        <f>SUM(D1297:D1298)</f>
        <v>208</v>
      </c>
      <c r="E1299" s="135"/>
      <c r="H1299" s="139">
        <f>SUM(H1297:H1298)</f>
        <v>463</v>
      </c>
      <c r="I1299" s="139">
        <f>SUM(I1297:I1298)</f>
        <v>455</v>
      </c>
      <c r="J1299" s="135"/>
      <c r="M1299" s="139">
        <f>SUM(M1297:M1298)</f>
        <v>455</v>
      </c>
      <c r="S1299" s="145">
        <f>K1299-'Order(Exhibit B)'!K1299</f>
        <v>0</v>
      </c>
      <c r="T1299" s="115">
        <f>M1299-'Order(Exhibit B)'!M1299</f>
        <v>0</v>
      </c>
    </row>
    <row r="1300" spans="1:20" ht="16.5" thickBot="1">
      <c r="A1300" s="136" t="s">
        <v>371</v>
      </c>
      <c r="C1300" s="258">
        <v>6143.4943727697</v>
      </c>
      <c r="D1300" s="137">
        <v>6031</v>
      </c>
      <c r="E1300" s="137"/>
      <c r="J1300" s="137"/>
      <c r="S1300" s="145">
        <f>K1300-'Order(Exhibit B)'!K1300</f>
        <v>0</v>
      </c>
      <c r="T1300" s="115">
        <f>M1300-'Order(Exhibit B)'!M1300</f>
        <v>0</v>
      </c>
    </row>
    <row r="1301" spans="1:20" ht="16.5" thickTop="1">
      <c r="A1301" s="136" t="s">
        <v>173</v>
      </c>
      <c r="C1301" s="137">
        <v>2</v>
      </c>
      <c r="D1301" s="137">
        <v>2</v>
      </c>
      <c r="E1301" s="137"/>
      <c r="J1301" s="137"/>
      <c r="S1301" s="145">
        <f>K1301-'Order(Exhibit B)'!K1301</f>
        <v>0</v>
      </c>
      <c r="T1301" s="115">
        <f>M1301-'Order(Exhibit B)'!M1301</f>
        <v>0</v>
      </c>
    </row>
    <row r="1302" spans="1:20" ht="16.5" thickBot="1">
      <c r="A1302" s="176" t="s">
        <v>127</v>
      </c>
      <c r="B1302" s="177"/>
      <c r="C1302" s="203">
        <f>C1300</f>
        <v>6143.4943727697</v>
      </c>
      <c r="D1302" s="203">
        <f t="shared" ref="D1302" si="284">D1300</f>
        <v>6031</v>
      </c>
      <c r="E1302" s="203"/>
      <c r="F1302" s="222"/>
      <c r="G1302" s="222"/>
      <c r="H1302" s="222">
        <f>H1299</f>
        <v>463</v>
      </c>
      <c r="I1302" s="222">
        <f>I1299</f>
        <v>455</v>
      </c>
      <c r="J1302" s="203"/>
      <c r="K1302" s="222"/>
      <c r="L1302" s="222"/>
      <c r="M1302" s="222">
        <f>M1299</f>
        <v>455</v>
      </c>
      <c r="O1302" s="114" t="s">
        <v>108</v>
      </c>
      <c r="P1302" s="164">
        <f>M1302/I1302-1</f>
        <v>0</v>
      </c>
      <c r="S1302" s="145">
        <f>K1302-'Order(Exhibit B)'!K1302</f>
        <v>0</v>
      </c>
      <c r="T1302" s="115">
        <f>M1302-'Order(Exhibit B)'!M1302</f>
        <v>0</v>
      </c>
    </row>
    <row r="1303" spans="1:20" ht="16.5" thickTop="1">
      <c r="C1303" s="135"/>
      <c r="D1303" s="135"/>
      <c r="E1303" s="135"/>
      <c r="F1303" s="193"/>
      <c r="G1303" s="193"/>
      <c r="J1303" s="135"/>
      <c r="K1303" s="193"/>
      <c r="L1303" s="193"/>
      <c r="S1303" s="145">
        <f>K1303-'Order(Exhibit B)'!K1303</f>
        <v>0</v>
      </c>
      <c r="T1303" s="115">
        <f>M1303-'Order(Exhibit B)'!M1303</f>
        <v>0</v>
      </c>
    </row>
    <row r="1304" spans="1:20">
      <c r="A1304" s="133" t="s">
        <v>373</v>
      </c>
      <c r="C1304" s="135"/>
      <c r="D1304" s="135"/>
      <c r="E1304" s="135"/>
      <c r="J1304" s="135"/>
      <c r="S1304" s="145">
        <f>K1304-'Order(Exhibit B)'!K1304</f>
        <v>0</v>
      </c>
      <c r="T1304" s="115">
        <f>M1304-'Order(Exhibit B)'!M1304</f>
        <v>0</v>
      </c>
    </row>
    <row r="1305" spans="1:20">
      <c r="A1305" s="136" t="s">
        <v>368</v>
      </c>
      <c r="C1305" s="135">
        <v>33.068807339449499</v>
      </c>
      <c r="D1305" s="135">
        <f>ROUND($C1305*(D$1308/$C$1308),0)</f>
        <v>48</v>
      </c>
      <c r="E1305" s="135"/>
      <c r="F1305" s="138">
        <v>2.1800000000000002</v>
      </c>
      <c r="G1305" s="138"/>
      <c r="H1305" s="139">
        <f>ROUND($F1305*C1305,0)</f>
        <v>72</v>
      </c>
      <c r="I1305" s="139">
        <f>ROUND($F1305*D1305,0)</f>
        <v>105</v>
      </c>
      <c r="J1305" s="135"/>
      <c r="K1305" s="138">
        <f>K1289</f>
        <v>2.1800000000000002</v>
      </c>
      <c r="L1305" s="138"/>
      <c r="M1305" s="139">
        <f>ROUND($K1305*D1305,0)</f>
        <v>105</v>
      </c>
      <c r="S1305" s="145">
        <f>K1305-'Order(Exhibit B)'!K1305</f>
        <v>0</v>
      </c>
      <c r="T1305" s="115">
        <f>M1305-'Order(Exhibit B)'!M1305</f>
        <v>0</v>
      </c>
    </row>
    <row r="1306" spans="1:20">
      <c r="A1306" s="136" t="s">
        <v>369</v>
      </c>
      <c r="C1306" s="135">
        <v>0</v>
      </c>
      <c r="D1306" s="214">
        <f>ROUND($C1306*(D$1308/$C$1308),0)</f>
        <v>0</v>
      </c>
      <c r="E1306" s="214"/>
      <c r="F1306" s="257">
        <v>2.1858</v>
      </c>
      <c r="G1306" s="163"/>
      <c r="H1306" s="217">
        <f>ROUND($F1306*C1306,0)</f>
        <v>0</v>
      </c>
      <c r="I1306" s="217">
        <f>ROUND($F1306*D1306,0)</f>
        <v>0</v>
      </c>
      <c r="J1306" s="214"/>
      <c r="K1306" s="257">
        <f>K1290</f>
        <v>2.1858</v>
      </c>
      <c r="L1306" s="163"/>
      <c r="M1306" s="217">
        <f>ROUND($K1306*D1306,0)</f>
        <v>0</v>
      </c>
      <c r="S1306" s="145">
        <f>K1306-'Order(Exhibit B)'!K1306</f>
        <v>0</v>
      </c>
      <c r="T1306" s="115">
        <f>M1306-'Order(Exhibit B)'!M1306</f>
        <v>0</v>
      </c>
    </row>
    <row r="1307" spans="1:20">
      <c r="A1307" s="136" t="s">
        <v>370</v>
      </c>
      <c r="C1307" s="226">
        <f>SUM(C1305:C1306)</f>
        <v>33.068807339449499</v>
      </c>
      <c r="D1307" s="135">
        <f>SUM(D1305:D1306)</f>
        <v>48</v>
      </c>
      <c r="E1307" s="135"/>
      <c r="H1307" s="139">
        <f>SUM(H1305:H1306)</f>
        <v>72</v>
      </c>
      <c r="I1307" s="139">
        <f>SUM(I1305:I1306)</f>
        <v>105</v>
      </c>
      <c r="J1307" s="135"/>
      <c r="M1307" s="139">
        <f>SUM(M1305:M1306)</f>
        <v>105</v>
      </c>
      <c r="S1307" s="145">
        <f>K1307-'Order(Exhibit B)'!K1307</f>
        <v>0</v>
      </c>
      <c r="T1307" s="115">
        <f>M1307-'Order(Exhibit B)'!M1307</f>
        <v>0</v>
      </c>
    </row>
    <row r="1308" spans="1:20" ht="16.5" thickBot="1">
      <c r="A1308" s="136" t="s">
        <v>371</v>
      </c>
      <c r="C1308" s="258">
        <v>958.99541284403699</v>
      </c>
      <c r="D1308" s="137">
        <v>1392</v>
      </c>
      <c r="E1308" s="137"/>
      <c r="J1308" s="137"/>
      <c r="S1308" s="145">
        <f>K1308-'Order(Exhibit B)'!K1308</f>
        <v>0</v>
      </c>
      <c r="T1308" s="115">
        <f>M1308-'Order(Exhibit B)'!M1308</f>
        <v>0</v>
      </c>
    </row>
    <row r="1309" spans="1:20" ht="16.5" thickTop="1">
      <c r="A1309" s="136" t="s">
        <v>173</v>
      </c>
      <c r="C1309" s="137">
        <v>1</v>
      </c>
      <c r="D1309" s="137">
        <v>2</v>
      </c>
      <c r="E1309" s="137"/>
      <c r="J1309" s="137"/>
      <c r="S1309" s="145">
        <f>K1309-'Order(Exhibit B)'!K1309</f>
        <v>0</v>
      </c>
      <c r="T1309" s="115">
        <f>M1309-'Order(Exhibit B)'!M1309</f>
        <v>0</v>
      </c>
    </row>
    <row r="1310" spans="1:20" ht="16.5" thickBot="1">
      <c r="A1310" s="176" t="s">
        <v>127</v>
      </c>
      <c r="B1310" s="177"/>
      <c r="C1310" s="203">
        <f>C1308</f>
        <v>958.99541284403699</v>
      </c>
      <c r="D1310" s="203">
        <f t="shared" ref="D1310" si="285">D1308</f>
        <v>1392</v>
      </c>
      <c r="E1310" s="203"/>
      <c r="F1310" s="222"/>
      <c r="G1310" s="222"/>
      <c r="H1310" s="222">
        <f>H1307</f>
        <v>72</v>
      </c>
      <c r="I1310" s="222">
        <f>I1307</f>
        <v>105</v>
      </c>
      <c r="J1310" s="203"/>
      <c r="K1310" s="222"/>
      <c r="L1310" s="222"/>
      <c r="M1310" s="222">
        <f>M1307</f>
        <v>105</v>
      </c>
      <c r="O1310" s="114" t="s">
        <v>108</v>
      </c>
      <c r="P1310" s="164">
        <f>M1310/I1310-1</f>
        <v>0</v>
      </c>
      <c r="S1310" s="145">
        <f>K1310-'Order(Exhibit B)'!K1310</f>
        <v>0</v>
      </c>
      <c r="T1310" s="115">
        <f>M1310-'Order(Exhibit B)'!M1310</f>
        <v>0</v>
      </c>
    </row>
    <row r="1311" spans="1:20" ht="16.5" thickTop="1">
      <c r="C1311" s="135"/>
      <c r="D1311" s="135"/>
      <c r="E1311" s="135"/>
      <c r="J1311" s="135"/>
      <c r="S1311" s="145">
        <f>K1311-'Order(Exhibit B)'!K1311</f>
        <v>0</v>
      </c>
      <c r="T1311" s="115">
        <f>M1311-'Order(Exhibit B)'!M1311</f>
        <v>0</v>
      </c>
    </row>
    <row r="1312" spans="1:20">
      <c r="A1312" s="133" t="s">
        <v>374</v>
      </c>
      <c r="F1312" s="193"/>
      <c r="G1312" s="193"/>
      <c r="K1312" s="193"/>
      <c r="L1312" s="193"/>
      <c r="S1312" s="145">
        <f>K1312-'Order(Exhibit B)'!K1312</f>
        <v>0</v>
      </c>
      <c r="T1312" s="115">
        <f>M1312-'Order(Exhibit B)'!M1312</f>
        <v>0</v>
      </c>
    </row>
    <row r="1313" spans="1:20">
      <c r="A1313" s="136" t="s">
        <v>375</v>
      </c>
      <c r="C1313" s="259"/>
      <c r="D1313" s="259"/>
      <c r="E1313" s="259"/>
      <c r="F1313" s="193"/>
      <c r="G1313" s="193"/>
      <c r="H1313" s="139">
        <v>37136.720000000008</v>
      </c>
      <c r="I1313" s="139">
        <v>37136.720000000008</v>
      </c>
      <c r="J1313" s="259"/>
      <c r="K1313" s="193"/>
      <c r="L1313" s="193"/>
      <c r="M1313" s="139">
        <f>I1313</f>
        <v>37136.720000000008</v>
      </c>
      <c r="S1313" s="145">
        <f>K1313-'Order(Exhibit B)'!K1313</f>
        <v>0</v>
      </c>
      <c r="T1313" s="115">
        <f>M1313-'Order(Exhibit B)'!M1313</f>
        <v>0</v>
      </c>
    </row>
    <row r="1314" spans="1:20">
      <c r="A1314" s="136" t="s">
        <v>376</v>
      </c>
      <c r="C1314" s="259"/>
      <c r="D1314" s="259"/>
      <c r="E1314" s="259"/>
      <c r="F1314" s="193"/>
      <c r="G1314" s="193"/>
      <c r="H1314" s="139">
        <v>5958540.370000001</v>
      </c>
      <c r="I1314" s="139">
        <v>5958540.370000001</v>
      </c>
      <c r="J1314" s="259"/>
      <c r="K1314" s="193"/>
      <c r="L1314" s="193"/>
      <c r="M1314" s="139">
        <f t="shared" ref="M1314:M1317" si="286">I1314</f>
        <v>5958540.370000001</v>
      </c>
      <c r="S1314" s="145">
        <f>K1314-'Order(Exhibit B)'!K1314</f>
        <v>0</v>
      </c>
      <c r="T1314" s="115">
        <f>M1314-'Order(Exhibit B)'!M1314</f>
        <v>0</v>
      </c>
    </row>
    <row r="1315" spans="1:20">
      <c r="A1315" s="136" t="s">
        <v>377</v>
      </c>
      <c r="C1315" s="259"/>
      <c r="D1315" s="259"/>
      <c r="E1315" s="259"/>
      <c r="F1315" s="193"/>
      <c r="G1315" s="193"/>
      <c r="H1315" s="139">
        <v>877980.84</v>
      </c>
      <c r="I1315" s="139">
        <v>877980.84</v>
      </c>
      <c r="J1315" s="259"/>
      <c r="K1315" s="193"/>
      <c r="L1315" s="193"/>
      <c r="M1315" s="139">
        <f t="shared" si="286"/>
        <v>877980.84</v>
      </c>
      <c r="S1315" s="145">
        <f>K1315-'Order(Exhibit B)'!K1315</f>
        <v>0</v>
      </c>
      <c r="T1315" s="115">
        <f>M1315-'Order(Exhibit B)'!M1315</f>
        <v>0</v>
      </c>
    </row>
    <row r="1316" spans="1:20">
      <c r="A1316" s="136" t="s">
        <v>378</v>
      </c>
      <c r="C1316" s="259"/>
      <c r="D1316" s="259"/>
      <c r="E1316" s="259"/>
      <c r="F1316" s="193"/>
      <c r="G1316" s="193"/>
      <c r="H1316" s="139">
        <v>203156.84000000003</v>
      </c>
      <c r="I1316" s="139">
        <v>203156.84000000003</v>
      </c>
      <c r="J1316" s="259"/>
      <c r="K1316" s="193"/>
      <c r="L1316" s="193"/>
      <c r="M1316" s="139">
        <f t="shared" si="286"/>
        <v>203156.84000000003</v>
      </c>
      <c r="S1316" s="145">
        <f>K1316-'Order(Exhibit B)'!K1316</f>
        <v>0</v>
      </c>
      <c r="T1316" s="115">
        <f>M1316-'Order(Exhibit B)'!M1316</f>
        <v>0</v>
      </c>
    </row>
    <row r="1317" spans="1:20">
      <c r="A1317" s="136" t="s">
        <v>379</v>
      </c>
      <c r="C1317" s="259"/>
      <c r="D1317" s="259"/>
      <c r="E1317" s="259"/>
      <c r="F1317" s="193"/>
      <c r="G1317" s="193"/>
      <c r="H1317" s="217">
        <v>4661.6400000000003</v>
      </c>
      <c r="I1317" s="217">
        <v>4661.6400000000003</v>
      </c>
      <c r="J1317" s="259"/>
      <c r="K1317" s="193"/>
      <c r="L1317" s="193"/>
      <c r="M1317" s="217">
        <f t="shared" si="286"/>
        <v>4661.6400000000003</v>
      </c>
      <c r="S1317" s="145">
        <f>K1317-'Order(Exhibit B)'!K1317</f>
        <v>0</v>
      </c>
      <c r="T1317" s="115">
        <f>M1317-'Order(Exhibit B)'!M1317</f>
        <v>0</v>
      </c>
    </row>
    <row r="1318" spans="1:20" ht="16.5" thickBot="1">
      <c r="A1318" s="176" t="s">
        <v>380</v>
      </c>
      <c r="B1318" s="177"/>
      <c r="C1318" s="260"/>
      <c r="D1318" s="260"/>
      <c r="E1318" s="260"/>
      <c r="F1318" s="251"/>
      <c r="G1318" s="251"/>
      <c r="H1318" s="179">
        <f>SUM(H1313:H1317)</f>
        <v>7081476.4100000001</v>
      </c>
      <c r="I1318" s="179">
        <f>SUM(I1313:I1317)</f>
        <v>7081476.4100000001</v>
      </c>
      <c r="J1318" s="260"/>
      <c r="K1318" s="251"/>
      <c r="L1318" s="251"/>
      <c r="M1318" s="179">
        <f>SUM(M1313:M1317)</f>
        <v>7081476.4100000001</v>
      </c>
      <c r="O1318" s="114" t="s">
        <v>108</v>
      </c>
      <c r="P1318" s="164">
        <f>M1318/I1318-1</f>
        <v>0</v>
      </c>
      <c r="S1318" s="145">
        <f>K1318-'Order(Exhibit B)'!K1318</f>
        <v>0</v>
      </c>
      <c r="T1318" s="115">
        <f>M1318-'Order(Exhibit B)'!M1318</f>
        <v>0</v>
      </c>
    </row>
    <row r="1319" spans="1:20" ht="16.5" thickTop="1">
      <c r="A1319" s="136"/>
      <c r="F1319" s="193"/>
      <c r="G1319" s="193"/>
      <c r="H1319" s="139"/>
      <c r="I1319" s="139"/>
      <c r="K1319" s="193"/>
      <c r="L1319" s="193"/>
      <c r="M1319" s="139"/>
      <c r="S1319" s="145">
        <f>K1319-'Order(Exhibit B)'!K1319</f>
        <v>0</v>
      </c>
      <c r="T1319" s="115">
        <f>M1319-'Order(Exhibit B)'!M1319</f>
        <v>0</v>
      </c>
    </row>
    <row r="1320" spans="1:20" ht="16.5" thickBot="1">
      <c r="A1320" s="232" t="s">
        <v>381</v>
      </c>
      <c r="B1320" s="177"/>
      <c r="C1320" s="260">
        <f>C26+C66+C81+C101+C47+C122+C178+C241+C325+C397+C438+C494+C508+C549+C597+C619+C648+C725+C734+C768+C805+C869+C983+C1162+C1208+C1255+C1269+C1280+C1286+C1258+C1294</f>
        <v>25917499352.651615</v>
      </c>
      <c r="D1320" s="260">
        <f>D26+D66+D81+D101+D47+D122+D178+D241+D325+D397+D438+D494+D508+D549+D597+D619+D648+D725+D734+D768+D805+D869+D983+D1162+D1208+D1255+D1269+D1280+D1286+D1258+D1294</f>
        <v>28826511503.800049</v>
      </c>
      <c r="E1320" s="260"/>
      <c r="F1320" s="177"/>
      <c r="G1320" s="177"/>
      <c r="H1320" s="179">
        <f>H26+H66+H81+H101+H47+H122+H178+H241+H325+H397+H438+H494+H508+H549+H597+H619+H648+H725+H734+H768+H805+H869+H983+H1162+H1208+H1255+H1269+H1280+H1286+H1258+H1294+H1318</f>
        <v>2183367073.540267</v>
      </c>
      <c r="I1320" s="179">
        <f>I26+I66+I81+I101+I47+I122+I178+I241+I325+I397+I438+I494+I508+I549+I597+I619+I648+I725+I734+I768+I805+I869+I983+I1162+I1208+I1255+I1269+I1280+I1286+I1258+I1294+I1318</f>
        <v>2356946872.6316357</v>
      </c>
      <c r="J1320" s="260"/>
      <c r="K1320" s="177"/>
      <c r="L1320" s="177"/>
      <c r="M1320" s="179">
        <f>M26+M66+M81+M101+M47+M122+M178+M241+M325+M397+M438+M494+M508+M549+M597+M619+M648+M725+M734+M768+M805+M869+M983+M1162+M1208+M1255+M1269+M1280+M1286+M1258+M1294+M1318</f>
        <v>2444825482.6316357</v>
      </c>
      <c r="O1320" s="114" t="s">
        <v>108</v>
      </c>
      <c r="P1320" s="164">
        <f>M1320/I1320-1</f>
        <v>3.7284934599259634E-2</v>
      </c>
      <c r="S1320" s="145">
        <f>K1320-'Order(Exhibit B)'!K1320</f>
        <v>0</v>
      </c>
      <c r="T1320" s="115">
        <f>M1320-'Order(Exhibit B)'!M1320</f>
        <v>7136616</v>
      </c>
    </row>
    <row r="1321" spans="1:20" ht="16.5" thickTop="1">
      <c r="C1321" s="135"/>
    </row>
    <row r="1322" spans="1:20">
      <c r="D1322" s="135">
        <v>0</v>
      </c>
      <c r="E1322" s="135"/>
      <c r="J1322" s="135"/>
      <c r="M1322" s="164"/>
    </row>
    <row r="1323" spans="1:20">
      <c r="C1323" s="261"/>
      <c r="H1323" s="261"/>
      <c r="I1323" s="139"/>
      <c r="M1323" s="139"/>
    </row>
    <row r="1324" spans="1:20">
      <c r="C1324" s="261"/>
      <c r="I1324" s="139"/>
      <c r="M1324" s="139"/>
    </row>
    <row r="1325" spans="1:20">
      <c r="M1325" s="164"/>
    </row>
  </sheetData>
  <printOptions horizontalCentered="1"/>
  <pageMargins left="1" right="0.5" top="1" bottom="0.55000000000000004" header="0.25" footer="0.25"/>
  <pageSetup scale="37" fitToHeight="88" orientation="portrait" r:id="rId1"/>
  <headerFooter alignWithMargins="0">
    <oddFooter>Page &amp;P of &amp;N</oddFooter>
  </headerFooter>
  <rowBreaks count="6" manualBreakCount="6">
    <brk id="108" max="16" man="1"/>
    <brk id="494" max="16" man="1"/>
    <brk id="648" max="16" man="1"/>
    <brk id="805" max="16" man="1"/>
    <brk id="1150" max="16" man="1"/>
    <brk id="1255" max="1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FB8D0-429E-48AC-8FB4-E1C63D547545}">
  <dimension ref="A1:U112"/>
  <sheetViews>
    <sheetView view="pageBreakPreview" topLeftCell="A95" zoomScale="80" zoomScaleNormal="90" zoomScaleSheetLayoutView="80" workbookViewId="0">
      <selection activeCell="H121" sqref="H121"/>
    </sheetView>
  </sheetViews>
  <sheetFormatPr defaultColWidth="9.140625" defaultRowHeight="15.75"/>
  <cols>
    <col min="1" max="1" width="66.42578125" style="266" bestFit="1" customWidth="1"/>
    <col min="2" max="2" width="9.42578125" style="266" customWidth="1"/>
    <col min="3" max="3" width="2.85546875" style="266" customWidth="1"/>
    <col min="4" max="4" width="19.28515625" style="266" customWidth="1"/>
    <col min="5" max="5" width="6.85546875" style="266" bestFit="1" customWidth="1"/>
    <col min="6" max="6" width="19" style="266" customWidth="1"/>
    <col min="7" max="7" width="3.42578125" style="266" customWidth="1"/>
    <col min="8" max="8" width="18.7109375" style="266" customWidth="1"/>
    <col min="9" max="9" width="6.85546875" style="266" bestFit="1" customWidth="1"/>
    <col min="10" max="10" width="10.85546875" style="266" bestFit="1" customWidth="1"/>
    <col min="11" max="11" width="3" style="266" customWidth="1"/>
    <col min="12" max="12" width="15.85546875" style="266" customWidth="1"/>
    <col min="13" max="16384" width="9.140625" style="266"/>
  </cols>
  <sheetData>
    <row r="1" spans="1:21">
      <c r="A1" s="262" t="s">
        <v>91</v>
      </c>
      <c r="B1" s="263"/>
      <c r="C1" s="263"/>
      <c r="D1" s="263"/>
      <c r="E1" s="263"/>
      <c r="F1" s="263"/>
      <c r="G1" s="263"/>
      <c r="H1" s="263"/>
      <c r="I1" s="263"/>
      <c r="J1" s="263"/>
      <c r="K1" s="264"/>
      <c r="L1" s="265"/>
    </row>
    <row r="2" spans="1:21">
      <c r="A2" s="262" t="s">
        <v>382</v>
      </c>
      <c r="B2" s="263"/>
      <c r="C2" s="263"/>
      <c r="D2" s="263"/>
      <c r="E2" s="263"/>
      <c r="F2" s="263"/>
      <c r="G2" s="263"/>
      <c r="H2" s="263"/>
      <c r="I2" s="263"/>
      <c r="J2" s="263"/>
      <c r="K2" s="264"/>
      <c r="L2" s="265"/>
    </row>
    <row r="3" spans="1:21">
      <c r="A3" s="262"/>
      <c r="B3" s="263"/>
      <c r="C3" s="263"/>
      <c r="D3" s="263"/>
      <c r="E3" s="263"/>
      <c r="F3" s="263"/>
      <c r="G3" s="263"/>
      <c r="H3" s="263"/>
      <c r="I3" s="263"/>
      <c r="J3" s="263"/>
      <c r="K3" s="264"/>
      <c r="L3" s="265"/>
    </row>
    <row r="4" spans="1:21">
      <c r="A4" s="267" t="s">
        <v>383</v>
      </c>
      <c r="B4" s="268"/>
      <c r="C4" s="268"/>
      <c r="D4" s="268"/>
      <c r="E4" s="268"/>
      <c r="F4" s="268"/>
      <c r="G4" s="268"/>
      <c r="H4" s="268"/>
      <c r="I4" s="268"/>
      <c r="J4" s="268"/>
      <c r="K4" s="269"/>
      <c r="L4" s="270"/>
    </row>
    <row r="5" spans="1:21" ht="31.5">
      <c r="A5" s="271" t="s">
        <v>384</v>
      </c>
      <c r="B5" s="272" t="s">
        <v>385</v>
      </c>
      <c r="C5" s="273"/>
      <c r="D5" s="272" t="s">
        <v>386</v>
      </c>
      <c r="E5" s="274"/>
      <c r="F5" s="274" t="s">
        <v>27</v>
      </c>
      <c r="G5" s="219"/>
      <c r="H5" s="272"/>
      <c r="I5" s="219"/>
      <c r="J5" s="274"/>
      <c r="K5" s="264"/>
      <c r="L5" s="265"/>
    </row>
    <row r="6" spans="1:21">
      <c r="A6" s="275" t="s">
        <v>143</v>
      </c>
      <c r="B6" s="276">
        <v>53</v>
      </c>
      <c r="C6" s="219"/>
      <c r="D6" s="276">
        <f>'Exhibit C(Rate Design)'!K111</f>
        <v>55</v>
      </c>
      <c r="E6" s="219"/>
      <c r="F6" s="276">
        <f>D6-B6</f>
        <v>2</v>
      </c>
      <c r="G6" s="276"/>
      <c r="H6" s="276"/>
      <c r="I6" s="276"/>
      <c r="J6" s="276"/>
      <c r="K6" s="264"/>
      <c r="L6" s="265"/>
    </row>
    <row r="7" spans="1:21">
      <c r="A7" s="275" t="s">
        <v>387</v>
      </c>
      <c r="B7" s="276">
        <v>13.27</v>
      </c>
      <c r="C7" s="219"/>
      <c r="D7" s="276">
        <f>'Exhibit C(Rate Design)'!K115</f>
        <v>13.77</v>
      </c>
      <c r="E7" s="219"/>
      <c r="F7" s="276"/>
      <c r="G7" s="276"/>
      <c r="H7" s="276"/>
      <c r="I7" s="276"/>
      <c r="J7" s="276"/>
      <c r="K7" s="264"/>
      <c r="L7" s="265"/>
    </row>
    <row r="8" spans="1:21">
      <c r="A8" s="275" t="s">
        <v>388</v>
      </c>
      <c r="B8" s="276">
        <v>11.74</v>
      </c>
      <c r="C8" s="219"/>
      <c r="D8" s="276">
        <f>'Exhibit C(Rate Design)'!K116</f>
        <v>12.18</v>
      </c>
      <c r="E8" s="219"/>
      <c r="F8" s="276"/>
      <c r="G8" s="276"/>
      <c r="H8" s="276"/>
      <c r="I8" s="276"/>
      <c r="J8" s="276"/>
      <c r="K8" s="264"/>
      <c r="L8" s="265"/>
    </row>
    <row r="9" spans="1:21">
      <c r="A9" s="275" t="s">
        <v>389</v>
      </c>
      <c r="B9" s="276">
        <v>3.99</v>
      </c>
      <c r="C9" s="219"/>
      <c r="D9" s="276">
        <f>'Exhibit C(Rate Design)'!K114</f>
        <v>4.1399999999999997</v>
      </c>
      <c r="E9" s="219"/>
      <c r="F9" s="276"/>
      <c r="G9" s="276"/>
      <c r="H9" s="276"/>
      <c r="I9" s="276"/>
      <c r="J9" s="276"/>
      <c r="K9" s="264"/>
      <c r="L9" s="265"/>
    </row>
    <row r="10" spans="1:21">
      <c r="A10" s="275" t="s">
        <v>150</v>
      </c>
      <c r="B10" s="276">
        <v>-0.96</v>
      </c>
      <c r="C10" s="219"/>
      <c r="D10" s="276">
        <f>'Exhibit C(Rate Design)'!K119</f>
        <v>-0.96</v>
      </c>
      <c r="E10" s="219"/>
      <c r="F10" s="276"/>
      <c r="G10" s="276"/>
      <c r="H10" s="276"/>
      <c r="I10" s="276"/>
      <c r="J10" s="276"/>
      <c r="K10" s="264"/>
      <c r="L10" s="265"/>
    </row>
    <row r="11" spans="1:21">
      <c r="A11" s="277"/>
      <c r="B11" s="263"/>
      <c r="C11" s="263"/>
      <c r="D11" s="263"/>
      <c r="E11" s="263"/>
      <c r="F11" s="263"/>
      <c r="G11" s="263"/>
      <c r="H11" s="263"/>
      <c r="I11" s="263"/>
      <c r="J11" s="263"/>
      <c r="K11" s="264"/>
      <c r="L11" s="265"/>
    </row>
    <row r="12" spans="1:21" s="278" customFormat="1">
      <c r="A12" s="277" t="s">
        <v>390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4"/>
    </row>
    <row r="13" spans="1:21" s="278" customFormat="1" ht="31.5">
      <c r="A13" s="271" t="s">
        <v>384</v>
      </c>
      <c r="B13" s="272" t="s">
        <v>385</v>
      </c>
      <c r="C13" s="273"/>
      <c r="D13" s="272" t="s">
        <v>386</v>
      </c>
      <c r="E13" s="274"/>
      <c r="F13" s="274" t="s">
        <v>27</v>
      </c>
      <c r="G13" s="219"/>
      <c r="H13" s="272"/>
      <c r="I13" s="219"/>
      <c r="J13" s="274"/>
    </row>
    <row r="14" spans="1:21" s="278" customFormat="1">
      <c r="A14" s="275" t="s">
        <v>143</v>
      </c>
      <c r="B14" s="276">
        <v>71</v>
      </c>
      <c r="C14" s="219"/>
      <c r="D14" s="276">
        <f>'Exhibit C(Rate Design)'!K427</f>
        <v>73</v>
      </c>
      <c r="E14" s="219"/>
      <c r="F14" s="276">
        <f>D14-B14</f>
        <v>2</v>
      </c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</row>
    <row r="15" spans="1:21" s="278" customFormat="1">
      <c r="A15" s="275" t="s">
        <v>387</v>
      </c>
      <c r="B15" s="276">
        <v>15.73</v>
      </c>
      <c r="C15" s="219"/>
      <c r="D15" s="276">
        <f>'Exhibit C(Rate Design)'!K430</f>
        <v>16.23</v>
      </c>
      <c r="E15" s="219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</row>
    <row r="16" spans="1:21" s="278" customFormat="1">
      <c r="A16" s="275" t="s">
        <v>388</v>
      </c>
      <c r="B16" s="276">
        <v>13.92</v>
      </c>
      <c r="C16" s="219"/>
      <c r="D16" s="276">
        <f>'Exhibit C(Rate Design)'!K431</f>
        <v>14.36</v>
      </c>
      <c r="E16" s="219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</row>
    <row r="17" spans="1:21" s="278" customFormat="1">
      <c r="A17" s="275" t="s">
        <v>389</v>
      </c>
      <c r="B17" s="276">
        <v>4.8099999999999996</v>
      </c>
      <c r="C17" s="219"/>
      <c r="D17" s="276">
        <f>'Exhibit C(Rate Design)'!K429</f>
        <v>4.96</v>
      </c>
      <c r="E17" s="219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</row>
    <row r="18" spans="1:21" s="278" customFormat="1">
      <c r="A18" s="275" t="s">
        <v>150</v>
      </c>
      <c r="B18" s="276">
        <v>-1.1299999999999999</v>
      </c>
      <c r="C18" s="219"/>
      <c r="D18" s="276">
        <f>'Exhibit C(Rate Design)'!K436</f>
        <v>-1.1299999999999999</v>
      </c>
      <c r="E18" s="219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</row>
    <row r="19" spans="1:21" s="278" customFormat="1">
      <c r="A19" s="275"/>
      <c r="B19" s="276"/>
      <c r="C19" s="219"/>
      <c r="D19" s="276"/>
      <c r="E19" s="219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</row>
    <row r="20" spans="1:21" s="278" customFormat="1">
      <c r="A20" s="277" t="s">
        <v>391</v>
      </c>
      <c r="B20" s="279"/>
      <c r="C20" s="263"/>
      <c r="D20" s="279"/>
      <c r="E20" s="263"/>
      <c r="F20" s="279"/>
      <c r="G20" s="279"/>
      <c r="H20" s="279"/>
      <c r="I20" s="279"/>
      <c r="J20" s="279"/>
      <c r="K20" s="279"/>
      <c r="L20" s="276"/>
      <c r="M20" s="276"/>
      <c r="N20" s="276"/>
      <c r="O20" s="276"/>
      <c r="P20" s="276"/>
      <c r="Q20" s="276"/>
      <c r="R20" s="276"/>
      <c r="S20" s="276"/>
      <c r="T20" s="276"/>
      <c r="U20" s="276"/>
    </row>
    <row r="21" spans="1:21" s="278" customFormat="1">
      <c r="A21" s="275"/>
      <c r="B21" s="276"/>
      <c r="C21" s="219"/>
      <c r="D21" s="276"/>
      <c r="E21" s="219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</row>
    <row r="22" spans="1:21" s="278" customFormat="1" ht="31.5">
      <c r="A22" s="280" t="s">
        <v>384</v>
      </c>
      <c r="B22" s="272" t="s">
        <v>385</v>
      </c>
      <c r="C22" s="273"/>
      <c r="D22" s="272" t="s">
        <v>386</v>
      </c>
      <c r="E22" s="274"/>
      <c r="F22" s="274" t="s">
        <v>27</v>
      </c>
      <c r="G22" s="219"/>
      <c r="H22" s="272"/>
      <c r="I22" s="219"/>
      <c r="J22" s="274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</row>
    <row r="23" spans="1:21" s="278" customFormat="1">
      <c r="A23" s="275" t="s">
        <v>143</v>
      </c>
      <c r="B23" s="276">
        <v>266</v>
      </c>
      <c r="C23" s="219"/>
      <c r="D23" s="276">
        <f>'Exhibit C(Rate Design)'!K497</f>
        <v>399</v>
      </c>
      <c r="E23" s="219"/>
      <c r="F23" s="276">
        <f>D23-B23</f>
        <v>133</v>
      </c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</row>
    <row r="24" spans="1:21" s="278" customFormat="1">
      <c r="A24" s="275" t="s">
        <v>387</v>
      </c>
      <c r="B24" s="276">
        <v>14.33</v>
      </c>
      <c r="C24" s="219"/>
      <c r="D24" s="276">
        <f>'Exhibit C(Rate Design)'!K501</f>
        <v>14.92</v>
      </c>
      <c r="E24" s="219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</row>
    <row r="25" spans="1:21" s="278" customFormat="1">
      <c r="A25" s="275" t="s">
        <v>388</v>
      </c>
      <c r="B25" s="276">
        <v>12.68</v>
      </c>
      <c r="C25" s="219"/>
      <c r="D25" s="276">
        <f>'Exhibit C(Rate Design)'!K502</f>
        <v>13.21</v>
      </c>
      <c r="E25" s="219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</row>
    <row r="26" spans="1:21" s="278" customFormat="1">
      <c r="A26" s="275" t="s">
        <v>389</v>
      </c>
      <c r="B26" s="276">
        <v>2.2799999999999998</v>
      </c>
      <c r="C26" s="219"/>
      <c r="D26" s="276">
        <f>'Exhibit C(Rate Design)'!K500</f>
        <v>2.37</v>
      </c>
      <c r="E26" s="219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</row>
    <row r="27" spans="1:21" s="278" customFormat="1">
      <c r="A27" s="281"/>
      <c r="B27" s="282"/>
      <c r="C27" s="282"/>
      <c r="D27" s="283"/>
      <c r="E27" s="282"/>
      <c r="F27" s="283"/>
      <c r="G27" s="283"/>
      <c r="H27" s="283"/>
      <c r="I27" s="283"/>
      <c r="J27" s="283"/>
      <c r="K27" s="283"/>
      <c r="L27" s="283"/>
      <c r="M27" s="276"/>
      <c r="N27" s="276"/>
      <c r="O27" s="276"/>
      <c r="P27" s="276"/>
      <c r="Q27" s="276"/>
      <c r="R27" s="276"/>
      <c r="S27" s="276"/>
      <c r="T27" s="276"/>
      <c r="U27" s="276"/>
    </row>
    <row r="28" spans="1:21" s="278" customFormat="1">
      <c r="A28" s="284" t="s">
        <v>392</v>
      </c>
      <c r="B28" s="268"/>
      <c r="C28" s="268"/>
      <c r="D28" s="285"/>
      <c r="E28" s="268"/>
      <c r="F28" s="285"/>
      <c r="G28" s="285"/>
      <c r="H28" s="285"/>
      <c r="I28" s="285"/>
      <c r="J28" s="285"/>
      <c r="K28" s="285"/>
      <c r="L28" s="286"/>
      <c r="M28" s="276"/>
      <c r="N28" s="276"/>
      <c r="O28" s="276"/>
      <c r="P28" s="276"/>
      <c r="Q28" s="276"/>
      <c r="R28" s="276"/>
      <c r="S28" s="276"/>
      <c r="T28" s="276"/>
      <c r="U28" s="276"/>
    </row>
    <row r="29" spans="1:21" s="278" customFormat="1">
      <c r="A29" s="287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</row>
    <row r="30" spans="1:21" ht="32.25" thickBot="1">
      <c r="A30" s="280" t="s">
        <v>384</v>
      </c>
      <c r="B30" s="272" t="s">
        <v>385</v>
      </c>
      <c r="C30" s="273"/>
      <c r="D30" s="272" t="s">
        <v>393</v>
      </c>
      <c r="E30" s="273"/>
      <c r="F30" s="272" t="s">
        <v>386</v>
      </c>
      <c r="G30" s="276"/>
      <c r="H30" s="272"/>
      <c r="I30" s="276"/>
      <c r="J30" s="272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</row>
    <row r="31" spans="1:21" ht="16.5" thickBot="1">
      <c r="A31" s="275" t="s">
        <v>394</v>
      </c>
      <c r="B31" s="276">
        <v>137</v>
      </c>
      <c r="C31" s="288" t="s">
        <v>395</v>
      </c>
      <c r="D31" s="276">
        <f>$F$14</f>
        <v>2</v>
      </c>
      <c r="E31" s="288" t="s">
        <v>396</v>
      </c>
      <c r="F31" s="289">
        <f>B31+D31</f>
        <v>139</v>
      </c>
      <c r="G31" s="288"/>
      <c r="H31" s="276"/>
      <c r="I31" s="288"/>
      <c r="J31" s="290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</row>
    <row r="32" spans="1:21" ht="16.5" thickBot="1">
      <c r="A32" s="275" t="s">
        <v>397</v>
      </c>
      <c r="B32" s="276">
        <v>621</v>
      </c>
      <c r="C32" s="288" t="s">
        <v>395</v>
      </c>
      <c r="D32" s="276">
        <f>$F$14</f>
        <v>2</v>
      </c>
      <c r="E32" s="288" t="s">
        <v>396</v>
      </c>
      <c r="F32" s="291">
        <f>B32+D32</f>
        <v>623</v>
      </c>
      <c r="G32" s="288"/>
      <c r="H32" s="276"/>
      <c r="I32" s="288"/>
      <c r="J32" s="290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</row>
    <row r="33" spans="1:21" ht="16.5" thickBot="1">
      <c r="A33" s="275" t="s">
        <v>398</v>
      </c>
      <c r="B33" s="276">
        <v>696</v>
      </c>
      <c r="C33" s="288" t="s">
        <v>395</v>
      </c>
      <c r="D33" s="276">
        <f>$F$23</f>
        <v>133</v>
      </c>
      <c r="E33" s="288" t="s">
        <v>396</v>
      </c>
      <c r="F33" s="292">
        <f>B33+D33</f>
        <v>829</v>
      </c>
      <c r="G33" s="288"/>
      <c r="H33" s="276"/>
      <c r="I33" s="288"/>
      <c r="J33" s="290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</row>
    <row r="34" spans="1:21">
      <c r="A34" s="275"/>
      <c r="B34" s="276"/>
      <c r="D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</row>
    <row r="35" spans="1:21">
      <c r="A35" s="275"/>
      <c r="B35" s="276"/>
      <c r="D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</row>
    <row r="36" spans="1:21" ht="32.25" thickBot="1">
      <c r="A36" s="271" t="s">
        <v>384</v>
      </c>
      <c r="B36" s="272" t="s">
        <v>385</v>
      </c>
      <c r="D36" s="272"/>
      <c r="E36" s="293"/>
      <c r="F36" s="272"/>
      <c r="G36" s="294"/>
      <c r="H36" s="272"/>
      <c r="I36" s="294"/>
      <c r="J36" s="272"/>
      <c r="K36" s="276"/>
      <c r="L36" s="272" t="s">
        <v>386</v>
      </c>
      <c r="M36" s="276"/>
      <c r="N36" s="276"/>
      <c r="O36" s="276"/>
      <c r="P36" s="276"/>
      <c r="Q36" s="276"/>
      <c r="R36" s="276"/>
      <c r="S36" s="276"/>
      <c r="T36" s="276"/>
      <c r="U36" s="276"/>
    </row>
    <row r="37" spans="1:21" ht="16.5" thickBot="1">
      <c r="A37" s="275" t="s">
        <v>399</v>
      </c>
      <c r="B37" s="276">
        <v>5.75</v>
      </c>
      <c r="D37" s="276"/>
      <c r="E37" s="288"/>
      <c r="F37" s="276"/>
      <c r="G37" s="288"/>
      <c r="H37" s="276"/>
      <c r="I37" s="288"/>
      <c r="J37" s="290"/>
      <c r="K37" s="276"/>
      <c r="L37" s="289">
        <f>ROUND(B37*(1+'Exhibit C(Rate Design)'!$P$431),2)</f>
        <v>5.94</v>
      </c>
      <c r="M37" s="276"/>
      <c r="N37" s="276"/>
      <c r="O37" s="276"/>
      <c r="P37" s="276"/>
      <c r="Q37" s="276"/>
      <c r="R37" s="276"/>
      <c r="S37" s="276"/>
      <c r="T37" s="276"/>
      <c r="U37" s="276"/>
    </row>
    <row r="38" spans="1:21" ht="16.5" thickBot="1">
      <c r="A38" s="275" t="s">
        <v>400</v>
      </c>
      <c r="B38" s="276">
        <v>4.58</v>
      </c>
      <c r="D38" s="276"/>
      <c r="E38" s="288"/>
      <c r="F38" s="276"/>
      <c r="G38" s="288"/>
      <c r="H38" s="276"/>
      <c r="I38" s="288"/>
      <c r="J38" s="290"/>
      <c r="K38" s="276"/>
      <c r="L38" s="289">
        <f>ROUND(B38*(1+'Exhibit C(Rate Design)'!$P$431),2)</f>
        <v>4.7300000000000004</v>
      </c>
      <c r="M38" s="276"/>
      <c r="N38" s="276"/>
      <c r="O38" s="276"/>
      <c r="P38" s="276"/>
      <c r="Q38" s="276"/>
      <c r="R38" s="276"/>
      <c r="S38" s="276"/>
      <c r="T38" s="276"/>
      <c r="U38" s="276"/>
    </row>
    <row r="39" spans="1:21" ht="16.5" thickBot="1">
      <c r="A39" s="275" t="s">
        <v>401</v>
      </c>
      <c r="B39" s="276">
        <v>2.7</v>
      </c>
      <c r="D39" s="276"/>
      <c r="E39" s="288"/>
      <c r="F39" s="276"/>
      <c r="G39" s="288"/>
      <c r="H39" s="276"/>
      <c r="I39" s="288"/>
      <c r="J39" s="290"/>
      <c r="K39" s="276"/>
      <c r="L39" s="291">
        <f>ROUND(B39*(1+2*'Exhibit C(Rate Design)'!P505),2)</f>
        <v>2.92</v>
      </c>
      <c r="M39" s="276"/>
      <c r="N39" s="276"/>
      <c r="O39" s="276"/>
      <c r="P39" s="276"/>
      <c r="Q39" s="276"/>
      <c r="R39" s="276"/>
      <c r="S39" s="276"/>
      <c r="T39" s="276"/>
      <c r="U39" s="276"/>
    </row>
    <row r="40" spans="1:21">
      <c r="A40" s="275"/>
      <c r="D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</row>
    <row r="41" spans="1:21" ht="48" thickBot="1">
      <c r="A41" s="271" t="s">
        <v>384</v>
      </c>
      <c r="B41" s="272" t="s">
        <v>385</v>
      </c>
      <c r="D41" s="272" t="s">
        <v>402</v>
      </c>
      <c r="F41" s="272" t="s">
        <v>403</v>
      </c>
      <c r="G41" s="276"/>
      <c r="H41" s="272" t="s">
        <v>404</v>
      </c>
      <c r="I41" s="276"/>
      <c r="J41" s="272" t="s">
        <v>405</v>
      </c>
      <c r="K41" s="276"/>
      <c r="L41" s="272" t="s">
        <v>386</v>
      </c>
      <c r="M41" s="276"/>
      <c r="N41" s="276"/>
      <c r="O41" s="276"/>
      <c r="P41" s="276"/>
      <c r="Q41" s="276"/>
      <c r="R41" s="276"/>
      <c r="S41" s="276"/>
      <c r="T41" s="276"/>
      <c r="U41" s="276"/>
    </row>
    <row r="42" spans="1:21" ht="16.5" thickBot="1">
      <c r="A42" s="275" t="s">
        <v>406</v>
      </c>
      <c r="B42" s="276">
        <v>0.9</v>
      </c>
      <c r="D42" s="276">
        <f>D15+D17</f>
        <v>21.19</v>
      </c>
      <c r="E42" s="288" t="s">
        <v>407</v>
      </c>
      <c r="F42" s="276">
        <f>L37</f>
        <v>5.94</v>
      </c>
      <c r="G42" s="288" t="s">
        <v>396</v>
      </c>
      <c r="H42" s="276">
        <f>D42-F42</f>
        <v>15.25</v>
      </c>
      <c r="I42" s="295" t="s">
        <v>408</v>
      </c>
      <c r="J42" s="296">
        <f>((5*52)-8)/12</f>
        <v>21</v>
      </c>
      <c r="K42" s="288" t="s">
        <v>396</v>
      </c>
      <c r="L42" s="289">
        <f>ROUND(H42/J42,2)</f>
        <v>0.73</v>
      </c>
      <c r="M42" s="276"/>
      <c r="N42" s="276"/>
      <c r="O42" s="276"/>
      <c r="P42" s="276"/>
      <c r="Q42" s="276"/>
      <c r="R42" s="276"/>
      <c r="S42" s="276"/>
      <c r="T42" s="276"/>
      <c r="U42" s="276"/>
    </row>
    <row r="43" spans="1:21" ht="16.5" thickBot="1">
      <c r="A43" s="275" t="s">
        <v>409</v>
      </c>
      <c r="B43" s="276">
        <v>0.8</v>
      </c>
      <c r="D43" s="276">
        <f>D16+D17</f>
        <v>19.32</v>
      </c>
      <c r="E43" s="288" t="s">
        <v>407</v>
      </c>
      <c r="F43" s="276">
        <f>F42</f>
        <v>5.94</v>
      </c>
      <c r="G43" s="288" t="s">
        <v>396</v>
      </c>
      <c r="H43" s="276">
        <f t="shared" ref="H43:H47" si="0">D43-F43</f>
        <v>13.379999999999999</v>
      </c>
      <c r="I43" s="295" t="s">
        <v>408</v>
      </c>
      <c r="J43" s="296">
        <f>J42</f>
        <v>21</v>
      </c>
      <c r="K43" s="288" t="s">
        <v>396</v>
      </c>
      <c r="L43" s="289">
        <f t="shared" ref="L43:L47" si="1">ROUND(H43/J43,2)</f>
        <v>0.64</v>
      </c>
      <c r="M43" s="276"/>
      <c r="N43" s="276"/>
      <c r="O43" s="276"/>
      <c r="P43" s="276"/>
      <c r="Q43" s="276"/>
      <c r="R43" s="276"/>
      <c r="S43" s="276"/>
      <c r="T43" s="276"/>
      <c r="U43" s="276"/>
    </row>
    <row r="44" spans="1:21" ht="16.5" thickBot="1">
      <c r="A44" s="275" t="s">
        <v>410</v>
      </c>
      <c r="B44" s="276">
        <v>0.88</v>
      </c>
      <c r="D44" s="276">
        <f>D15+D17+D18</f>
        <v>20.060000000000002</v>
      </c>
      <c r="E44" s="288" t="s">
        <v>407</v>
      </c>
      <c r="F44" s="276">
        <f>L38</f>
        <v>4.7300000000000004</v>
      </c>
      <c r="G44" s="288" t="s">
        <v>396</v>
      </c>
      <c r="H44" s="276">
        <f t="shared" si="0"/>
        <v>15.330000000000002</v>
      </c>
      <c r="I44" s="295" t="s">
        <v>408</v>
      </c>
      <c r="J44" s="296">
        <f t="shared" ref="J44:J47" si="2">J43</f>
        <v>21</v>
      </c>
      <c r="K44" s="288" t="s">
        <v>396</v>
      </c>
      <c r="L44" s="289">
        <f t="shared" si="1"/>
        <v>0.73</v>
      </c>
      <c r="M44" s="276"/>
      <c r="N44" s="276"/>
      <c r="O44" s="276"/>
      <c r="P44" s="276"/>
      <c r="Q44" s="276"/>
      <c r="R44" s="276"/>
      <c r="S44" s="276"/>
      <c r="T44" s="276"/>
      <c r="U44" s="276"/>
    </row>
    <row r="45" spans="1:21" ht="16.5" thickBot="1">
      <c r="A45" s="275" t="s">
        <v>411</v>
      </c>
      <c r="B45" s="276">
        <v>0.78</v>
      </c>
      <c r="D45" s="276">
        <f>D16+D17+D18</f>
        <v>18.190000000000001</v>
      </c>
      <c r="E45" s="288" t="s">
        <v>407</v>
      </c>
      <c r="F45" s="276">
        <f>F44</f>
        <v>4.7300000000000004</v>
      </c>
      <c r="G45" s="288" t="s">
        <v>396</v>
      </c>
      <c r="H45" s="276">
        <f t="shared" si="0"/>
        <v>13.46</v>
      </c>
      <c r="I45" s="295" t="s">
        <v>408</v>
      </c>
      <c r="J45" s="296">
        <f t="shared" si="2"/>
        <v>21</v>
      </c>
      <c r="K45" s="288" t="s">
        <v>396</v>
      </c>
      <c r="L45" s="289">
        <f t="shared" si="1"/>
        <v>0.64</v>
      </c>
      <c r="M45" s="276"/>
      <c r="N45" s="276"/>
      <c r="O45" s="276"/>
      <c r="P45" s="276"/>
      <c r="Q45" s="276"/>
      <c r="R45" s="276"/>
      <c r="S45" s="276"/>
      <c r="T45" s="276"/>
      <c r="U45" s="276"/>
    </row>
    <row r="46" spans="1:21" ht="16.5" thickBot="1">
      <c r="A46" s="275" t="s">
        <v>412</v>
      </c>
      <c r="B46" s="276">
        <v>0.78</v>
      </c>
      <c r="D46" s="276">
        <f>D24+D26</f>
        <v>17.29</v>
      </c>
      <c r="E46" s="288" t="s">
        <v>407</v>
      </c>
      <c r="F46" s="276">
        <f>L39</f>
        <v>2.92</v>
      </c>
      <c r="G46" s="288" t="s">
        <v>396</v>
      </c>
      <c r="H46" s="276">
        <f t="shared" si="0"/>
        <v>14.37</v>
      </c>
      <c r="I46" s="295" t="s">
        <v>408</v>
      </c>
      <c r="J46" s="296">
        <f t="shared" si="2"/>
        <v>21</v>
      </c>
      <c r="K46" s="288" t="s">
        <v>396</v>
      </c>
      <c r="L46" s="289">
        <f t="shared" si="1"/>
        <v>0.68</v>
      </c>
      <c r="M46" s="276"/>
      <c r="N46" s="276"/>
      <c r="O46" s="276"/>
      <c r="P46" s="276"/>
      <c r="Q46" s="276"/>
      <c r="R46" s="276"/>
      <c r="S46" s="276"/>
      <c r="T46" s="276"/>
      <c r="U46" s="276"/>
    </row>
    <row r="47" spans="1:21">
      <c r="A47" s="275" t="s">
        <v>413</v>
      </c>
      <c r="B47" s="276">
        <v>0.69</v>
      </c>
      <c r="D47" s="276">
        <f>D25+D26</f>
        <v>15.580000000000002</v>
      </c>
      <c r="E47" s="288" t="s">
        <v>407</v>
      </c>
      <c r="F47" s="276">
        <f>F46</f>
        <v>2.92</v>
      </c>
      <c r="G47" s="288" t="s">
        <v>396</v>
      </c>
      <c r="H47" s="276">
        <f t="shared" si="0"/>
        <v>12.660000000000002</v>
      </c>
      <c r="I47" s="295" t="s">
        <v>408</v>
      </c>
      <c r="J47" s="296">
        <f t="shared" si="2"/>
        <v>21</v>
      </c>
      <c r="K47" s="288" t="s">
        <v>396</v>
      </c>
      <c r="L47" s="289">
        <f t="shared" si="1"/>
        <v>0.6</v>
      </c>
      <c r="M47" s="276"/>
      <c r="N47" s="276"/>
      <c r="O47" s="276"/>
      <c r="P47" s="276"/>
      <c r="Q47" s="276"/>
      <c r="R47" s="276"/>
      <c r="S47" s="276"/>
      <c r="T47" s="276"/>
      <c r="U47" s="276"/>
    </row>
    <row r="48" spans="1:21">
      <c r="A48" s="275"/>
      <c r="B48" s="276"/>
      <c r="D48" s="276"/>
      <c r="F48" s="276"/>
      <c r="G48" s="276"/>
      <c r="H48" s="276"/>
      <c r="I48" s="276"/>
      <c r="J48" s="296"/>
      <c r="K48" s="276"/>
      <c r="L48" s="297"/>
      <c r="M48" s="276"/>
      <c r="N48" s="276"/>
      <c r="O48" s="276"/>
      <c r="P48" s="276"/>
      <c r="Q48" s="276"/>
      <c r="R48" s="276"/>
      <c r="S48" s="276"/>
      <c r="T48" s="276"/>
      <c r="U48" s="276"/>
    </row>
    <row r="49" spans="1:21">
      <c r="A49" s="275"/>
      <c r="B49" s="276"/>
      <c r="D49" s="276"/>
      <c r="F49" s="276"/>
      <c r="G49" s="276"/>
      <c r="H49" s="276"/>
      <c r="I49" s="276"/>
      <c r="J49" s="296"/>
      <c r="K49" s="276"/>
      <c r="L49" s="290"/>
      <c r="M49" s="276"/>
      <c r="N49" s="276"/>
      <c r="O49" s="276"/>
      <c r="P49" s="276"/>
      <c r="Q49" s="276"/>
      <c r="R49" s="276"/>
      <c r="S49" s="276"/>
      <c r="T49" s="276"/>
      <c r="U49" s="276"/>
    </row>
    <row r="50" spans="1:21" ht="48" thickBot="1">
      <c r="A50" s="271" t="s">
        <v>384</v>
      </c>
      <c r="B50" s="272" t="s">
        <v>385</v>
      </c>
      <c r="D50" s="272" t="s">
        <v>402</v>
      </c>
      <c r="F50" s="272" t="s">
        <v>414</v>
      </c>
      <c r="G50" s="276"/>
      <c r="H50" s="272"/>
      <c r="I50" s="276"/>
      <c r="J50" s="272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</row>
    <row r="51" spans="1:21" ht="16.5" thickBot="1">
      <c r="A51" s="275" t="s">
        <v>415</v>
      </c>
      <c r="B51" s="276">
        <v>41.89</v>
      </c>
      <c r="D51" s="276">
        <f t="shared" ref="D51:D56" si="3">D42</f>
        <v>21.19</v>
      </c>
      <c r="E51" s="293" t="s">
        <v>416</v>
      </c>
      <c r="F51" s="289">
        <f>ROUND(D51*2,2)</f>
        <v>42.38</v>
      </c>
      <c r="G51" s="276"/>
      <c r="H51" s="276"/>
      <c r="I51" s="293"/>
      <c r="J51" s="290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</row>
    <row r="52" spans="1:21" ht="16.5" thickBot="1">
      <c r="A52" s="275" t="s">
        <v>417</v>
      </c>
      <c r="B52" s="276">
        <v>37.07</v>
      </c>
      <c r="D52" s="276">
        <f t="shared" si="3"/>
        <v>19.32</v>
      </c>
      <c r="E52" s="293" t="s">
        <v>416</v>
      </c>
      <c r="F52" s="289">
        <f t="shared" ref="F52:F56" si="4">ROUND(D52*2,2)</f>
        <v>38.64</v>
      </c>
      <c r="G52" s="276"/>
      <c r="H52" s="276"/>
      <c r="I52" s="293"/>
      <c r="J52" s="290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</row>
    <row r="53" spans="1:21" ht="16.5" thickBot="1">
      <c r="A53" s="275" t="s">
        <v>418</v>
      </c>
      <c r="B53" s="276">
        <v>39.56</v>
      </c>
      <c r="D53" s="276">
        <f t="shared" si="3"/>
        <v>20.060000000000002</v>
      </c>
      <c r="E53" s="293" t="s">
        <v>416</v>
      </c>
      <c r="F53" s="289">
        <f t="shared" si="4"/>
        <v>40.119999999999997</v>
      </c>
      <c r="G53" s="276"/>
      <c r="H53" s="276"/>
      <c r="I53" s="293"/>
      <c r="J53" s="290"/>
      <c r="K53" s="276"/>
      <c r="L53" s="276"/>
      <c r="M53" s="276"/>
      <c r="N53" s="276"/>
      <c r="O53" s="276"/>
      <c r="P53" s="276"/>
      <c r="Q53" s="276"/>
      <c r="R53" s="276"/>
      <c r="S53" s="276"/>
      <c r="T53" s="276"/>
      <c r="U53" s="276"/>
    </row>
    <row r="54" spans="1:21" ht="16.5" thickBot="1">
      <c r="A54" s="275" t="s">
        <v>419</v>
      </c>
      <c r="B54" s="276">
        <v>35.01</v>
      </c>
      <c r="D54" s="276">
        <f t="shared" si="3"/>
        <v>18.190000000000001</v>
      </c>
      <c r="E54" s="293" t="s">
        <v>416</v>
      </c>
      <c r="F54" s="289">
        <f t="shared" si="4"/>
        <v>36.380000000000003</v>
      </c>
      <c r="G54" s="276"/>
      <c r="H54" s="276"/>
      <c r="I54" s="293"/>
      <c r="J54" s="290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/>
    </row>
    <row r="55" spans="1:21" ht="16.5" thickBot="1">
      <c r="A55" s="275" t="s">
        <v>420</v>
      </c>
      <c r="B55" s="276">
        <v>33.21</v>
      </c>
      <c r="D55" s="276">
        <f t="shared" si="3"/>
        <v>17.29</v>
      </c>
      <c r="E55" s="293" t="s">
        <v>416</v>
      </c>
      <c r="F55" s="289">
        <f t="shared" si="4"/>
        <v>34.58</v>
      </c>
      <c r="G55" s="276"/>
      <c r="H55" s="276"/>
      <c r="I55" s="293"/>
      <c r="J55" s="290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</row>
    <row r="56" spans="1:21">
      <c r="A56" s="275" t="s">
        <v>421</v>
      </c>
      <c r="B56" s="276">
        <v>29.39</v>
      </c>
      <c r="D56" s="276">
        <f t="shared" si="3"/>
        <v>15.580000000000002</v>
      </c>
      <c r="E56" s="293" t="s">
        <v>416</v>
      </c>
      <c r="F56" s="289">
        <f t="shared" si="4"/>
        <v>31.16</v>
      </c>
      <c r="G56" s="276"/>
      <c r="H56" s="276"/>
      <c r="I56" s="293"/>
      <c r="J56" s="290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</row>
    <row r="57" spans="1:21">
      <c r="A57" s="298"/>
      <c r="B57" s="299"/>
      <c r="C57" s="299"/>
      <c r="D57" s="299"/>
      <c r="E57" s="299"/>
      <c r="F57" s="283"/>
      <c r="G57" s="283"/>
      <c r="H57" s="283"/>
      <c r="I57" s="283"/>
      <c r="J57" s="283"/>
      <c r="K57" s="283"/>
      <c r="L57" s="283"/>
      <c r="M57" s="276"/>
      <c r="N57" s="276"/>
      <c r="O57" s="276"/>
      <c r="P57" s="276"/>
      <c r="Q57" s="276"/>
      <c r="R57" s="276"/>
      <c r="S57" s="276"/>
      <c r="T57" s="276"/>
      <c r="U57" s="276"/>
    </row>
    <row r="58" spans="1:21">
      <c r="A58" s="284" t="s">
        <v>422</v>
      </c>
      <c r="B58" s="268"/>
      <c r="C58" s="268"/>
      <c r="D58" s="285"/>
      <c r="E58" s="268"/>
      <c r="F58" s="285"/>
      <c r="G58" s="285"/>
      <c r="H58" s="285"/>
      <c r="I58" s="285"/>
      <c r="J58" s="285"/>
      <c r="K58" s="285"/>
      <c r="L58" s="285"/>
      <c r="M58" s="276"/>
      <c r="N58" s="276"/>
      <c r="O58" s="276"/>
      <c r="P58" s="276"/>
      <c r="Q58" s="276"/>
      <c r="R58" s="276"/>
      <c r="S58" s="276"/>
      <c r="T58" s="276"/>
      <c r="U58" s="276"/>
    </row>
    <row r="59" spans="1:21">
      <c r="A59" s="287"/>
      <c r="B59" s="278"/>
      <c r="C59" s="278"/>
      <c r="D59" s="278"/>
      <c r="E59" s="278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</row>
    <row r="60" spans="1:21" ht="32.25" thickBot="1">
      <c r="A60" s="280" t="s">
        <v>384</v>
      </c>
      <c r="B60" s="272" t="s">
        <v>385</v>
      </c>
      <c r="C60" s="273"/>
      <c r="D60" s="272"/>
      <c r="E60" s="273"/>
      <c r="F60" s="272" t="s">
        <v>386</v>
      </c>
      <c r="G60" s="276"/>
      <c r="H60" s="272"/>
      <c r="I60" s="276"/>
      <c r="J60" s="272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</row>
    <row r="61" spans="1:21" ht="16.5" thickBot="1">
      <c r="A61" s="275" t="s">
        <v>394</v>
      </c>
      <c r="B61" s="276">
        <v>55</v>
      </c>
      <c r="C61" s="288"/>
      <c r="D61" s="276"/>
      <c r="E61" s="288"/>
      <c r="F61" s="289">
        <f>ROUND(F87*$D$112,0)</f>
        <v>57</v>
      </c>
      <c r="G61" s="288"/>
      <c r="H61" s="276"/>
      <c r="I61" s="288"/>
      <c r="J61" s="290"/>
      <c r="K61" s="276"/>
      <c r="L61" s="276"/>
      <c r="M61" s="276"/>
      <c r="N61" s="276"/>
      <c r="O61" s="276"/>
      <c r="P61" s="276"/>
      <c r="Q61" s="276"/>
      <c r="R61" s="276"/>
      <c r="S61" s="276"/>
      <c r="T61" s="276"/>
      <c r="U61" s="276"/>
    </row>
    <row r="62" spans="1:21" ht="16.5" thickBot="1">
      <c r="A62" s="275" t="s">
        <v>397</v>
      </c>
      <c r="B62" s="276">
        <v>72</v>
      </c>
      <c r="C62" s="288"/>
      <c r="D62" s="276"/>
      <c r="E62" s="288"/>
      <c r="F62" s="289">
        <f t="shared" ref="F62:F63" si="5">ROUND(F88*$D$112,0)</f>
        <v>74</v>
      </c>
      <c r="G62" s="288"/>
      <c r="H62" s="276"/>
      <c r="I62" s="288"/>
      <c r="J62" s="290"/>
      <c r="K62" s="276"/>
      <c r="L62" s="276"/>
      <c r="M62" s="276"/>
      <c r="N62" s="276"/>
      <c r="O62" s="276"/>
      <c r="P62" s="276"/>
      <c r="Q62" s="276"/>
      <c r="R62" s="276"/>
      <c r="S62" s="276"/>
      <c r="T62" s="276"/>
      <c r="U62" s="276"/>
    </row>
    <row r="63" spans="1:21" ht="16.5" thickBot="1">
      <c r="A63" s="275" t="s">
        <v>398</v>
      </c>
      <c r="B63" s="276">
        <v>266</v>
      </c>
      <c r="C63" s="288"/>
      <c r="D63" s="276"/>
      <c r="E63" s="288"/>
      <c r="F63" s="291">
        <f t="shared" si="5"/>
        <v>283</v>
      </c>
      <c r="G63" s="288"/>
      <c r="H63" s="276"/>
      <c r="I63" s="288"/>
      <c r="J63" s="290"/>
      <c r="K63" s="276"/>
      <c r="L63" s="276"/>
      <c r="M63" s="276"/>
      <c r="N63" s="276"/>
      <c r="O63" s="276"/>
      <c r="P63" s="276"/>
      <c r="Q63" s="276"/>
      <c r="R63" s="276"/>
      <c r="S63" s="276"/>
      <c r="T63" s="276"/>
      <c r="U63" s="276"/>
    </row>
    <row r="64" spans="1:21">
      <c r="A64" s="275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</row>
    <row r="65" spans="1:21" ht="32.25" thickBot="1">
      <c r="A65" s="271" t="s">
        <v>384</v>
      </c>
      <c r="B65" s="272" t="s">
        <v>385</v>
      </c>
      <c r="D65" s="272"/>
      <c r="E65" s="293"/>
      <c r="F65" s="272"/>
      <c r="G65" s="294"/>
      <c r="H65" s="272"/>
      <c r="I65" s="276"/>
      <c r="J65" s="272" t="s">
        <v>386</v>
      </c>
      <c r="M65" s="276"/>
      <c r="N65" s="276"/>
      <c r="O65" s="276"/>
      <c r="P65" s="276"/>
      <c r="Q65" s="276"/>
      <c r="R65" s="276"/>
      <c r="S65" s="276"/>
      <c r="T65" s="276"/>
      <c r="U65" s="276"/>
    </row>
    <row r="66" spans="1:21" ht="16.5" thickBot="1">
      <c r="A66" s="275" t="s">
        <v>423</v>
      </c>
      <c r="B66" s="276">
        <v>7.52</v>
      </c>
      <c r="D66" s="276"/>
      <c r="E66" s="288"/>
      <c r="F66" s="276"/>
      <c r="G66" s="288"/>
      <c r="H66" s="290"/>
      <c r="I66" s="276"/>
      <c r="J66" s="289">
        <f>ROUND(J92*$D$112,2)</f>
        <v>8.69</v>
      </c>
      <c r="M66" s="276"/>
      <c r="N66" s="276"/>
      <c r="O66" s="276"/>
      <c r="P66" s="276"/>
      <c r="Q66" s="276"/>
      <c r="R66" s="276"/>
      <c r="S66" s="276"/>
      <c r="T66" s="276"/>
      <c r="U66" s="276"/>
    </row>
    <row r="67" spans="1:21" ht="16.5" thickBot="1">
      <c r="A67" s="275" t="s">
        <v>424</v>
      </c>
      <c r="B67" s="276">
        <v>6.56</v>
      </c>
      <c r="D67" s="276"/>
      <c r="E67" s="288"/>
      <c r="F67" s="276"/>
      <c r="G67" s="288"/>
      <c r="H67" s="290"/>
      <c r="I67" s="276"/>
      <c r="J67" s="289">
        <f t="shared" ref="J67:J70" si="6">ROUND(J93*$D$112,2)</f>
        <v>7.86</v>
      </c>
      <c r="M67" s="276"/>
      <c r="N67" s="276"/>
      <c r="O67" s="276"/>
      <c r="P67" s="276"/>
      <c r="Q67" s="276"/>
      <c r="R67" s="276"/>
      <c r="S67" s="276"/>
      <c r="T67" s="276"/>
      <c r="U67" s="276"/>
    </row>
    <row r="68" spans="1:21" ht="16.5" thickBot="1">
      <c r="A68" s="275" t="s">
        <v>425</v>
      </c>
      <c r="B68" s="276">
        <v>8.3699999999999992</v>
      </c>
      <c r="D68" s="276"/>
      <c r="E68" s="288"/>
      <c r="F68" s="276"/>
      <c r="G68" s="288"/>
      <c r="H68" s="290"/>
      <c r="I68" s="276"/>
      <c r="J68" s="289">
        <f t="shared" si="6"/>
        <v>9.99</v>
      </c>
      <c r="M68" s="276"/>
      <c r="N68" s="276"/>
      <c r="O68" s="276"/>
      <c r="P68" s="276"/>
      <c r="Q68" s="276"/>
      <c r="R68" s="276"/>
      <c r="S68" s="276"/>
      <c r="T68" s="276"/>
      <c r="U68" s="276"/>
    </row>
    <row r="69" spans="1:21" ht="16.5" thickBot="1">
      <c r="A69" s="275" t="s">
        <v>426</v>
      </c>
      <c r="B69" s="276">
        <v>7.24</v>
      </c>
      <c r="D69" s="276"/>
      <c r="E69" s="288"/>
      <c r="F69" s="276"/>
      <c r="G69" s="288"/>
      <c r="H69" s="290"/>
      <c r="I69" s="276"/>
      <c r="J69" s="289">
        <f t="shared" si="6"/>
        <v>9.36</v>
      </c>
      <c r="M69" s="276"/>
      <c r="N69" s="276"/>
      <c r="O69" s="276"/>
      <c r="P69" s="276"/>
      <c r="Q69" s="276"/>
      <c r="R69" s="276"/>
      <c r="S69" s="276"/>
      <c r="T69" s="276"/>
      <c r="U69" s="276"/>
    </row>
    <row r="70" spans="1:21" ht="16.5" thickBot="1">
      <c r="A70" s="275" t="s">
        <v>427</v>
      </c>
      <c r="B70" s="276">
        <v>4.3499999999999996</v>
      </c>
      <c r="D70" s="276"/>
      <c r="E70" s="288"/>
      <c r="F70" s="276"/>
      <c r="G70" s="288"/>
      <c r="H70" s="290"/>
      <c r="I70" s="276"/>
      <c r="J70" s="291">
        <f t="shared" si="6"/>
        <v>5</v>
      </c>
      <c r="M70" s="276"/>
      <c r="N70" s="276"/>
      <c r="O70" s="276"/>
      <c r="P70" s="276"/>
      <c r="Q70" s="276"/>
      <c r="R70" s="276"/>
      <c r="S70" s="276"/>
      <c r="T70" s="276"/>
      <c r="U70" s="276"/>
    </row>
    <row r="71" spans="1:21">
      <c r="A71" s="275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  <c r="R71" s="276"/>
      <c r="S71" s="276"/>
      <c r="T71" s="276"/>
      <c r="U71" s="276"/>
    </row>
    <row r="72" spans="1:21" ht="32.25" thickBot="1">
      <c r="A72" s="271" t="s">
        <v>384</v>
      </c>
      <c r="B72" s="272" t="s">
        <v>385</v>
      </c>
      <c r="D72" s="272"/>
      <c r="F72" s="272"/>
      <c r="G72" s="276"/>
      <c r="H72" s="272"/>
      <c r="I72" s="276"/>
      <c r="J72" s="272"/>
      <c r="K72" s="276"/>
      <c r="L72" s="272" t="s">
        <v>386</v>
      </c>
      <c r="M72" s="276"/>
      <c r="N72" s="276"/>
      <c r="O72" s="276"/>
      <c r="P72" s="276"/>
      <c r="Q72" s="276"/>
      <c r="R72" s="276"/>
      <c r="S72" s="276"/>
      <c r="T72" s="276"/>
      <c r="U72" s="276"/>
    </row>
    <row r="73" spans="1:21" ht="16.5" thickBot="1">
      <c r="A73" s="275" t="s">
        <v>428</v>
      </c>
      <c r="B73" s="276">
        <v>0.56999999999999995</v>
      </c>
      <c r="D73" s="276"/>
      <c r="E73" s="288"/>
      <c r="F73" s="276"/>
      <c r="G73" s="288"/>
      <c r="H73" s="276"/>
      <c r="I73" s="295"/>
      <c r="J73" s="296"/>
      <c r="K73" s="288"/>
      <c r="L73" s="289">
        <f t="shared" ref="L73:L82" si="7">ROUND(L99*$D$112,2)</f>
        <v>0.43</v>
      </c>
      <c r="M73" s="276"/>
      <c r="N73" s="276"/>
      <c r="O73" s="276"/>
      <c r="P73" s="276"/>
      <c r="Q73" s="276"/>
      <c r="R73" s="276"/>
      <c r="S73" s="276"/>
      <c r="T73" s="276"/>
      <c r="U73" s="276"/>
    </row>
    <row r="74" spans="1:21" ht="16.5" thickBot="1">
      <c r="A74" s="275" t="s">
        <v>429</v>
      </c>
      <c r="B74" s="276">
        <v>0.48</v>
      </c>
      <c r="D74" s="276"/>
      <c r="E74" s="288"/>
      <c r="F74" s="276"/>
      <c r="G74" s="288"/>
      <c r="H74" s="276"/>
      <c r="I74" s="295"/>
      <c r="J74" s="296"/>
      <c r="K74" s="288"/>
      <c r="L74" s="289">
        <f t="shared" si="7"/>
        <v>0.36</v>
      </c>
      <c r="M74" s="276"/>
      <c r="N74" s="276"/>
      <c r="O74" s="276"/>
      <c r="P74" s="276"/>
      <c r="Q74" s="276"/>
      <c r="R74" s="276"/>
      <c r="S74" s="276"/>
      <c r="T74" s="276"/>
      <c r="U74" s="276"/>
    </row>
    <row r="75" spans="1:21" ht="16.5" thickBot="1">
      <c r="A75" s="275" t="s">
        <v>430</v>
      </c>
      <c r="B75" s="276">
        <v>0.56999999999999995</v>
      </c>
      <c r="D75" s="276"/>
      <c r="E75" s="288"/>
      <c r="F75" s="276"/>
      <c r="G75" s="288"/>
      <c r="H75" s="276"/>
      <c r="I75" s="295"/>
      <c r="J75" s="296"/>
      <c r="K75" s="288"/>
      <c r="L75" s="289">
        <f t="shared" si="7"/>
        <v>0.43</v>
      </c>
    </row>
    <row r="76" spans="1:21" ht="16.5" thickBot="1">
      <c r="A76" s="275" t="s">
        <v>431</v>
      </c>
      <c r="B76" s="276">
        <v>0.47</v>
      </c>
      <c r="D76" s="276"/>
      <c r="E76" s="288"/>
      <c r="F76" s="276"/>
      <c r="G76" s="288"/>
      <c r="H76" s="276"/>
      <c r="I76" s="295"/>
      <c r="J76" s="296"/>
      <c r="K76" s="288"/>
      <c r="L76" s="289">
        <f t="shared" si="7"/>
        <v>0.36</v>
      </c>
    </row>
    <row r="77" spans="1:21" ht="16.5" thickBot="1">
      <c r="A77" s="275" t="s">
        <v>432</v>
      </c>
      <c r="B77" s="276">
        <v>0.72</v>
      </c>
      <c r="D77" s="276"/>
      <c r="E77" s="288"/>
      <c r="F77" s="276"/>
      <c r="G77" s="288"/>
      <c r="H77" s="276"/>
      <c r="I77" s="295"/>
      <c r="J77" s="296"/>
      <c r="K77" s="288"/>
      <c r="L77" s="289">
        <f t="shared" si="7"/>
        <v>0.53</v>
      </c>
    </row>
    <row r="78" spans="1:21" ht="16.5" thickBot="1">
      <c r="A78" s="275" t="s">
        <v>433</v>
      </c>
      <c r="B78" s="276">
        <v>0.61</v>
      </c>
      <c r="D78" s="276"/>
      <c r="E78" s="288"/>
      <c r="F78" s="276"/>
      <c r="G78" s="288"/>
      <c r="H78" s="276"/>
      <c r="I78" s="295"/>
      <c r="J78" s="296"/>
      <c r="K78" s="288"/>
      <c r="L78" s="289">
        <f t="shared" si="7"/>
        <v>0.44</v>
      </c>
    </row>
    <row r="79" spans="1:21" ht="16.5" thickBot="1">
      <c r="A79" s="275" t="s">
        <v>434</v>
      </c>
      <c r="B79" s="276">
        <v>0.71</v>
      </c>
      <c r="D79" s="276"/>
      <c r="E79" s="288"/>
      <c r="F79" s="276"/>
      <c r="G79" s="288"/>
      <c r="H79" s="276"/>
      <c r="I79" s="295"/>
      <c r="J79" s="296"/>
      <c r="K79" s="288"/>
      <c r="L79" s="289">
        <f t="shared" si="7"/>
        <v>0.51</v>
      </c>
    </row>
    <row r="80" spans="1:21" ht="16.5" thickBot="1">
      <c r="A80" s="275" t="s">
        <v>435</v>
      </c>
      <c r="B80" s="276">
        <v>0.59</v>
      </c>
      <c r="D80" s="276"/>
      <c r="E80" s="288"/>
      <c r="F80" s="276"/>
      <c r="G80" s="288"/>
      <c r="H80" s="276"/>
      <c r="I80" s="295"/>
      <c r="J80" s="296"/>
      <c r="K80" s="288"/>
      <c r="L80" s="289">
        <f t="shared" si="7"/>
        <v>0.42</v>
      </c>
    </row>
    <row r="81" spans="1:12" ht="16.5" thickBot="1">
      <c r="A81" s="275" t="s">
        <v>436</v>
      </c>
      <c r="B81" s="276">
        <v>0.71</v>
      </c>
      <c r="D81" s="276"/>
      <c r="E81" s="288"/>
      <c r="F81" s="276"/>
      <c r="G81" s="288"/>
      <c r="H81" s="276"/>
      <c r="I81" s="295"/>
      <c r="J81" s="296"/>
      <c r="K81" s="288"/>
      <c r="L81" s="289">
        <f t="shared" si="7"/>
        <v>0.6</v>
      </c>
    </row>
    <row r="82" spans="1:12" ht="16.5" thickBot="1">
      <c r="A82" s="275" t="s">
        <v>437</v>
      </c>
      <c r="B82" s="276">
        <v>0.61</v>
      </c>
      <c r="D82" s="276"/>
      <c r="E82" s="288"/>
      <c r="F82" s="276"/>
      <c r="G82" s="288"/>
      <c r="H82" s="276"/>
      <c r="I82" s="295"/>
      <c r="J82" s="296"/>
      <c r="K82" s="288"/>
      <c r="L82" s="291">
        <f t="shared" si="7"/>
        <v>0.52</v>
      </c>
    </row>
    <row r="83" spans="1:12">
      <c r="A83" s="275"/>
      <c r="L83" s="297"/>
    </row>
    <row r="84" spans="1:12">
      <c r="A84" s="300" t="s">
        <v>422</v>
      </c>
      <c r="B84" s="301"/>
      <c r="C84" s="301"/>
      <c r="D84" s="302"/>
      <c r="E84" s="301"/>
      <c r="F84" s="302"/>
      <c r="G84" s="302"/>
      <c r="H84" s="302"/>
      <c r="I84" s="302"/>
      <c r="J84" s="302"/>
      <c r="K84" s="302"/>
      <c r="L84" s="302"/>
    </row>
    <row r="85" spans="1:12">
      <c r="A85" s="300" t="s">
        <v>438</v>
      </c>
      <c r="B85" s="301"/>
      <c r="C85" s="301"/>
      <c r="D85" s="302"/>
      <c r="E85" s="301"/>
      <c r="F85" s="302"/>
      <c r="G85" s="302"/>
      <c r="H85" s="302"/>
      <c r="I85" s="302"/>
      <c r="J85" s="302"/>
      <c r="K85" s="302"/>
      <c r="L85" s="302"/>
    </row>
    <row r="86" spans="1:12" ht="48" thickBot="1">
      <c r="A86" s="303" t="s">
        <v>384</v>
      </c>
      <c r="B86" s="304" t="s">
        <v>385</v>
      </c>
      <c r="C86" s="305"/>
      <c r="D86" s="304" t="s">
        <v>393</v>
      </c>
      <c r="E86" s="305"/>
      <c r="F86" s="304" t="s">
        <v>439</v>
      </c>
      <c r="G86" s="306"/>
      <c r="H86" s="304"/>
      <c r="I86" s="306"/>
      <c r="J86" s="304"/>
      <c r="K86" s="306"/>
      <c r="L86" s="306"/>
    </row>
    <row r="87" spans="1:12" ht="16.5" thickBot="1">
      <c r="A87" s="307" t="s">
        <v>394</v>
      </c>
      <c r="B87" s="306">
        <v>55</v>
      </c>
      <c r="C87" s="308" t="s">
        <v>395</v>
      </c>
      <c r="D87" s="306">
        <v>6</v>
      </c>
      <c r="E87" s="308" t="s">
        <v>396</v>
      </c>
      <c r="F87" s="309">
        <v>61</v>
      </c>
      <c r="G87" s="308"/>
      <c r="H87" s="306"/>
      <c r="I87" s="308"/>
      <c r="J87" s="310"/>
      <c r="K87" s="306"/>
      <c r="L87" s="306"/>
    </row>
    <row r="88" spans="1:12" ht="16.5" thickBot="1">
      <c r="A88" s="307" t="s">
        <v>397</v>
      </c>
      <c r="B88" s="306">
        <v>72</v>
      </c>
      <c r="C88" s="308" t="s">
        <v>395</v>
      </c>
      <c r="D88" s="306">
        <v>8</v>
      </c>
      <c r="E88" s="308" t="s">
        <v>396</v>
      </c>
      <c r="F88" s="309">
        <v>80</v>
      </c>
      <c r="G88" s="308"/>
      <c r="H88" s="306"/>
      <c r="I88" s="308"/>
      <c r="J88" s="310"/>
      <c r="K88" s="306"/>
      <c r="L88" s="306"/>
    </row>
    <row r="89" spans="1:12" ht="16.5" thickBot="1">
      <c r="A89" s="307" t="s">
        <v>398</v>
      </c>
      <c r="B89" s="306">
        <v>266</v>
      </c>
      <c r="C89" s="308" t="s">
        <v>395</v>
      </c>
      <c r="D89" s="306">
        <v>39</v>
      </c>
      <c r="E89" s="308" t="s">
        <v>396</v>
      </c>
      <c r="F89" s="311">
        <v>305</v>
      </c>
      <c r="G89" s="308"/>
      <c r="H89" s="306"/>
      <c r="I89" s="308"/>
      <c r="J89" s="310"/>
      <c r="K89" s="306"/>
      <c r="L89" s="306"/>
    </row>
    <row r="90" spans="1:12">
      <c r="A90" s="307"/>
      <c r="B90" s="312"/>
      <c r="C90" s="312"/>
      <c r="D90" s="312"/>
      <c r="E90" s="312"/>
      <c r="F90" s="306"/>
      <c r="G90" s="306"/>
      <c r="H90" s="306"/>
      <c r="I90" s="306"/>
      <c r="J90" s="306"/>
      <c r="K90" s="306"/>
      <c r="L90" s="306"/>
    </row>
    <row r="91" spans="1:12" ht="79.5" thickBot="1">
      <c r="A91" s="313" t="s">
        <v>384</v>
      </c>
      <c r="B91" s="304" t="s">
        <v>385</v>
      </c>
      <c r="C91" s="312"/>
      <c r="D91" s="304" t="s">
        <v>440</v>
      </c>
      <c r="E91" s="314"/>
      <c r="F91" s="304" t="s">
        <v>441</v>
      </c>
      <c r="G91" s="315"/>
      <c r="H91" s="304" t="s">
        <v>442</v>
      </c>
      <c r="I91" s="306"/>
      <c r="J91" s="304" t="s">
        <v>439</v>
      </c>
      <c r="K91" s="312"/>
      <c r="L91" s="312"/>
    </row>
    <row r="92" spans="1:12" ht="16.5" thickBot="1">
      <c r="A92" s="307" t="s">
        <v>423</v>
      </c>
      <c r="B92" s="306">
        <v>7.52</v>
      </c>
      <c r="C92" s="312"/>
      <c r="D92" s="306">
        <v>5.8002988416405437</v>
      </c>
      <c r="E92" s="308" t="s">
        <v>395</v>
      </c>
      <c r="F92" s="306">
        <v>5.4302495510769146</v>
      </c>
      <c r="G92" s="308" t="s">
        <v>396</v>
      </c>
      <c r="H92" s="309">
        <v>11.230548392717459</v>
      </c>
      <c r="I92" s="306"/>
      <c r="J92" s="309">
        <v>9.3752741963587294</v>
      </c>
      <c r="K92" s="312"/>
      <c r="L92" s="312"/>
    </row>
    <row r="93" spans="1:12" ht="16.5" thickBot="1">
      <c r="A93" s="307" t="s">
        <v>424</v>
      </c>
      <c r="B93" s="306">
        <v>6.56</v>
      </c>
      <c r="C93" s="312"/>
      <c r="D93" s="306">
        <v>5.8002988416405437</v>
      </c>
      <c r="E93" s="308" t="s">
        <v>395</v>
      </c>
      <c r="F93" s="306">
        <v>4.5959978773035193</v>
      </c>
      <c r="G93" s="308" t="s">
        <v>396</v>
      </c>
      <c r="H93" s="309">
        <v>10.396296718944063</v>
      </c>
      <c r="I93" s="306"/>
      <c r="J93" s="309">
        <v>8.4781483594720317</v>
      </c>
      <c r="K93" s="312"/>
      <c r="L93" s="312"/>
    </row>
    <row r="94" spans="1:12" ht="16.5" thickBot="1">
      <c r="A94" s="307" t="s">
        <v>425</v>
      </c>
      <c r="B94" s="306">
        <v>8.3699999999999992</v>
      </c>
      <c r="C94" s="312"/>
      <c r="D94" s="306">
        <v>7.8789456125049036</v>
      </c>
      <c r="E94" s="308" t="s">
        <v>395</v>
      </c>
      <c r="F94" s="306">
        <v>5.3047765255136019</v>
      </c>
      <c r="G94" s="308" t="s">
        <v>396</v>
      </c>
      <c r="H94" s="309">
        <v>13.183722138018506</v>
      </c>
      <c r="I94" s="306"/>
      <c r="J94" s="309">
        <v>10.776861069009254</v>
      </c>
      <c r="K94" s="312"/>
      <c r="L94" s="312"/>
    </row>
    <row r="95" spans="1:12" ht="16.5" thickBot="1">
      <c r="A95" s="307" t="s">
        <v>426</v>
      </c>
      <c r="B95" s="306">
        <v>7.24</v>
      </c>
      <c r="C95" s="312"/>
      <c r="D95" s="306">
        <v>7.8789456125049036</v>
      </c>
      <c r="E95" s="308" t="s">
        <v>395</v>
      </c>
      <c r="F95" s="306">
        <v>5.0631805220998585</v>
      </c>
      <c r="G95" s="308" t="s">
        <v>396</v>
      </c>
      <c r="H95" s="309">
        <v>12.942126134604763</v>
      </c>
      <c r="I95" s="306"/>
      <c r="J95" s="309">
        <v>10.091063067302382</v>
      </c>
      <c r="K95" s="312"/>
      <c r="L95" s="312"/>
    </row>
    <row r="96" spans="1:12" ht="16.5" thickBot="1">
      <c r="A96" s="307" t="s">
        <v>427</v>
      </c>
      <c r="B96" s="306">
        <v>4.3499999999999996</v>
      </c>
      <c r="C96" s="312"/>
      <c r="D96" s="306">
        <v>6.4399503642714766</v>
      </c>
      <c r="E96" s="308" t="s">
        <v>395</v>
      </c>
      <c r="F96" s="306">
        <v>0</v>
      </c>
      <c r="G96" s="308" t="s">
        <v>396</v>
      </c>
      <c r="H96" s="311">
        <v>6.4399503642714766</v>
      </c>
      <c r="I96" s="306"/>
      <c r="J96" s="311">
        <v>5.3949751821357381</v>
      </c>
      <c r="K96" s="312"/>
      <c r="L96" s="312"/>
    </row>
    <row r="97" spans="1:12">
      <c r="A97" s="307"/>
      <c r="B97" s="312"/>
      <c r="C97" s="312"/>
      <c r="D97" s="312"/>
      <c r="E97" s="312"/>
      <c r="F97" s="306"/>
      <c r="G97" s="306"/>
      <c r="H97" s="306"/>
      <c r="I97" s="306"/>
      <c r="J97" s="306"/>
      <c r="K97" s="306"/>
      <c r="L97" s="306"/>
    </row>
    <row r="98" spans="1:12" ht="48" thickBot="1">
      <c r="A98" s="313" t="s">
        <v>384</v>
      </c>
      <c r="B98" s="304" t="s">
        <v>385</v>
      </c>
      <c r="C98" s="312"/>
      <c r="D98" s="304" t="s">
        <v>402</v>
      </c>
      <c r="E98" s="312"/>
      <c r="F98" s="304" t="s">
        <v>443</v>
      </c>
      <c r="G98" s="306"/>
      <c r="H98" s="304" t="s">
        <v>404</v>
      </c>
      <c r="I98" s="306"/>
      <c r="J98" s="304" t="s">
        <v>405</v>
      </c>
      <c r="K98" s="306"/>
      <c r="L98" s="304" t="s">
        <v>439</v>
      </c>
    </row>
    <row r="99" spans="1:12" ht="16.5" thickBot="1">
      <c r="A99" s="307" t="s">
        <v>428</v>
      </c>
      <c r="B99" s="306">
        <v>0.56999999999999995</v>
      </c>
      <c r="C99" s="312"/>
      <c r="D99" s="306">
        <v>19.21</v>
      </c>
      <c r="E99" s="308" t="s">
        <v>407</v>
      </c>
      <c r="F99" s="306">
        <v>9.3752741963587294</v>
      </c>
      <c r="G99" s="308" t="s">
        <v>396</v>
      </c>
      <c r="H99" s="306">
        <v>9.8347258036412715</v>
      </c>
      <c r="I99" s="316" t="s">
        <v>408</v>
      </c>
      <c r="J99" s="317">
        <v>21</v>
      </c>
      <c r="K99" s="308" t="s">
        <v>396</v>
      </c>
      <c r="L99" s="309">
        <v>0.46832027636387008</v>
      </c>
    </row>
    <row r="100" spans="1:12" ht="16.5" thickBot="1">
      <c r="A100" s="307" t="s">
        <v>429</v>
      </c>
      <c r="B100" s="306">
        <v>0.48</v>
      </c>
      <c r="C100" s="312"/>
      <c r="D100" s="306">
        <v>17.5</v>
      </c>
      <c r="E100" s="308" t="s">
        <v>407</v>
      </c>
      <c r="F100" s="306">
        <v>9.3752741963587294</v>
      </c>
      <c r="G100" s="308" t="s">
        <v>396</v>
      </c>
      <c r="H100" s="306">
        <v>8.1247258036412706</v>
      </c>
      <c r="I100" s="316" t="s">
        <v>408</v>
      </c>
      <c r="J100" s="317">
        <v>21</v>
      </c>
      <c r="K100" s="308" t="s">
        <v>396</v>
      </c>
      <c r="L100" s="309">
        <v>0.38689170493529862</v>
      </c>
    </row>
    <row r="101" spans="1:12" ht="16.5" thickBot="1">
      <c r="A101" s="307" t="s">
        <v>430</v>
      </c>
      <c r="B101" s="306">
        <v>0.56999999999999995</v>
      </c>
      <c r="C101" s="312"/>
      <c r="D101" s="306">
        <v>18.25</v>
      </c>
      <c r="E101" s="308" t="s">
        <v>407</v>
      </c>
      <c r="F101" s="306">
        <v>8.4781483594720317</v>
      </c>
      <c r="G101" s="308" t="s">
        <v>396</v>
      </c>
      <c r="H101" s="306">
        <v>9.7718516405279683</v>
      </c>
      <c r="I101" s="316" t="s">
        <v>408</v>
      </c>
      <c r="J101" s="317">
        <v>21</v>
      </c>
      <c r="K101" s="308" t="s">
        <v>396</v>
      </c>
      <c r="L101" s="309">
        <v>0.46532626859656989</v>
      </c>
    </row>
    <row r="102" spans="1:12" ht="16.5" thickBot="1">
      <c r="A102" s="307" t="s">
        <v>431</v>
      </c>
      <c r="B102" s="306">
        <v>0.47</v>
      </c>
      <c r="C102" s="312"/>
      <c r="D102" s="306">
        <v>16.54</v>
      </c>
      <c r="E102" s="308" t="s">
        <v>407</v>
      </c>
      <c r="F102" s="306">
        <v>8.4781483594720317</v>
      </c>
      <c r="G102" s="308" t="s">
        <v>396</v>
      </c>
      <c r="H102" s="306">
        <v>8.0618516405279674</v>
      </c>
      <c r="I102" s="316" t="s">
        <v>408</v>
      </c>
      <c r="J102" s="317">
        <v>21</v>
      </c>
      <c r="K102" s="308" t="s">
        <v>396</v>
      </c>
      <c r="L102" s="309">
        <v>0.38389769716799843</v>
      </c>
    </row>
    <row r="103" spans="1:12" ht="16.5" thickBot="1">
      <c r="A103" s="307" t="s">
        <v>432</v>
      </c>
      <c r="B103" s="306">
        <v>0.72</v>
      </c>
      <c r="C103" s="312"/>
      <c r="D103" s="306">
        <v>22.759999999999998</v>
      </c>
      <c r="E103" s="308" t="s">
        <v>407</v>
      </c>
      <c r="F103" s="306">
        <v>10.776861069009254</v>
      </c>
      <c r="G103" s="308" t="s">
        <v>396</v>
      </c>
      <c r="H103" s="306">
        <v>11.983138930990744</v>
      </c>
      <c r="I103" s="316" t="s">
        <v>408</v>
      </c>
      <c r="J103" s="317">
        <v>21</v>
      </c>
      <c r="K103" s="308" t="s">
        <v>396</v>
      </c>
      <c r="L103" s="309">
        <v>0.57062566338051168</v>
      </c>
    </row>
    <row r="104" spans="1:12" ht="16.5" thickBot="1">
      <c r="A104" s="307" t="s">
        <v>433</v>
      </c>
      <c r="B104" s="306">
        <v>0.61</v>
      </c>
      <c r="C104" s="312"/>
      <c r="D104" s="306">
        <v>20.75</v>
      </c>
      <c r="E104" s="308" t="s">
        <v>407</v>
      </c>
      <c r="F104" s="306">
        <v>10.776861069009254</v>
      </c>
      <c r="G104" s="308" t="s">
        <v>396</v>
      </c>
      <c r="H104" s="306">
        <v>9.9731389309907463</v>
      </c>
      <c r="I104" s="316" t="s">
        <v>408</v>
      </c>
      <c r="J104" s="317">
        <v>21</v>
      </c>
      <c r="K104" s="308" t="s">
        <v>396</v>
      </c>
      <c r="L104" s="309">
        <v>0.47491137766622604</v>
      </c>
    </row>
    <row r="105" spans="1:12" ht="16.5" thickBot="1">
      <c r="A105" s="307" t="s">
        <v>434</v>
      </c>
      <c r="B105" s="306">
        <v>0.71</v>
      </c>
      <c r="C105" s="312"/>
      <c r="D105" s="306">
        <v>21.63</v>
      </c>
      <c r="E105" s="308" t="s">
        <v>407</v>
      </c>
      <c r="F105" s="306">
        <v>10.091063067302382</v>
      </c>
      <c r="G105" s="308" t="s">
        <v>396</v>
      </c>
      <c r="H105" s="306">
        <v>11.538936932697617</v>
      </c>
      <c r="I105" s="316" t="s">
        <v>408</v>
      </c>
      <c r="J105" s="317">
        <v>21</v>
      </c>
      <c r="K105" s="308" t="s">
        <v>396</v>
      </c>
      <c r="L105" s="309">
        <v>0.54947318727131511</v>
      </c>
    </row>
    <row r="106" spans="1:12" ht="16.5" thickBot="1">
      <c r="A106" s="307" t="s">
        <v>435</v>
      </c>
      <c r="B106" s="306">
        <v>0.59</v>
      </c>
      <c r="C106" s="312"/>
      <c r="D106" s="306">
        <v>19.62</v>
      </c>
      <c r="E106" s="308" t="s">
        <v>407</v>
      </c>
      <c r="F106" s="306">
        <v>10.091063067302382</v>
      </c>
      <c r="G106" s="308" t="s">
        <v>396</v>
      </c>
      <c r="H106" s="306">
        <v>9.5289369326976185</v>
      </c>
      <c r="I106" s="316" t="s">
        <v>408</v>
      </c>
      <c r="J106" s="317">
        <v>21</v>
      </c>
      <c r="K106" s="308" t="s">
        <v>396</v>
      </c>
      <c r="L106" s="309">
        <v>0.45375890155702947</v>
      </c>
    </row>
    <row r="107" spans="1:12" ht="16.5" thickBot="1">
      <c r="A107" s="307" t="s">
        <v>436</v>
      </c>
      <c r="B107" s="306">
        <v>0.71</v>
      </c>
      <c r="C107" s="312"/>
      <c r="D107" s="306">
        <v>19.07</v>
      </c>
      <c r="E107" s="308" t="s">
        <v>407</v>
      </c>
      <c r="F107" s="306">
        <v>5.3949751821357381</v>
      </c>
      <c r="G107" s="308" t="s">
        <v>396</v>
      </c>
      <c r="H107" s="306">
        <v>13.675024817864262</v>
      </c>
      <c r="I107" s="316" t="s">
        <v>408</v>
      </c>
      <c r="J107" s="317">
        <v>21</v>
      </c>
      <c r="K107" s="308" t="s">
        <v>396</v>
      </c>
      <c r="L107" s="309">
        <v>0.65119165799353629</v>
      </c>
    </row>
    <row r="108" spans="1:12" ht="16.5" thickBot="1">
      <c r="A108" s="307" t="s">
        <v>437</v>
      </c>
      <c r="B108" s="306">
        <v>0.61</v>
      </c>
      <c r="C108" s="312"/>
      <c r="D108" s="306">
        <v>17.18</v>
      </c>
      <c r="E108" s="308" t="s">
        <v>407</v>
      </c>
      <c r="F108" s="306">
        <v>5.3949751821357381</v>
      </c>
      <c r="G108" s="308" t="s">
        <v>396</v>
      </c>
      <c r="H108" s="306">
        <v>11.785024817864262</v>
      </c>
      <c r="I108" s="316" t="s">
        <v>408</v>
      </c>
      <c r="J108" s="317">
        <v>21</v>
      </c>
      <c r="K108" s="308" t="s">
        <v>396</v>
      </c>
      <c r="L108" s="311">
        <v>0.56119165799353632</v>
      </c>
    </row>
    <row r="110" spans="1:12">
      <c r="A110" s="266" t="s">
        <v>444</v>
      </c>
      <c r="D110" s="318">
        <v>2636690.4990858063</v>
      </c>
    </row>
    <row r="111" spans="1:12">
      <c r="A111" s="266" t="s">
        <v>445</v>
      </c>
      <c r="D111" s="319">
        <f>'Exhibit B(Rate Spread)'!M49</f>
        <v>2444810.6666316353</v>
      </c>
    </row>
    <row r="112" spans="1:12">
      <c r="A112" s="266" t="s">
        <v>446</v>
      </c>
      <c r="D112" s="320">
        <f>D111/D110</f>
        <v>0.92722701715627998</v>
      </c>
    </row>
  </sheetData>
  <printOptions horizontalCentered="1"/>
  <pageMargins left="0.7" right="0.7" top="0.75" bottom="0.75" header="0.3" footer="0.3"/>
  <pageSetup scale="45" fitToHeight="2" orientation="portrait" r:id="rId1"/>
  <rowBreaks count="1" manualBreakCount="1">
    <brk id="57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FA39C-0063-4720-865B-965716918B82}">
  <sheetPr>
    <tabColor rgb="FF00B0F0"/>
  </sheetPr>
  <dimension ref="A1"/>
  <sheetViews>
    <sheetView workbookViewId="0">
      <selection activeCell="L26" sqref="L26"/>
    </sheetView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B67C-CBC4-426F-8CEB-067C60BBC037}">
  <sheetPr transitionEvaluation="1" transitionEntry="1">
    <tabColor rgb="FF00B0F0"/>
  </sheetPr>
  <dimension ref="A1:N1324"/>
  <sheetViews>
    <sheetView view="pageBreakPreview" topLeftCell="A6" zoomScale="85" zoomScaleNormal="80" zoomScaleSheetLayoutView="85" workbookViewId="0">
      <pane xSplit="2" ySplit="3" topLeftCell="G763" activePane="bottomRight" state="frozen"/>
      <selection activeCell="K1166" sqref="K1166"/>
      <selection pane="topRight" activeCell="K1166" sqref="K1166"/>
      <selection pane="bottomLeft" activeCell="K1166" sqref="K1166"/>
      <selection pane="bottomRight" activeCell="Q23" sqref="Q23"/>
    </sheetView>
  </sheetViews>
  <sheetFormatPr defaultColWidth="10.28515625" defaultRowHeight="15.75"/>
  <cols>
    <col min="1" max="1" width="28.85546875" style="116" customWidth="1"/>
    <col min="2" max="2" width="10.28515625" style="114" customWidth="1"/>
    <col min="3" max="4" width="17.28515625" style="114" bestFit="1" customWidth="1"/>
    <col min="5" max="5" width="2.28515625" style="114" customWidth="1"/>
    <col min="6" max="6" width="10.7109375" style="114" bestFit="1" customWidth="1"/>
    <col min="7" max="7" width="2.28515625" style="114" bestFit="1" customWidth="1"/>
    <col min="8" max="9" width="16.5703125" style="114" bestFit="1" customWidth="1"/>
    <col min="10" max="10" width="2.28515625" style="114" customWidth="1"/>
    <col min="11" max="11" width="10.7109375" style="114" bestFit="1" customWidth="1"/>
    <col min="12" max="12" width="2.28515625" style="114" bestFit="1" customWidth="1"/>
    <col min="13" max="13" width="16.5703125" style="114" bestFit="1" customWidth="1"/>
    <col min="14" max="14" width="10.28515625" style="114" customWidth="1"/>
    <col min="15" max="16384" width="10.28515625" style="114"/>
  </cols>
  <sheetData>
    <row r="1" spans="1:13" ht="18.75">
      <c r="A1" s="112" t="s">
        <v>91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8.75">
      <c r="A2" s="112" t="s">
        <v>92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ht="18.75">
      <c r="A3" s="1" t="s">
        <v>447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ht="18.75">
      <c r="A4" s="1" t="s">
        <v>448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18.75">
      <c r="A5" s="1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</row>
    <row r="6" spans="1:13">
      <c r="C6" s="117"/>
      <c r="D6" s="118"/>
      <c r="E6" s="119"/>
      <c r="F6" s="120" t="s">
        <v>5</v>
      </c>
      <c r="G6" s="121"/>
      <c r="H6" s="122"/>
      <c r="I6" s="122"/>
      <c r="J6" s="119"/>
      <c r="K6" s="120" t="s">
        <v>6</v>
      </c>
      <c r="L6" s="121"/>
      <c r="M6" s="122"/>
    </row>
    <row r="7" spans="1:13">
      <c r="C7" s="123" t="s">
        <v>93</v>
      </c>
      <c r="D7" s="122"/>
      <c r="E7" s="124"/>
      <c r="F7" s="125"/>
      <c r="G7" s="125"/>
      <c r="H7" s="126" t="s">
        <v>94</v>
      </c>
      <c r="I7" s="126"/>
      <c r="J7" s="124"/>
      <c r="K7" s="127"/>
      <c r="L7" s="125"/>
      <c r="M7" s="126"/>
    </row>
    <row r="8" spans="1:13">
      <c r="C8" s="128" t="s">
        <v>7</v>
      </c>
      <c r="D8" s="128" t="s">
        <v>20</v>
      </c>
      <c r="E8" s="129"/>
      <c r="F8" s="130" t="s">
        <v>95</v>
      </c>
      <c r="G8" s="125"/>
      <c r="H8" s="128" t="s">
        <v>7</v>
      </c>
      <c r="I8" s="128" t="s">
        <v>20</v>
      </c>
      <c r="J8" s="129"/>
      <c r="K8" s="130" t="s">
        <v>95</v>
      </c>
      <c r="L8" s="125"/>
      <c r="M8" s="130" t="s">
        <v>94</v>
      </c>
    </row>
    <row r="9" spans="1:13">
      <c r="A9" s="133" t="s">
        <v>449</v>
      </c>
      <c r="C9" s="134"/>
      <c r="D9" s="135"/>
      <c r="E9" s="135"/>
      <c r="J9" s="135"/>
    </row>
    <row r="10" spans="1:13">
      <c r="A10" s="136" t="s">
        <v>97</v>
      </c>
      <c r="C10" s="135">
        <f>SUM(C11:C14)</f>
        <v>9912896.2969997637</v>
      </c>
      <c r="D10" s="137">
        <v>10211688.872469638</v>
      </c>
      <c r="E10" s="137"/>
      <c r="F10" s="138"/>
      <c r="G10" s="138"/>
      <c r="H10" s="139"/>
      <c r="I10" s="139"/>
      <c r="J10" s="137"/>
      <c r="K10" s="138"/>
      <c r="L10" s="138"/>
      <c r="M10" s="139"/>
    </row>
    <row r="11" spans="1:13">
      <c r="A11" s="136" t="s">
        <v>98</v>
      </c>
      <c r="C11" s="135">
        <v>7541300.6989998901</v>
      </c>
      <c r="D11" s="135">
        <f>ROUND($C11/$C$10*D$10,0)</f>
        <v>7768609</v>
      </c>
      <c r="E11" s="135"/>
      <c r="F11" s="138">
        <v>10</v>
      </c>
      <c r="G11" s="138"/>
      <c r="H11" s="139">
        <f t="shared" ref="H11:I17" si="0">ROUND($F11*C11,0)</f>
        <v>75413007</v>
      </c>
      <c r="I11" s="139">
        <f t="shared" si="0"/>
        <v>77686090</v>
      </c>
      <c r="J11" s="135"/>
      <c r="K11" s="138">
        <v>12</v>
      </c>
      <c r="L11" s="138"/>
      <c r="M11" s="139">
        <f t="shared" ref="M11:M17" si="1">ROUND($K11*D11,0)</f>
        <v>93223308</v>
      </c>
    </row>
    <row r="12" spans="1:13">
      <c r="A12" s="136" t="s">
        <v>100</v>
      </c>
      <c r="C12" s="135">
        <v>2355534.0666665407</v>
      </c>
      <c r="D12" s="135">
        <f t="shared" ref="D12:D14" si="2">ROUND($C12/$C$10*D$10,0)</f>
        <v>2426534</v>
      </c>
      <c r="E12" s="135"/>
      <c r="F12" s="138">
        <v>6</v>
      </c>
      <c r="G12" s="138"/>
      <c r="H12" s="139">
        <f t="shared" si="0"/>
        <v>14133204</v>
      </c>
      <c r="I12" s="139">
        <f t="shared" si="0"/>
        <v>14559204</v>
      </c>
      <c r="J12" s="135"/>
      <c r="K12" s="138">
        <v>7</v>
      </c>
      <c r="L12" s="138"/>
      <c r="M12" s="139">
        <f t="shared" si="1"/>
        <v>16985738</v>
      </c>
    </row>
    <row r="13" spans="1:13">
      <c r="A13" s="136" t="s">
        <v>102</v>
      </c>
      <c r="C13" s="135">
        <v>3639.3979999999997</v>
      </c>
      <c r="D13" s="135">
        <f t="shared" si="2"/>
        <v>3749</v>
      </c>
      <c r="E13" s="135"/>
      <c r="F13" s="138">
        <v>20</v>
      </c>
      <c r="G13" s="138"/>
      <c r="H13" s="139">
        <f t="shared" si="0"/>
        <v>72788</v>
      </c>
      <c r="I13" s="139">
        <f t="shared" si="0"/>
        <v>74980</v>
      </c>
      <c r="J13" s="135"/>
      <c r="K13" s="138">
        <v>19.5</v>
      </c>
      <c r="L13" s="138"/>
      <c r="M13" s="139">
        <f t="shared" si="1"/>
        <v>73106</v>
      </c>
    </row>
    <row r="14" spans="1:13">
      <c r="A14" s="136" t="s">
        <v>104</v>
      </c>
      <c r="C14" s="135">
        <v>12422.13333333335</v>
      </c>
      <c r="D14" s="135">
        <f t="shared" si="2"/>
        <v>12797</v>
      </c>
      <c r="E14" s="135"/>
      <c r="F14" s="138">
        <v>12</v>
      </c>
      <c r="G14" s="138"/>
      <c r="H14" s="139">
        <f t="shared" si="0"/>
        <v>149066</v>
      </c>
      <c r="I14" s="139">
        <f t="shared" si="0"/>
        <v>153564</v>
      </c>
      <c r="J14" s="135"/>
      <c r="K14" s="138">
        <v>14.5</v>
      </c>
      <c r="L14" s="138"/>
      <c r="M14" s="139">
        <f t="shared" si="1"/>
        <v>185557</v>
      </c>
    </row>
    <row r="15" spans="1:13">
      <c r="A15" s="136" t="s">
        <v>106</v>
      </c>
      <c r="C15" s="135">
        <v>0</v>
      </c>
      <c r="D15" s="135">
        <f>ROUND($C15/$C$10*D$10,0)</f>
        <v>0</v>
      </c>
      <c r="E15" s="135"/>
      <c r="F15" s="138">
        <v>2</v>
      </c>
      <c r="G15" s="138"/>
      <c r="H15" s="139">
        <f t="shared" si="0"/>
        <v>0</v>
      </c>
      <c r="I15" s="139">
        <f t="shared" si="0"/>
        <v>0</v>
      </c>
      <c r="J15" s="135"/>
      <c r="K15" s="138">
        <v>2</v>
      </c>
      <c r="L15" s="138"/>
      <c r="M15" s="139">
        <f t="shared" si="1"/>
        <v>0</v>
      </c>
    </row>
    <row r="16" spans="1:13">
      <c r="A16" s="136" t="s">
        <v>107</v>
      </c>
      <c r="C16" s="135">
        <v>483.1</v>
      </c>
      <c r="D16" s="135">
        <f>ROUND($C16/$C$10*D$10,0)</f>
        <v>498</v>
      </c>
      <c r="E16" s="135"/>
      <c r="F16" s="138">
        <v>22</v>
      </c>
      <c r="G16" s="138"/>
      <c r="H16" s="139">
        <f t="shared" si="0"/>
        <v>10628</v>
      </c>
      <c r="I16" s="139">
        <f t="shared" si="0"/>
        <v>10956</v>
      </c>
      <c r="J16" s="135"/>
      <c r="K16" s="138">
        <v>22</v>
      </c>
      <c r="L16" s="138"/>
      <c r="M16" s="139">
        <f t="shared" si="1"/>
        <v>10956</v>
      </c>
    </row>
    <row r="17" spans="1:14">
      <c r="A17" s="136" t="s">
        <v>109</v>
      </c>
      <c r="C17" s="135">
        <v>6120807</v>
      </c>
      <c r="D17" s="135">
        <v>7098075.6602435652</v>
      </c>
      <c r="E17" s="135"/>
      <c r="F17" s="138">
        <v>-0.5</v>
      </c>
      <c r="G17" s="138"/>
      <c r="H17" s="139">
        <f t="shared" si="0"/>
        <v>-3060404</v>
      </c>
      <c r="I17" s="139">
        <f t="shared" si="0"/>
        <v>-3549038</v>
      </c>
      <c r="J17" s="135"/>
      <c r="K17" s="138">
        <v>-0.5</v>
      </c>
      <c r="L17" s="138"/>
      <c r="M17" s="139">
        <f t="shared" si="1"/>
        <v>-3549038</v>
      </c>
    </row>
    <row r="18" spans="1:14">
      <c r="A18" s="136" t="s">
        <v>111</v>
      </c>
      <c r="C18" s="135">
        <v>0</v>
      </c>
      <c r="D18" s="135">
        <f>ROUND($C18/SUM($C20:$C21)*SUM(D20:D21),0)</f>
        <v>0</v>
      </c>
      <c r="E18" s="135"/>
      <c r="F18" s="157">
        <v>4.3559999999999999</v>
      </c>
      <c r="G18" s="138" t="s">
        <v>112</v>
      </c>
      <c r="H18" s="139">
        <f t="shared" ref="H18:I24" si="3">ROUND($F18*C18/100,0)</f>
        <v>0</v>
      </c>
      <c r="I18" s="139">
        <f t="shared" si="3"/>
        <v>0</v>
      </c>
      <c r="J18" s="135"/>
      <c r="K18" s="157">
        <v>4.3559999999999999</v>
      </c>
      <c r="L18" s="138" t="s">
        <v>112</v>
      </c>
      <c r="M18" s="139">
        <f t="shared" ref="M18:M24" si="4">ROUND($K18*D18/100,0)</f>
        <v>0</v>
      </c>
    </row>
    <row r="19" spans="1:14">
      <c r="A19" s="136" t="s">
        <v>114</v>
      </c>
      <c r="C19" s="135">
        <v>0</v>
      </c>
      <c r="D19" s="135">
        <f>ROUND($C19/SUM($C20:$C21)*SUM(D20:D21),0)</f>
        <v>0</v>
      </c>
      <c r="E19" s="135"/>
      <c r="F19" s="157">
        <v>-1.6334</v>
      </c>
      <c r="G19" s="138" t="s">
        <v>112</v>
      </c>
      <c r="H19" s="139">
        <f t="shared" si="3"/>
        <v>0</v>
      </c>
      <c r="I19" s="139">
        <f t="shared" si="3"/>
        <v>0</v>
      </c>
      <c r="J19" s="135"/>
      <c r="K19" s="157">
        <v>-1.6334</v>
      </c>
      <c r="L19" s="138" t="s">
        <v>112</v>
      </c>
      <c r="M19" s="139">
        <f t="shared" si="4"/>
        <v>0</v>
      </c>
    </row>
    <row r="20" spans="1:14">
      <c r="A20" s="136" t="s">
        <v>116</v>
      </c>
      <c r="C20" s="135">
        <v>1184431973</v>
      </c>
      <c r="D20" s="137">
        <v>1280445808</v>
      </c>
      <c r="E20" s="137"/>
      <c r="F20" s="157">
        <v>9.0279000000000007</v>
      </c>
      <c r="G20" s="163" t="s">
        <v>112</v>
      </c>
      <c r="H20" s="139">
        <f t="shared" si="3"/>
        <v>106929334</v>
      </c>
      <c r="I20" s="139">
        <f t="shared" si="3"/>
        <v>115597367</v>
      </c>
      <c r="J20" s="137"/>
      <c r="K20" s="157">
        <v>9.2813999999999997</v>
      </c>
      <c r="L20" s="163" t="s">
        <v>112</v>
      </c>
      <c r="M20" s="139">
        <f t="shared" si="4"/>
        <v>118843297</v>
      </c>
      <c r="N20" s="321"/>
    </row>
    <row r="21" spans="1:14">
      <c r="A21" s="136" t="s">
        <v>118</v>
      </c>
      <c r="C21" s="135">
        <v>1683587899.7623816</v>
      </c>
      <c r="D21" s="137">
        <v>1820064906</v>
      </c>
      <c r="E21" s="137"/>
      <c r="F21" s="157">
        <v>11.721</v>
      </c>
      <c r="G21" s="163" t="s">
        <v>112</v>
      </c>
      <c r="H21" s="139">
        <f t="shared" si="3"/>
        <v>197333338</v>
      </c>
      <c r="I21" s="139">
        <f t="shared" si="3"/>
        <v>213329808</v>
      </c>
      <c r="J21" s="137"/>
      <c r="K21" s="157">
        <v>11.974500000000001</v>
      </c>
      <c r="L21" s="163" t="s">
        <v>112</v>
      </c>
      <c r="M21" s="139">
        <f t="shared" si="4"/>
        <v>217943672</v>
      </c>
      <c r="N21" s="321"/>
    </row>
    <row r="22" spans="1:14">
      <c r="A22" s="136" t="s">
        <v>120</v>
      </c>
      <c r="B22" s="169"/>
      <c r="C22" s="135">
        <v>2282008538</v>
      </c>
      <c r="D22" s="137">
        <v>2250428111</v>
      </c>
      <c r="E22" s="137"/>
      <c r="F22" s="170">
        <v>7.9893000000000001</v>
      </c>
      <c r="G22" s="163" t="s">
        <v>112</v>
      </c>
      <c r="H22" s="139">
        <f t="shared" si="3"/>
        <v>182316508</v>
      </c>
      <c r="I22" s="139">
        <f t="shared" si="3"/>
        <v>179793453</v>
      </c>
      <c r="J22" s="137"/>
      <c r="K22" s="170">
        <v>8.2135999999999996</v>
      </c>
      <c r="L22" s="163" t="s">
        <v>112</v>
      </c>
      <c r="M22" s="139">
        <f t="shared" si="4"/>
        <v>184841163</v>
      </c>
      <c r="N22" s="321"/>
    </row>
    <row r="23" spans="1:14">
      <c r="A23" s="136" t="s">
        <v>121</v>
      </c>
      <c r="B23" s="169"/>
      <c r="C23" s="135">
        <v>2129421079.6356161</v>
      </c>
      <c r="D23" s="137">
        <v>2099952291</v>
      </c>
      <c r="E23" s="137"/>
      <c r="F23" s="170">
        <v>10.3725</v>
      </c>
      <c r="G23" s="163" t="s">
        <v>112</v>
      </c>
      <c r="H23" s="139">
        <f t="shared" si="3"/>
        <v>220874201</v>
      </c>
      <c r="I23" s="139">
        <f t="shared" si="3"/>
        <v>217817551</v>
      </c>
      <c r="J23" s="137"/>
      <c r="K23" s="157">
        <v>10.5968</v>
      </c>
      <c r="L23" s="163" t="s">
        <v>112</v>
      </c>
      <c r="M23" s="139">
        <f t="shared" si="4"/>
        <v>222527744</v>
      </c>
    </row>
    <row r="24" spans="1:14">
      <c r="A24" s="172" t="s">
        <v>123</v>
      </c>
      <c r="B24" s="173"/>
      <c r="C24" s="135">
        <v>16475158</v>
      </c>
      <c r="D24" s="135">
        <f>ROUND($C24/$C$26*D$26,0)</f>
        <v>16815241</v>
      </c>
      <c r="E24" s="135"/>
      <c r="F24" s="174">
        <v>11.912599999999999</v>
      </c>
      <c r="G24" s="13" t="s">
        <v>112</v>
      </c>
      <c r="H24" s="139">
        <f t="shared" si="3"/>
        <v>1962620</v>
      </c>
      <c r="I24" s="139">
        <f t="shared" si="3"/>
        <v>2003132</v>
      </c>
      <c r="J24" s="135"/>
      <c r="K24" s="174">
        <v>12.0525</v>
      </c>
      <c r="L24" s="13" t="s">
        <v>112</v>
      </c>
      <c r="M24" s="139">
        <f t="shared" si="4"/>
        <v>2026657</v>
      </c>
    </row>
    <row r="25" spans="1:14">
      <c r="A25" s="172" t="s">
        <v>125</v>
      </c>
      <c r="B25" s="173"/>
      <c r="C25" s="135">
        <v>20749664</v>
      </c>
      <c r="D25" s="135"/>
      <c r="E25" s="135"/>
      <c r="F25" s="174"/>
      <c r="G25" s="13"/>
      <c r="H25" s="139">
        <v>2688568</v>
      </c>
      <c r="I25" s="139"/>
      <c r="J25" s="135"/>
      <c r="K25" s="174"/>
      <c r="L25" s="13"/>
      <c r="M25" s="139"/>
    </row>
    <row r="26" spans="1:14" ht="16.5" thickBot="1">
      <c r="A26" s="176" t="s">
        <v>127</v>
      </c>
      <c r="B26" s="177"/>
      <c r="C26" s="178">
        <f>SUM(C20:C25)</f>
        <v>7316674312.3979979</v>
      </c>
      <c r="D26" s="178">
        <v>7467706357.8583565</v>
      </c>
      <c r="E26" s="178"/>
      <c r="F26" s="177"/>
      <c r="G26" s="177"/>
      <c r="H26" s="179">
        <f>SUM(H11:H25)</f>
        <v>798822858</v>
      </c>
      <c r="I26" s="179">
        <f>SUM(I11:I25)</f>
        <v>817477067</v>
      </c>
      <c r="J26" s="178"/>
      <c r="K26" s="177"/>
      <c r="L26" s="177"/>
      <c r="M26" s="179">
        <f>SUM(M11:M25)</f>
        <v>853112160</v>
      </c>
    </row>
    <row r="27" spans="1:14" ht="16.5" thickTop="1">
      <c r="C27" s="180"/>
      <c r="D27" s="180"/>
      <c r="E27" s="180"/>
      <c r="J27" s="180"/>
    </row>
    <row r="28" spans="1:14">
      <c r="A28" s="133" t="s">
        <v>450</v>
      </c>
      <c r="C28" s="135"/>
      <c r="D28" s="135"/>
      <c r="E28" s="135"/>
      <c r="J28" s="135"/>
    </row>
    <row r="29" spans="1:14">
      <c r="A29" s="136" t="s">
        <v>97</v>
      </c>
      <c r="C29" s="135">
        <f>SUM(C30:C33)</f>
        <v>788997.91783333721</v>
      </c>
      <c r="D29" s="137">
        <v>1040676.0000000002</v>
      </c>
      <c r="E29" s="137"/>
      <c r="F29" s="138"/>
      <c r="G29" s="138"/>
      <c r="H29" s="139"/>
      <c r="I29" s="139"/>
      <c r="J29" s="137"/>
      <c r="K29" s="138"/>
      <c r="L29" s="138"/>
      <c r="M29" s="139"/>
    </row>
    <row r="30" spans="1:14">
      <c r="A30" s="136" t="s">
        <v>98</v>
      </c>
      <c r="C30" s="135">
        <v>766112.18400000397</v>
      </c>
      <c r="D30" s="135">
        <f t="shared" ref="D30:D35" si="5">ROUND($C30/$C$29*D$29,0)</f>
        <v>1010490</v>
      </c>
      <c r="E30" s="135"/>
      <c r="F30" s="138">
        <v>10</v>
      </c>
      <c r="G30" s="138"/>
      <c r="H30" s="139">
        <f t="shared" ref="H30:I36" si="6">ROUND($F30*C30,0)</f>
        <v>7661122</v>
      </c>
      <c r="I30" s="139">
        <f t="shared" si="6"/>
        <v>10104900</v>
      </c>
      <c r="J30" s="135"/>
      <c r="K30" s="138">
        <v>12</v>
      </c>
      <c r="L30" s="138"/>
      <c r="M30" s="139">
        <f t="shared" ref="M30:M36" si="7">ROUND($K30*D30,0)</f>
        <v>12125880</v>
      </c>
    </row>
    <row r="31" spans="1:14">
      <c r="A31" s="136" t="s">
        <v>100</v>
      </c>
      <c r="C31" s="135">
        <v>22471.23333333333</v>
      </c>
      <c r="D31" s="135">
        <f t="shared" si="5"/>
        <v>29639</v>
      </c>
      <c r="E31" s="135"/>
      <c r="F31" s="138">
        <v>6</v>
      </c>
      <c r="G31" s="138"/>
      <c r="H31" s="139">
        <f t="shared" si="6"/>
        <v>134827</v>
      </c>
      <c r="I31" s="139">
        <f t="shared" si="6"/>
        <v>177834</v>
      </c>
      <c r="J31" s="135"/>
      <c r="K31" s="138">
        <v>7</v>
      </c>
      <c r="L31" s="138"/>
      <c r="M31" s="139">
        <f t="shared" si="7"/>
        <v>207473</v>
      </c>
    </row>
    <row r="32" spans="1:14">
      <c r="A32" s="136" t="s">
        <v>102</v>
      </c>
      <c r="C32" s="135">
        <v>186.50049999999999</v>
      </c>
      <c r="D32" s="135">
        <f t="shared" si="5"/>
        <v>246</v>
      </c>
      <c r="E32" s="135"/>
      <c r="F32" s="138">
        <v>20</v>
      </c>
      <c r="G32" s="138"/>
      <c r="H32" s="139">
        <f t="shared" si="6"/>
        <v>3730</v>
      </c>
      <c r="I32" s="139">
        <f t="shared" si="6"/>
        <v>4920</v>
      </c>
      <c r="J32" s="135"/>
      <c r="K32" s="138">
        <v>19.5</v>
      </c>
      <c r="L32" s="138"/>
      <c r="M32" s="139">
        <f t="shared" si="7"/>
        <v>4797</v>
      </c>
    </row>
    <row r="33" spans="1:13">
      <c r="A33" s="136" t="s">
        <v>104</v>
      </c>
      <c r="C33" s="135">
        <v>228</v>
      </c>
      <c r="D33" s="135">
        <f t="shared" si="5"/>
        <v>301</v>
      </c>
      <c r="E33" s="135"/>
      <c r="F33" s="138">
        <v>12</v>
      </c>
      <c r="G33" s="138"/>
      <c r="H33" s="139">
        <f t="shared" si="6"/>
        <v>2736</v>
      </c>
      <c r="I33" s="139">
        <f t="shared" si="6"/>
        <v>3612</v>
      </c>
      <c r="J33" s="135"/>
      <c r="K33" s="138">
        <v>14.5</v>
      </c>
      <c r="L33" s="138"/>
      <c r="M33" s="139">
        <f t="shared" si="7"/>
        <v>4365</v>
      </c>
    </row>
    <row r="34" spans="1:13">
      <c r="A34" s="136" t="s">
        <v>106</v>
      </c>
      <c r="C34" s="135">
        <v>1232.9549999999999</v>
      </c>
      <c r="D34" s="135">
        <f t="shared" si="5"/>
        <v>1626</v>
      </c>
      <c r="E34" s="135"/>
      <c r="F34" s="138">
        <v>2</v>
      </c>
      <c r="G34" s="138"/>
      <c r="H34" s="139">
        <f t="shared" si="6"/>
        <v>2466</v>
      </c>
      <c r="I34" s="139">
        <f t="shared" si="6"/>
        <v>3252</v>
      </c>
      <c r="J34" s="135"/>
      <c r="K34" s="138">
        <v>2</v>
      </c>
      <c r="L34" s="138"/>
      <c r="M34" s="139">
        <f t="shared" si="7"/>
        <v>3252</v>
      </c>
    </row>
    <row r="35" spans="1:13">
      <c r="A35" s="136" t="s">
        <v>107</v>
      </c>
      <c r="C35" s="135">
        <v>40</v>
      </c>
      <c r="D35" s="135">
        <f t="shared" si="5"/>
        <v>53</v>
      </c>
      <c r="E35" s="135"/>
      <c r="F35" s="138">
        <v>22</v>
      </c>
      <c r="G35" s="138"/>
      <c r="H35" s="139">
        <f t="shared" si="6"/>
        <v>880</v>
      </c>
      <c r="I35" s="139">
        <f t="shared" si="6"/>
        <v>1166</v>
      </c>
      <c r="J35" s="135"/>
      <c r="K35" s="138">
        <v>22</v>
      </c>
      <c r="L35" s="138"/>
      <c r="M35" s="139">
        <f t="shared" si="7"/>
        <v>1166</v>
      </c>
    </row>
    <row r="36" spans="1:13">
      <c r="A36" s="136" t="s">
        <v>109</v>
      </c>
      <c r="C36" s="135">
        <v>546761</v>
      </c>
      <c r="D36" s="135">
        <v>723366.82776481612</v>
      </c>
      <c r="E36" s="135"/>
      <c r="F36" s="138">
        <v>-0.5</v>
      </c>
      <c r="G36" s="138"/>
      <c r="H36" s="139">
        <f t="shared" si="6"/>
        <v>-273381</v>
      </c>
      <c r="I36" s="139">
        <f t="shared" si="6"/>
        <v>-361683</v>
      </c>
      <c r="J36" s="135"/>
      <c r="K36" s="138">
        <v>-0.5</v>
      </c>
      <c r="L36" s="138"/>
      <c r="M36" s="139">
        <f t="shared" si="7"/>
        <v>-361683</v>
      </c>
    </row>
    <row r="37" spans="1:13">
      <c r="A37" s="136" t="s">
        <v>111</v>
      </c>
      <c r="C37" s="135">
        <v>31440</v>
      </c>
      <c r="D37" s="135">
        <f>ROUND($C37/SUM($C41:$C42)*SUM(D41:D42),0)</f>
        <v>45401</v>
      </c>
      <c r="E37" s="135"/>
      <c r="F37" s="157">
        <v>4.3559999999999999</v>
      </c>
      <c r="G37" s="138" t="s">
        <v>112</v>
      </c>
      <c r="H37" s="139">
        <f>ROUND($F37*C37/100,0)</f>
        <v>1370</v>
      </c>
      <c r="I37" s="139">
        <f>ROUND($F37*D37/100,0)</f>
        <v>1978</v>
      </c>
      <c r="J37" s="135"/>
      <c r="K37" s="157">
        <v>4.3559999999999999</v>
      </c>
      <c r="L37" s="138" t="s">
        <v>112</v>
      </c>
      <c r="M37" s="139">
        <f t="shared" ref="M37:M45" si="8">ROUND($K37*D37/100,0)</f>
        <v>1978</v>
      </c>
    </row>
    <row r="38" spans="1:13">
      <c r="A38" s="136" t="s">
        <v>114</v>
      </c>
      <c r="C38" s="135">
        <v>203190</v>
      </c>
      <c r="D38" s="135">
        <f>ROUND($C38/SUM($C41:$C42)*SUM(D41:D42),0)</f>
        <v>293414</v>
      </c>
      <c r="E38" s="135"/>
      <c r="F38" s="157">
        <v>-1.6334</v>
      </c>
      <c r="G38" s="138" t="s">
        <v>112</v>
      </c>
      <c r="H38" s="139">
        <f>ROUND($F38*C38/100,0)</f>
        <v>-3319</v>
      </c>
      <c r="I38" s="139">
        <f>ROUND($F38*D38/100,0)</f>
        <v>-4793</v>
      </c>
      <c r="J38" s="135"/>
      <c r="K38" s="157">
        <v>-1.6334</v>
      </c>
      <c r="L38" s="138" t="s">
        <v>112</v>
      </c>
      <c r="M38" s="139">
        <f t="shared" si="8"/>
        <v>-4793</v>
      </c>
    </row>
    <row r="39" spans="1:13">
      <c r="A39" s="136" t="s">
        <v>131</v>
      </c>
      <c r="C39" s="135">
        <v>124577</v>
      </c>
      <c r="D39" s="135">
        <f>$C39/($C$47)*D$47</f>
        <v>168932.71065862276</v>
      </c>
      <c r="E39" s="135"/>
      <c r="F39" s="157">
        <v>25.353200000000001</v>
      </c>
      <c r="G39" s="138" t="s">
        <v>112</v>
      </c>
      <c r="H39" s="139">
        <f t="shared" ref="H39:I45" si="9">ROUND($F39*C39/100,0)</f>
        <v>31584</v>
      </c>
      <c r="I39" s="139">
        <f t="shared" si="9"/>
        <v>42830</v>
      </c>
      <c r="J39" s="135"/>
      <c r="K39" s="157">
        <v>25.967742464019782</v>
      </c>
      <c r="L39" s="138" t="s">
        <v>112</v>
      </c>
      <c r="M39" s="139">
        <f t="shared" si="8"/>
        <v>43868</v>
      </c>
    </row>
    <row r="40" spans="1:13">
      <c r="A40" s="136" t="s">
        <v>132</v>
      </c>
      <c r="C40" s="135">
        <v>1140971</v>
      </c>
      <c r="D40" s="135">
        <f>$C40/($C$47)*D$47</f>
        <v>1547214.363910509</v>
      </c>
      <c r="E40" s="135"/>
      <c r="F40" s="157">
        <v>5.2004000000000001</v>
      </c>
      <c r="G40" s="138" t="s">
        <v>112</v>
      </c>
      <c r="H40" s="139">
        <f t="shared" si="9"/>
        <v>59335</v>
      </c>
      <c r="I40" s="139">
        <f t="shared" si="9"/>
        <v>80461</v>
      </c>
      <c r="J40" s="135"/>
      <c r="K40" s="157">
        <v>5.3264537774280356</v>
      </c>
      <c r="L40" s="138" t="s">
        <v>112</v>
      </c>
      <c r="M40" s="139">
        <f t="shared" si="8"/>
        <v>82412</v>
      </c>
    </row>
    <row r="41" spans="1:13">
      <c r="A41" s="136" t="s">
        <v>116</v>
      </c>
      <c r="C41" s="135">
        <v>76905411</v>
      </c>
      <c r="D41" s="135">
        <v>111054258</v>
      </c>
      <c r="E41" s="135"/>
      <c r="F41" s="157">
        <v>9.0279000000000007</v>
      </c>
      <c r="G41" s="163" t="s">
        <v>112</v>
      </c>
      <c r="H41" s="139">
        <f t="shared" si="9"/>
        <v>6942944</v>
      </c>
      <c r="I41" s="139">
        <f t="shared" si="9"/>
        <v>10025867</v>
      </c>
      <c r="J41" s="135"/>
      <c r="K41" s="157">
        <v>9.2813999999999997</v>
      </c>
      <c r="L41" s="163" t="s">
        <v>112</v>
      </c>
      <c r="M41" s="139">
        <f t="shared" si="8"/>
        <v>10307390</v>
      </c>
    </row>
    <row r="42" spans="1:13">
      <c r="A42" s="136" t="s">
        <v>118</v>
      </c>
      <c r="C42" s="135">
        <v>80408666</v>
      </c>
      <c r="D42" s="135">
        <v>116113088</v>
      </c>
      <c r="E42" s="135"/>
      <c r="F42" s="157">
        <v>11.721</v>
      </c>
      <c r="G42" s="163" t="s">
        <v>112</v>
      </c>
      <c r="H42" s="139">
        <f t="shared" si="9"/>
        <v>9424700</v>
      </c>
      <c r="I42" s="139">
        <f t="shared" si="9"/>
        <v>13609615</v>
      </c>
      <c r="J42" s="135"/>
      <c r="K42" s="157">
        <v>11.974500000000001</v>
      </c>
      <c r="L42" s="163" t="s">
        <v>112</v>
      </c>
      <c r="M42" s="139">
        <f t="shared" si="8"/>
        <v>13903962</v>
      </c>
    </row>
    <row r="43" spans="1:13">
      <c r="A43" s="136" t="s">
        <v>120</v>
      </c>
      <c r="C43" s="135">
        <v>154938340</v>
      </c>
      <c r="D43" s="135">
        <v>204102884</v>
      </c>
      <c r="E43" s="135"/>
      <c r="F43" s="170">
        <v>7.9893000000000001</v>
      </c>
      <c r="G43" s="163" t="s">
        <v>112</v>
      </c>
      <c r="H43" s="139">
        <f t="shared" si="9"/>
        <v>12378489</v>
      </c>
      <c r="I43" s="139">
        <f t="shared" si="9"/>
        <v>16306392</v>
      </c>
      <c r="J43" s="135"/>
      <c r="K43" s="157">
        <v>8.2135999999999996</v>
      </c>
      <c r="L43" s="163" t="s">
        <v>112</v>
      </c>
      <c r="M43" s="139">
        <f t="shared" si="8"/>
        <v>16764194</v>
      </c>
    </row>
    <row r="44" spans="1:13">
      <c r="A44" s="136" t="s">
        <v>121</v>
      </c>
      <c r="C44" s="135">
        <v>156110719</v>
      </c>
      <c r="D44" s="135">
        <v>205647278</v>
      </c>
      <c r="E44" s="135"/>
      <c r="F44" s="170">
        <v>10.3725</v>
      </c>
      <c r="G44" s="163" t="s">
        <v>112</v>
      </c>
      <c r="H44" s="139">
        <f t="shared" si="9"/>
        <v>16192584</v>
      </c>
      <c r="I44" s="139">
        <f t="shared" si="9"/>
        <v>21330764</v>
      </c>
      <c r="J44" s="135"/>
      <c r="K44" s="157">
        <v>10.5968</v>
      </c>
      <c r="L44" s="163" t="s">
        <v>112</v>
      </c>
      <c r="M44" s="139">
        <f t="shared" si="8"/>
        <v>21792031</v>
      </c>
    </row>
    <row r="45" spans="1:13">
      <c r="A45" s="172" t="s">
        <v>123</v>
      </c>
      <c r="C45" s="135">
        <v>0</v>
      </c>
      <c r="D45" s="137"/>
      <c r="E45" s="137"/>
      <c r="F45" s="174">
        <v>11.912599999999999</v>
      </c>
      <c r="G45" s="13" t="s">
        <v>112</v>
      </c>
      <c r="H45" s="139">
        <f t="shared" si="9"/>
        <v>0</v>
      </c>
      <c r="I45" s="139">
        <f t="shared" si="9"/>
        <v>0</v>
      </c>
      <c r="J45" s="137"/>
      <c r="K45" s="157">
        <v>12.0525</v>
      </c>
      <c r="L45" s="13" t="s">
        <v>112</v>
      </c>
      <c r="M45" s="139">
        <f t="shared" si="8"/>
        <v>0</v>
      </c>
    </row>
    <row r="46" spans="1:13">
      <c r="A46" s="172" t="s">
        <v>125</v>
      </c>
      <c r="B46" s="173"/>
      <c r="C46" s="135">
        <v>1322528</v>
      </c>
      <c r="D46" s="135"/>
      <c r="E46" s="135"/>
      <c r="F46" s="174"/>
      <c r="G46" s="13"/>
      <c r="H46" s="139">
        <v>175822</v>
      </c>
      <c r="I46" s="139"/>
      <c r="J46" s="135"/>
      <c r="K46" s="174"/>
      <c r="L46" s="13"/>
      <c r="M46" s="139"/>
    </row>
    <row r="47" spans="1:13" ht="16.5" thickBot="1">
      <c r="A47" s="176" t="s">
        <v>127</v>
      </c>
      <c r="B47" s="177"/>
      <c r="C47" s="178">
        <f>SUM(C39:C46)</f>
        <v>470951212</v>
      </c>
      <c r="D47" s="178">
        <v>638633654.93729746</v>
      </c>
      <c r="E47" s="178"/>
      <c r="F47" s="177"/>
      <c r="G47" s="177"/>
      <c r="H47" s="179">
        <f>SUM(H30:H46)</f>
        <v>52735889</v>
      </c>
      <c r="I47" s="179">
        <f>SUM(I30:I46)</f>
        <v>71327115</v>
      </c>
      <c r="J47" s="178"/>
      <c r="K47" s="177"/>
      <c r="L47" s="177"/>
      <c r="M47" s="179">
        <f>SUM(M30:M46)</f>
        <v>74876292</v>
      </c>
    </row>
    <row r="48" spans="1:13" ht="16.5" thickTop="1">
      <c r="C48" s="135"/>
      <c r="D48" s="135"/>
      <c r="E48" s="135"/>
      <c r="J48" s="135"/>
    </row>
    <row r="49" spans="1:13">
      <c r="A49" s="133" t="s">
        <v>451</v>
      </c>
      <c r="C49" s="135"/>
      <c r="D49" s="135"/>
      <c r="E49" s="135"/>
      <c r="J49" s="135"/>
    </row>
    <row r="50" spans="1:13">
      <c r="A50" s="136" t="s">
        <v>97</v>
      </c>
      <c r="C50" s="135">
        <f>SUM(C51:C54)</f>
        <v>5227.8718333333336</v>
      </c>
      <c r="D50" s="135">
        <v>4618.4473025266461</v>
      </c>
      <c r="E50" s="135"/>
      <c r="F50" s="138"/>
      <c r="G50" s="138"/>
      <c r="H50" s="139"/>
      <c r="I50" s="139"/>
      <c r="J50" s="135"/>
      <c r="K50" s="138"/>
      <c r="L50" s="138"/>
      <c r="M50" s="139"/>
    </row>
    <row r="51" spans="1:13">
      <c r="A51" s="136" t="s">
        <v>98</v>
      </c>
      <c r="C51" s="135">
        <v>3989.7719999999999</v>
      </c>
      <c r="D51" s="135">
        <f t="shared" ref="D51:D55" si="10">ROUND($C51/$C$50*D$50,0)</f>
        <v>3525</v>
      </c>
      <c r="E51" s="135"/>
      <c r="F51" s="138">
        <v>10</v>
      </c>
      <c r="G51" s="138"/>
      <c r="H51" s="139">
        <f t="shared" ref="H51:I57" si="11">ROUND($F51*C51,0)</f>
        <v>39898</v>
      </c>
      <c r="I51" s="139">
        <f t="shared" si="11"/>
        <v>35250</v>
      </c>
      <c r="J51" s="135"/>
      <c r="K51" s="138">
        <v>12</v>
      </c>
      <c r="L51" s="138"/>
      <c r="M51" s="139">
        <f t="shared" ref="M51:M57" si="12">ROUND($K51*D51,0)</f>
        <v>42300</v>
      </c>
    </row>
    <row r="52" spans="1:13">
      <c r="A52" s="136" t="s">
        <v>100</v>
      </c>
      <c r="C52" s="135">
        <v>1226.033333333334</v>
      </c>
      <c r="D52" s="135">
        <f t="shared" si="10"/>
        <v>1083</v>
      </c>
      <c r="E52" s="135"/>
      <c r="F52" s="138">
        <v>6</v>
      </c>
      <c r="G52" s="138"/>
      <c r="H52" s="139">
        <f t="shared" si="11"/>
        <v>7356</v>
      </c>
      <c r="I52" s="139">
        <f t="shared" si="11"/>
        <v>6498</v>
      </c>
      <c r="J52" s="135"/>
      <c r="K52" s="138">
        <v>7</v>
      </c>
      <c r="L52" s="138"/>
      <c r="M52" s="139">
        <f t="shared" si="12"/>
        <v>7581</v>
      </c>
    </row>
    <row r="53" spans="1:13">
      <c r="A53" s="136" t="s">
        <v>102</v>
      </c>
      <c r="C53" s="135">
        <v>12.0665</v>
      </c>
      <c r="D53" s="135">
        <f t="shared" si="10"/>
        <v>11</v>
      </c>
      <c r="E53" s="135"/>
      <c r="F53" s="138">
        <v>20</v>
      </c>
      <c r="G53" s="138"/>
      <c r="H53" s="139">
        <f t="shared" si="11"/>
        <v>241</v>
      </c>
      <c r="I53" s="139">
        <f t="shared" si="11"/>
        <v>220</v>
      </c>
      <c r="J53" s="135"/>
      <c r="K53" s="138">
        <v>19.5</v>
      </c>
      <c r="L53" s="138"/>
      <c r="M53" s="139">
        <f t="shared" si="12"/>
        <v>215</v>
      </c>
    </row>
    <row r="54" spans="1:13">
      <c r="A54" s="136" t="s">
        <v>104</v>
      </c>
      <c r="C54" s="135">
        <v>0</v>
      </c>
      <c r="D54" s="135">
        <f t="shared" si="10"/>
        <v>0</v>
      </c>
      <c r="E54" s="135"/>
      <c r="F54" s="138">
        <v>12</v>
      </c>
      <c r="G54" s="138"/>
      <c r="H54" s="139">
        <f t="shared" si="11"/>
        <v>0</v>
      </c>
      <c r="I54" s="139">
        <f t="shared" si="11"/>
        <v>0</v>
      </c>
      <c r="J54" s="135"/>
      <c r="K54" s="138">
        <v>14.5</v>
      </c>
      <c r="L54" s="138"/>
      <c r="M54" s="139">
        <f t="shared" si="12"/>
        <v>0</v>
      </c>
    </row>
    <row r="55" spans="1:13">
      <c r="A55" s="136" t="s">
        <v>106</v>
      </c>
      <c r="C55" s="135">
        <v>0</v>
      </c>
      <c r="D55" s="135">
        <f t="shared" si="10"/>
        <v>0</v>
      </c>
      <c r="E55" s="135"/>
      <c r="F55" s="138">
        <v>2</v>
      </c>
      <c r="G55" s="138"/>
      <c r="H55" s="139">
        <f t="shared" si="11"/>
        <v>0</v>
      </c>
      <c r="I55" s="139">
        <f t="shared" si="11"/>
        <v>0</v>
      </c>
      <c r="J55" s="135"/>
      <c r="K55" s="138">
        <v>2</v>
      </c>
      <c r="L55" s="138"/>
      <c r="M55" s="139">
        <f t="shared" si="12"/>
        <v>0</v>
      </c>
    </row>
    <row r="56" spans="1:13">
      <c r="A56" s="136" t="s">
        <v>107</v>
      </c>
      <c r="C56" s="135">
        <v>8</v>
      </c>
      <c r="D56" s="135">
        <f>ROUND($C56/$C$50*D$50,0)</f>
        <v>7</v>
      </c>
      <c r="E56" s="135"/>
      <c r="F56" s="138">
        <v>22</v>
      </c>
      <c r="G56" s="138"/>
      <c r="H56" s="139">
        <f t="shared" si="11"/>
        <v>176</v>
      </c>
      <c r="I56" s="139">
        <f t="shared" si="11"/>
        <v>154</v>
      </c>
      <c r="J56" s="135"/>
      <c r="K56" s="138">
        <v>22</v>
      </c>
      <c r="L56" s="138"/>
      <c r="M56" s="139">
        <f t="shared" si="12"/>
        <v>154</v>
      </c>
    </row>
    <row r="57" spans="1:13">
      <c r="A57" s="136" t="s">
        <v>109</v>
      </c>
      <c r="C57" s="135">
        <v>3683</v>
      </c>
      <c r="D57" s="135">
        <v>3210.2513889314941</v>
      </c>
      <c r="E57" s="135"/>
      <c r="F57" s="138">
        <v>-0.5</v>
      </c>
      <c r="G57" s="138"/>
      <c r="H57" s="139">
        <f t="shared" si="11"/>
        <v>-1842</v>
      </c>
      <c r="I57" s="139">
        <f t="shared" si="11"/>
        <v>-1605</v>
      </c>
      <c r="J57" s="135"/>
      <c r="K57" s="138">
        <v>-0.5</v>
      </c>
      <c r="L57" s="138"/>
      <c r="M57" s="139">
        <f t="shared" si="12"/>
        <v>-1605</v>
      </c>
    </row>
    <row r="58" spans="1:13">
      <c r="A58" s="136" t="s">
        <v>111</v>
      </c>
      <c r="C58" s="135">
        <v>341910</v>
      </c>
      <c r="D58" s="135">
        <f>ROUND($C58/SUM($C60:$C61)*SUM(D60:D61),0)</f>
        <v>313011</v>
      </c>
      <c r="E58" s="135"/>
      <c r="F58" s="157">
        <v>4.3559999999999999</v>
      </c>
      <c r="G58" s="138" t="s">
        <v>112</v>
      </c>
      <c r="H58" s="139">
        <f t="shared" ref="H58:I64" si="13">ROUND($F58*C58/100,0)</f>
        <v>14894</v>
      </c>
      <c r="I58" s="139">
        <f t="shared" si="13"/>
        <v>13635</v>
      </c>
      <c r="J58" s="135"/>
      <c r="K58" s="157">
        <v>4.3559999999999999</v>
      </c>
      <c r="L58" s="138" t="s">
        <v>112</v>
      </c>
      <c r="M58" s="139">
        <f t="shared" ref="M58:M64" si="14">ROUND($K58*D58/100,0)</f>
        <v>13635</v>
      </c>
    </row>
    <row r="59" spans="1:13">
      <c r="A59" s="136" t="s">
        <v>114</v>
      </c>
      <c r="C59" s="135">
        <v>1103124.0297625889</v>
      </c>
      <c r="D59" s="135">
        <f>ROUND($C59/SUM($C60:$C61)*SUM(D60:D61),0)</f>
        <v>1009884</v>
      </c>
      <c r="E59" s="135"/>
      <c r="F59" s="157">
        <v>-1.6334</v>
      </c>
      <c r="G59" s="138" t="s">
        <v>112</v>
      </c>
      <c r="H59" s="139">
        <f t="shared" si="13"/>
        <v>-18018</v>
      </c>
      <c r="I59" s="139">
        <f t="shared" si="13"/>
        <v>-16495</v>
      </c>
      <c r="J59" s="135"/>
      <c r="K59" s="157">
        <v>-1.6334</v>
      </c>
      <c r="L59" s="138" t="s">
        <v>112</v>
      </c>
      <c r="M59" s="139">
        <f t="shared" si="14"/>
        <v>-16495</v>
      </c>
    </row>
    <row r="60" spans="1:13">
      <c r="A60" s="136" t="s">
        <v>116</v>
      </c>
      <c r="C60" s="135">
        <v>604819</v>
      </c>
      <c r="D60" s="137">
        <v>553698</v>
      </c>
      <c r="E60" s="137"/>
      <c r="F60" s="157">
        <v>9.0279000000000007</v>
      </c>
      <c r="G60" s="163" t="s">
        <v>112</v>
      </c>
      <c r="H60" s="139">
        <f t="shared" si="13"/>
        <v>54602</v>
      </c>
      <c r="I60" s="139">
        <f t="shared" si="13"/>
        <v>49987</v>
      </c>
      <c r="J60" s="137"/>
      <c r="K60" s="157">
        <v>9.2813999999999997</v>
      </c>
      <c r="L60" s="163" t="s">
        <v>112</v>
      </c>
      <c r="M60" s="139">
        <f t="shared" si="14"/>
        <v>51391</v>
      </c>
    </row>
    <row r="61" spans="1:13">
      <c r="A61" s="136" t="s">
        <v>118</v>
      </c>
      <c r="C61" s="135">
        <v>840214.02976258902</v>
      </c>
      <c r="D61" s="137">
        <v>769196</v>
      </c>
      <c r="E61" s="137"/>
      <c r="F61" s="157">
        <v>11.721</v>
      </c>
      <c r="G61" s="163" t="s">
        <v>112</v>
      </c>
      <c r="H61" s="139">
        <f t="shared" si="13"/>
        <v>98481</v>
      </c>
      <c r="I61" s="139">
        <f t="shared" si="13"/>
        <v>90157</v>
      </c>
      <c r="J61" s="137"/>
      <c r="K61" s="157">
        <v>11.974500000000001</v>
      </c>
      <c r="L61" s="163" t="s">
        <v>112</v>
      </c>
      <c r="M61" s="139">
        <f t="shared" si="14"/>
        <v>92107</v>
      </c>
    </row>
    <row r="62" spans="1:13">
      <c r="A62" s="136" t="s">
        <v>120</v>
      </c>
      <c r="B62" s="169"/>
      <c r="C62" s="135">
        <v>1206868</v>
      </c>
      <c r="D62" s="137">
        <v>986937</v>
      </c>
      <c r="E62" s="137"/>
      <c r="F62" s="170">
        <v>7.9893000000000001</v>
      </c>
      <c r="G62" s="163" t="s">
        <v>112</v>
      </c>
      <c r="H62" s="139">
        <f t="shared" si="13"/>
        <v>96420</v>
      </c>
      <c r="I62" s="139">
        <f t="shared" si="13"/>
        <v>78849</v>
      </c>
      <c r="J62" s="137"/>
      <c r="K62" s="170">
        <v>8.2135999999999996</v>
      </c>
      <c r="L62" s="163" t="s">
        <v>112</v>
      </c>
      <c r="M62" s="139">
        <f t="shared" si="14"/>
        <v>81063</v>
      </c>
    </row>
    <row r="63" spans="1:13">
      <c r="A63" s="136" t="s">
        <v>121</v>
      </c>
      <c r="B63" s="169"/>
      <c r="C63" s="135">
        <v>1283232.8565330321</v>
      </c>
      <c r="D63" s="137">
        <v>1049386</v>
      </c>
      <c r="E63" s="137"/>
      <c r="F63" s="170">
        <v>10.3725</v>
      </c>
      <c r="G63" s="163" t="s">
        <v>112</v>
      </c>
      <c r="H63" s="139">
        <f t="shared" si="13"/>
        <v>133103</v>
      </c>
      <c r="I63" s="139">
        <f t="shared" si="13"/>
        <v>108848</v>
      </c>
      <c r="J63" s="137"/>
      <c r="K63" s="170">
        <v>10.5968</v>
      </c>
      <c r="L63" s="163" t="s">
        <v>112</v>
      </c>
      <c r="M63" s="139">
        <f t="shared" si="14"/>
        <v>111201</v>
      </c>
    </row>
    <row r="64" spans="1:13">
      <c r="A64" s="172" t="s">
        <v>123</v>
      </c>
      <c r="B64" s="173"/>
      <c r="C64" s="135">
        <v>0</v>
      </c>
      <c r="D64" s="137"/>
      <c r="E64" s="137"/>
      <c r="F64" s="174">
        <v>11.912599999999999</v>
      </c>
      <c r="G64" s="13" t="s">
        <v>112</v>
      </c>
      <c r="H64" s="139">
        <f t="shared" si="13"/>
        <v>0</v>
      </c>
      <c r="I64" s="139">
        <f t="shared" si="13"/>
        <v>0</v>
      </c>
      <c r="J64" s="137"/>
      <c r="K64" s="174">
        <v>12.0525</v>
      </c>
      <c r="L64" s="13" t="s">
        <v>112</v>
      </c>
      <c r="M64" s="139">
        <f t="shared" si="14"/>
        <v>0</v>
      </c>
    </row>
    <row r="65" spans="1:13">
      <c r="A65" s="172" t="s">
        <v>125</v>
      </c>
      <c r="B65" s="173"/>
      <c r="C65" s="135">
        <v>11387</v>
      </c>
      <c r="D65" s="135"/>
      <c r="E65" s="135"/>
      <c r="F65" s="174"/>
      <c r="G65" s="13"/>
      <c r="H65" s="139">
        <v>1458</v>
      </c>
      <c r="I65" s="139"/>
      <c r="J65" s="135"/>
      <c r="K65" s="174"/>
      <c r="L65" s="13"/>
      <c r="M65" s="139"/>
    </row>
    <row r="66" spans="1:13" ht="16.5" thickBot="1">
      <c r="A66" s="176" t="s">
        <v>127</v>
      </c>
      <c r="B66" s="177"/>
      <c r="C66" s="178">
        <f>SUM(C60:C65)</f>
        <v>3946520.8862956213</v>
      </c>
      <c r="D66" s="178">
        <v>3359216.5999275949</v>
      </c>
      <c r="E66" s="178"/>
      <c r="F66" s="177"/>
      <c r="G66" s="177"/>
      <c r="H66" s="179">
        <f>SUM(H51:H65)</f>
        <v>426769</v>
      </c>
      <c r="I66" s="179">
        <f>SUM(I51:I65)</f>
        <v>365498</v>
      </c>
      <c r="J66" s="178"/>
      <c r="K66" s="177"/>
      <c r="L66" s="177"/>
      <c r="M66" s="179">
        <f>SUM(M51:M65)</f>
        <v>381547</v>
      </c>
    </row>
    <row r="67" spans="1:13" ht="16.5" thickTop="1">
      <c r="C67" s="135"/>
      <c r="D67" s="135"/>
      <c r="E67" s="135"/>
      <c r="J67" s="135"/>
    </row>
    <row r="68" spans="1:13">
      <c r="A68" s="182" t="s">
        <v>452</v>
      </c>
      <c r="C68" s="135"/>
      <c r="D68" s="135"/>
      <c r="E68" s="135"/>
      <c r="F68" s="132"/>
      <c r="G68" s="132"/>
      <c r="J68" s="135"/>
      <c r="K68" s="132"/>
      <c r="L68" s="132"/>
    </row>
    <row r="69" spans="1:13">
      <c r="A69" s="136" t="s">
        <v>97</v>
      </c>
      <c r="B69" s="132"/>
      <c r="C69" s="135">
        <f>SUM(C70:C73)</f>
        <v>8749.5013333333336</v>
      </c>
      <c r="D69" s="135">
        <v>7729.5526974733539</v>
      </c>
      <c r="E69" s="135"/>
      <c r="F69" s="183"/>
      <c r="G69" s="183"/>
      <c r="H69" s="139"/>
      <c r="I69" s="139"/>
      <c r="J69" s="135"/>
      <c r="K69" s="183"/>
      <c r="L69" s="183"/>
      <c r="M69" s="139"/>
    </row>
    <row r="70" spans="1:13">
      <c r="A70" s="136" t="s">
        <v>98</v>
      </c>
      <c r="C70" s="135">
        <v>8205.6679999999997</v>
      </c>
      <c r="D70" s="135">
        <f>ROUND($C70/$C$69*D$69,0)</f>
        <v>7249</v>
      </c>
      <c r="E70" s="135"/>
      <c r="F70" s="183">
        <v>10</v>
      </c>
      <c r="G70" s="183"/>
      <c r="H70" s="139">
        <f t="shared" ref="H70:I76" si="15">ROUND($F70*C70,0)</f>
        <v>82057</v>
      </c>
      <c r="I70" s="139">
        <f t="shared" si="15"/>
        <v>72490</v>
      </c>
      <c r="J70" s="135"/>
      <c r="K70" s="183">
        <v>12</v>
      </c>
      <c r="L70" s="183"/>
      <c r="M70" s="139">
        <f t="shared" ref="M70:M76" si="16">ROUND($K70*D70,0)</f>
        <v>86988</v>
      </c>
    </row>
    <row r="71" spans="1:13">
      <c r="A71" s="136" t="s">
        <v>100</v>
      </c>
      <c r="C71" s="135">
        <v>543.83333333333303</v>
      </c>
      <c r="D71" s="135">
        <f t="shared" ref="D71:D75" si="17">ROUND($C71/$C$69*D$69,0)</f>
        <v>480</v>
      </c>
      <c r="E71" s="135"/>
      <c r="F71" s="183">
        <v>6</v>
      </c>
      <c r="G71" s="183"/>
      <c r="H71" s="139">
        <f t="shared" si="15"/>
        <v>3263</v>
      </c>
      <c r="I71" s="139">
        <f t="shared" si="15"/>
        <v>2880</v>
      </c>
      <c r="J71" s="135"/>
      <c r="K71" s="183">
        <v>7</v>
      </c>
      <c r="L71" s="183"/>
      <c r="M71" s="139">
        <f t="shared" si="16"/>
        <v>3360</v>
      </c>
    </row>
    <row r="72" spans="1:13">
      <c r="A72" s="136" t="s">
        <v>102</v>
      </c>
      <c r="C72" s="135">
        <v>0</v>
      </c>
      <c r="D72" s="135">
        <f t="shared" si="17"/>
        <v>0</v>
      </c>
      <c r="E72" s="135"/>
      <c r="F72" s="183">
        <v>20</v>
      </c>
      <c r="G72" s="183"/>
      <c r="H72" s="139">
        <f t="shared" si="15"/>
        <v>0</v>
      </c>
      <c r="I72" s="139">
        <f t="shared" si="15"/>
        <v>0</v>
      </c>
      <c r="J72" s="135"/>
      <c r="K72" s="183">
        <v>19.5</v>
      </c>
      <c r="L72" s="183"/>
      <c r="M72" s="139">
        <f t="shared" si="16"/>
        <v>0</v>
      </c>
    </row>
    <row r="73" spans="1:13">
      <c r="A73" s="136" t="s">
        <v>104</v>
      </c>
      <c r="C73" s="135">
        <v>0</v>
      </c>
      <c r="D73" s="135">
        <f t="shared" si="17"/>
        <v>0</v>
      </c>
      <c r="E73" s="135"/>
      <c r="F73" s="183">
        <v>12</v>
      </c>
      <c r="G73" s="183"/>
      <c r="H73" s="139">
        <f t="shared" si="15"/>
        <v>0</v>
      </c>
      <c r="I73" s="139">
        <f t="shared" si="15"/>
        <v>0</v>
      </c>
      <c r="J73" s="135"/>
      <c r="K73" s="183">
        <v>14.5</v>
      </c>
      <c r="L73" s="183"/>
      <c r="M73" s="139">
        <f t="shared" si="16"/>
        <v>0</v>
      </c>
    </row>
    <row r="74" spans="1:13">
      <c r="A74" s="136" t="s">
        <v>106</v>
      </c>
      <c r="C74" s="135">
        <v>0</v>
      </c>
      <c r="D74" s="135">
        <f t="shared" si="17"/>
        <v>0</v>
      </c>
      <c r="E74" s="135"/>
      <c r="F74" s="138">
        <v>2</v>
      </c>
      <c r="G74" s="138"/>
      <c r="H74" s="139">
        <f t="shared" si="15"/>
        <v>0</v>
      </c>
      <c r="I74" s="139">
        <f t="shared" si="15"/>
        <v>0</v>
      </c>
      <c r="J74" s="135"/>
      <c r="K74" s="183">
        <v>2</v>
      </c>
      <c r="L74" s="138"/>
      <c r="M74" s="139">
        <f t="shared" si="16"/>
        <v>0</v>
      </c>
    </row>
    <row r="75" spans="1:13">
      <c r="A75" s="136" t="s">
        <v>107</v>
      </c>
      <c r="C75" s="135">
        <v>0</v>
      </c>
      <c r="D75" s="135">
        <f t="shared" si="17"/>
        <v>0</v>
      </c>
      <c r="E75" s="135"/>
      <c r="F75" s="138">
        <v>22</v>
      </c>
      <c r="G75" s="138"/>
      <c r="H75" s="139">
        <f t="shared" si="15"/>
        <v>0</v>
      </c>
      <c r="I75" s="139">
        <f t="shared" si="15"/>
        <v>0</v>
      </c>
      <c r="J75" s="135"/>
      <c r="K75" s="183">
        <v>22</v>
      </c>
      <c r="L75" s="138"/>
      <c r="M75" s="139">
        <f t="shared" si="16"/>
        <v>0</v>
      </c>
    </row>
    <row r="76" spans="1:13">
      <c r="A76" s="136" t="s">
        <v>109</v>
      </c>
      <c r="C76" s="135">
        <v>7279</v>
      </c>
      <c r="D76" s="135">
        <v>5372.7596435511878</v>
      </c>
      <c r="E76" s="135"/>
      <c r="F76" s="138">
        <v>-0.5</v>
      </c>
      <c r="G76" s="138"/>
      <c r="H76" s="139">
        <f t="shared" si="15"/>
        <v>-3640</v>
      </c>
      <c r="I76" s="139">
        <f t="shared" si="15"/>
        <v>-2686</v>
      </c>
      <c r="J76" s="135"/>
      <c r="K76" s="183">
        <v>-0.5</v>
      </c>
      <c r="L76" s="138"/>
      <c r="M76" s="139">
        <f t="shared" si="16"/>
        <v>-2686</v>
      </c>
    </row>
    <row r="77" spans="1:13">
      <c r="A77" s="172" t="s">
        <v>131</v>
      </c>
      <c r="B77" s="132"/>
      <c r="C77" s="135">
        <v>1855246</v>
      </c>
      <c r="D77" s="135">
        <f>$C77/($C$81-$C$79-$C$80)*D$81</f>
        <v>1583597.937681712</v>
      </c>
      <c r="E77" s="135"/>
      <c r="F77" s="184">
        <v>25.353200000000001</v>
      </c>
      <c r="G77" s="13" t="s">
        <v>112</v>
      </c>
      <c r="H77" s="139">
        <f t="shared" ref="H77:I79" si="18">ROUND($F77*C77/100,0)</f>
        <v>470364</v>
      </c>
      <c r="I77" s="139">
        <f t="shared" si="18"/>
        <v>401493</v>
      </c>
      <c r="J77" s="135"/>
      <c r="K77" s="184">
        <v>25.967742464019782</v>
      </c>
      <c r="L77" s="13" t="s">
        <v>112</v>
      </c>
      <c r="M77" s="139">
        <f>ROUND($K77*D77/100,0)</f>
        <v>411225</v>
      </c>
    </row>
    <row r="78" spans="1:13">
      <c r="A78" s="172" t="s">
        <v>132</v>
      </c>
      <c r="B78" s="132"/>
      <c r="C78" s="135">
        <v>9727968</v>
      </c>
      <c r="D78" s="135">
        <f>$C78/($C$81-$C$79-$C$80)*D$81</f>
        <v>8303583.4938513217</v>
      </c>
      <c r="E78" s="135"/>
      <c r="F78" s="184">
        <v>5.2004000000000001</v>
      </c>
      <c r="G78" s="13" t="s">
        <v>112</v>
      </c>
      <c r="H78" s="139">
        <f t="shared" si="18"/>
        <v>505893</v>
      </c>
      <c r="I78" s="139">
        <f t="shared" si="18"/>
        <v>431820</v>
      </c>
      <c r="J78" s="135"/>
      <c r="K78" s="184">
        <v>5.3264537774280356</v>
      </c>
      <c r="L78" s="13" t="s">
        <v>112</v>
      </c>
      <c r="M78" s="139">
        <f>ROUND($K78*D78/100,0)</f>
        <v>442287</v>
      </c>
    </row>
    <row r="79" spans="1:13">
      <c r="A79" s="172" t="s">
        <v>123</v>
      </c>
      <c r="B79" s="173"/>
      <c r="C79" s="135">
        <v>0</v>
      </c>
      <c r="D79" s="137"/>
      <c r="E79" s="137"/>
      <c r="F79" s="174">
        <v>11.912599999999999</v>
      </c>
      <c r="G79" s="13" t="s">
        <v>112</v>
      </c>
      <c r="H79" s="139">
        <f t="shared" si="18"/>
        <v>0</v>
      </c>
      <c r="I79" s="139">
        <f t="shared" si="18"/>
        <v>0</v>
      </c>
      <c r="J79" s="137"/>
      <c r="K79" s="174">
        <v>12.0525</v>
      </c>
      <c r="L79" s="13" t="s">
        <v>112</v>
      </c>
      <c r="M79" s="139">
        <f>ROUND($K79*D79/100,0)</f>
        <v>0</v>
      </c>
    </row>
    <row r="80" spans="1:13">
      <c r="A80" s="172" t="s">
        <v>125</v>
      </c>
      <c r="B80" s="173"/>
      <c r="C80" s="135">
        <v>32580</v>
      </c>
      <c r="D80" s="135"/>
      <c r="E80" s="135"/>
      <c r="F80" s="174"/>
      <c r="G80" s="13"/>
      <c r="H80" s="139">
        <v>3541</v>
      </c>
      <c r="I80" s="139"/>
      <c r="J80" s="135"/>
      <c r="K80" s="174"/>
      <c r="L80" s="13"/>
      <c r="M80" s="139"/>
    </row>
    <row r="81" spans="1:13" ht="16.5" thickBot="1">
      <c r="A81" s="176" t="s">
        <v>127</v>
      </c>
      <c r="B81" s="177"/>
      <c r="C81" s="178">
        <f>SUM(C77:C80)</f>
        <v>11615794</v>
      </c>
      <c r="D81" s="178">
        <v>9887181.431533033</v>
      </c>
      <c r="E81" s="178"/>
      <c r="F81" s="177"/>
      <c r="G81" s="177"/>
      <c r="H81" s="179">
        <f>SUM(H70:H80)</f>
        <v>1061478</v>
      </c>
      <c r="I81" s="179">
        <f>SUM(I70:I80)</f>
        <v>905997</v>
      </c>
      <c r="J81" s="178"/>
      <c r="K81" s="177"/>
      <c r="L81" s="177"/>
      <c r="M81" s="179">
        <f>SUM(M70:M80)</f>
        <v>941174</v>
      </c>
    </row>
    <row r="82" spans="1:13" ht="16.5" thickTop="1">
      <c r="C82" s="135"/>
      <c r="D82" s="135"/>
      <c r="E82" s="135"/>
      <c r="J82" s="135"/>
    </row>
    <row r="83" spans="1:13">
      <c r="A83" s="133" t="s">
        <v>453</v>
      </c>
      <c r="C83" s="135"/>
      <c r="D83" s="135"/>
      <c r="E83" s="135"/>
      <c r="J83" s="135"/>
    </row>
    <row r="84" spans="1:13">
      <c r="A84" s="136" t="s">
        <v>97</v>
      </c>
      <c r="C84" s="135">
        <f>SUM(C85:C88)</f>
        <v>224747.49983333354</v>
      </c>
      <c r="D84" s="137">
        <v>212808.6544343835</v>
      </c>
      <c r="E84" s="137"/>
      <c r="F84" s="138"/>
      <c r="G84" s="138"/>
      <c r="H84" s="139"/>
      <c r="I84" s="139"/>
      <c r="J84" s="137"/>
      <c r="K84" s="138"/>
      <c r="L84" s="138"/>
      <c r="M84" s="139"/>
    </row>
    <row r="85" spans="1:13">
      <c r="A85" s="136" t="s">
        <v>98</v>
      </c>
      <c r="C85" s="135">
        <v>112730.23299999999</v>
      </c>
      <c r="D85" s="135">
        <f>ROUND($C85/$C$84*D$84,0)</f>
        <v>106742</v>
      </c>
      <c r="E85" s="135"/>
      <c r="F85" s="138">
        <v>10</v>
      </c>
      <c r="G85" s="138"/>
      <c r="H85" s="139">
        <f t="shared" ref="H85:I91" si="19">ROUND($F85*C85,0)</f>
        <v>1127302</v>
      </c>
      <c r="I85" s="139">
        <f t="shared" si="19"/>
        <v>1067420</v>
      </c>
      <c r="J85" s="135"/>
      <c r="K85" s="138">
        <v>12</v>
      </c>
      <c r="L85" s="138"/>
      <c r="M85" s="139">
        <f t="shared" ref="M85:M91" si="20">ROUND($K85*D85,0)</f>
        <v>1280904</v>
      </c>
    </row>
    <row r="86" spans="1:13">
      <c r="A86" s="136" t="s">
        <v>100</v>
      </c>
      <c r="C86" s="135">
        <v>111832.70000000019</v>
      </c>
      <c r="D86" s="135">
        <f t="shared" ref="D86:D90" si="21">ROUND($C86/$C$84*D$84,0)</f>
        <v>105892</v>
      </c>
      <c r="E86" s="135"/>
      <c r="F86" s="138">
        <v>6</v>
      </c>
      <c r="G86" s="138"/>
      <c r="H86" s="139">
        <f t="shared" si="19"/>
        <v>670996</v>
      </c>
      <c r="I86" s="139">
        <f t="shared" si="19"/>
        <v>635352</v>
      </c>
      <c r="J86" s="135"/>
      <c r="K86" s="138">
        <v>7</v>
      </c>
      <c r="L86" s="138"/>
      <c r="M86" s="139">
        <f t="shared" si="20"/>
        <v>741244</v>
      </c>
    </row>
    <row r="87" spans="1:13">
      <c r="A87" s="136" t="s">
        <v>102</v>
      </c>
      <c r="C87" s="135">
        <v>6.9335000000000004</v>
      </c>
      <c r="D87" s="135">
        <f t="shared" si="21"/>
        <v>7</v>
      </c>
      <c r="E87" s="135"/>
      <c r="F87" s="138">
        <v>20</v>
      </c>
      <c r="G87" s="138"/>
      <c r="H87" s="139">
        <f t="shared" si="19"/>
        <v>139</v>
      </c>
      <c r="I87" s="139">
        <f t="shared" si="19"/>
        <v>140</v>
      </c>
      <c r="J87" s="135"/>
      <c r="K87" s="138">
        <v>19.5</v>
      </c>
      <c r="L87" s="138"/>
      <c r="M87" s="139">
        <f t="shared" si="20"/>
        <v>137</v>
      </c>
    </row>
    <row r="88" spans="1:13">
      <c r="A88" s="136" t="s">
        <v>104</v>
      </c>
      <c r="C88" s="135">
        <v>177.63333333333341</v>
      </c>
      <c r="D88" s="135">
        <f t="shared" si="21"/>
        <v>168</v>
      </c>
      <c r="E88" s="135"/>
      <c r="F88" s="138">
        <v>12</v>
      </c>
      <c r="G88" s="138"/>
      <c r="H88" s="139">
        <f t="shared" si="19"/>
        <v>2132</v>
      </c>
      <c r="I88" s="139">
        <f t="shared" si="19"/>
        <v>2016</v>
      </c>
      <c r="J88" s="135"/>
      <c r="K88" s="138">
        <v>14.5</v>
      </c>
      <c r="L88" s="138"/>
      <c r="M88" s="139">
        <f t="shared" si="20"/>
        <v>2436</v>
      </c>
    </row>
    <row r="89" spans="1:13">
      <c r="A89" s="136" t="s">
        <v>106</v>
      </c>
      <c r="C89" s="135">
        <v>0</v>
      </c>
      <c r="D89" s="135">
        <f t="shared" si="21"/>
        <v>0</v>
      </c>
      <c r="E89" s="135"/>
      <c r="F89" s="138">
        <v>2</v>
      </c>
      <c r="G89" s="138"/>
      <c r="H89" s="139">
        <f t="shared" si="19"/>
        <v>0</v>
      </c>
      <c r="I89" s="139">
        <f t="shared" si="19"/>
        <v>0</v>
      </c>
      <c r="J89" s="135"/>
      <c r="K89" s="138">
        <v>2</v>
      </c>
      <c r="L89" s="138"/>
      <c r="M89" s="139">
        <f t="shared" si="20"/>
        <v>0</v>
      </c>
    </row>
    <row r="90" spans="1:13">
      <c r="A90" s="136" t="s">
        <v>107</v>
      </c>
      <c r="C90" s="135">
        <v>0</v>
      </c>
      <c r="D90" s="135">
        <f t="shared" si="21"/>
        <v>0</v>
      </c>
      <c r="E90" s="135"/>
      <c r="F90" s="138">
        <v>22</v>
      </c>
      <c r="G90" s="138"/>
      <c r="H90" s="139">
        <f t="shared" si="19"/>
        <v>0</v>
      </c>
      <c r="I90" s="139">
        <f t="shared" si="19"/>
        <v>0</v>
      </c>
      <c r="J90" s="135"/>
      <c r="K90" s="138">
        <v>22</v>
      </c>
      <c r="L90" s="138"/>
      <c r="M90" s="139">
        <f t="shared" si="20"/>
        <v>0</v>
      </c>
    </row>
    <row r="91" spans="1:13">
      <c r="A91" s="136" t="s">
        <v>109</v>
      </c>
      <c r="C91" s="135">
        <v>84261</v>
      </c>
      <c r="D91" s="135">
        <v>147921.85202608586</v>
      </c>
      <c r="E91" s="135"/>
      <c r="F91" s="138">
        <v>-0.5</v>
      </c>
      <c r="G91" s="138"/>
      <c r="H91" s="139">
        <f t="shared" si="19"/>
        <v>-42131</v>
      </c>
      <c r="I91" s="139">
        <f t="shared" si="19"/>
        <v>-73961</v>
      </c>
      <c r="J91" s="135"/>
      <c r="K91" s="138">
        <v>-0.5</v>
      </c>
      <c r="L91" s="138"/>
      <c r="M91" s="139">
        <f t="shared" si="20"/>
        <v>-73961</v>
      </c>
    </row>
    <row r="92" spans="1:13">
      <c r="A92" s="136" t="s">
        <v>111</v>
      </c>
      <c r="C92" s="135">
        <v>12022</v>
      </c>
      <c r="D92" s="135">
        <f>ROUND($C92/SUM($C94:$C95)*SUM(D94:D95),0)</f>
        <v>12271</v>
      </c>
      <c r="E92" s="135"/>
      <c r="F92" s="157">
        <v>4.3559999999999999</v>
      </c>
      <c r="G92" s="138" t="s">
        <v>112</v>
      </c>
      <c r="H92" s="139">
        <f t="shared" ref="H92:I98" si="22">ROUND($F92*C92/100,0)</f>
        <v>524</v>
      </c>
      <c r="I92" s="139">
        <f t="shared" si="22"/>
        <v>535</v>
      </c>
      <c r="J92" s="135"/>
      <c r="K92" s="157">
        <v>4.3559999999999999</v>
      </c>
      <c r="L92" s="138" t="s">
        <v>112</v>
      </c>
      <c r="M92" s="139">
        <f t="shared" ref="M92:M98" si="23">ROUND($K92*D92/100,0)</f>
        <v>535</v>
      </c>
    </row>
    <row r="93" spans="1:13">
      <c r="A93" s="136" t="s">
        <v>114</v>
      </c>
      <c r="C93" s="135">
        <v>35541</v>
      </c>
      <c r="D93" s="135">
        <f>ROUND($C93/SUM($C94:$C95)*SUM(D94:D95),0)</f>
        <v>36276</v>
      </c>
      <c r="E93" s="135"/>
      <c r="F93" s="157">
        <v>-1.6334</v>
      </c>
      <c r="G93" s="138" t="s">
        <v>112</v>
      </c>
      <c r="H93" s="139">
        <f t="shared" si="22"/>
        <v>-581</v>
      </c>
      <c r="I93" s="139">
        <f t="shared" si="22"/>
        <v>-593</v>
      </c>
      <c r="J93" s="135"/>
      <c r="K93" s="157">
        <v>-1.6334</v>
      </c>
      <c r="L93" s="138" t="s">
        <v>112</v>
      </c>
      <c r="M93" s="139">
        <f t="shared" si="23"/>
        <v>-593</v>
      </c>
    </row>
    <row r="94" spans="1:13">
      <c r="A94" s="136" t="s">
        <v>116</v>
      </c>
      <c r="C94" s="135">
        <v>27123042</v>
      </c>
      <c r="D94" s="135">
        <v>27684287</v>
      </c>
      <c r="E94" s="135"/>
      <c r="F94" s="157">
        <v>9.0279000000000007</v>
      </c>
      <c r="G94" s="163" t="s">
        <v>112</v>
      </c>
      <c r="H94" s="139">
        <f t="shared" si="22"/>
        <v>2448641</v>
      </c>
      <c r="I94" s="139">
        <f t="shared" si="22"/>
        <v>2499310</v>
      </c>
      <c r="J94" s="135"/>
      <c r="K94" s="157">
        <v>9.2813999999999997</v>
      </c>
      <c r="L94" s="163" t="s">
        <v>112</v>
      </c>
      <c r="M94" s="139">
        <f t="shared" si="23"/>
        <v>2569489</v>
      </c>
    </row>
    <row r="95" spans="1:13">
      <c r="A95" s="136" t="s">
        <v>118</v>
      </c>
      <c r="C95" s="135">
        <v>27168886.880101375</v>
      </c>
      <c r="D95" s="135">
        <v>27731081</v>
      </c>
      <c r="E95" s="135"/>
      <c r="F95" s="157">
        <v>11.721</v>
      </c>
      <c r="G95" s="163" t="s">
        <v>112</v>
      </c>
      <c r="H95" s="139">
        <f t="shared" si="22"/>
        <v>3184465</v>
      </c>
      <c r="I95" s="139">
        <f t="shared" si="22"/>
        <v>3250360</v>
      </c>
      <c r="J95" s="135"/>
      <c r="K95" s="157">
        <v>11.974500000000001</v>
      </c>
      <c r="L95" s="163" t="s">
        <v>112</v>
      </c>
      <c r="M95" s="139">
        <f t="shared" si="23"/>
        <v>3320658</v>
      </c>
    </row>
    <row r="96" spans="1:13">
      <c r="A96" s="136" t="s">
        <v>120</v>
      </c>
      <c r="B96" s="169"/>
      <c r="C96" s="135">
        <v>50990994</v>
      </c>
      <c r="D96" s="135">
        <v>48398461</v>
      </c>
      <c r="E96" s="135"/>
      <c r="F96" s="170">
        <v>7.9893000000000001</v>
      </c>
      <c r="G96" s="163" t="s">
        <v>112</v>
      </c>
      <c r="H96" s="139">
        <f t="shared" si="22"/>
        <v>4073823</v>
      </c>
      <c r="I96" s="139">
        <f t="shared" si="22"/>
        <v>3866698</v>
      </c>
      <c r="J96" s="135"/>
      <c r="K96" s="170">
        <v>8.2135999999999996</v>
      </c>
      <c r="L96" s="163" t="s">
        <v>112</v>
      </c>
      <c r="M96" s="139">
        <f t="shared" si="23"/>
        <v>3975256</v>
      </c>
    </row>
    <row r="97" spans="1:13">
      <c r="A97" s="136" t="s">
        <v>121</v>
      </c>
      <c r="B97" s="169"/>
      <c r="C97" s="135">
        <v>37836365.287790798</v>
      </c>
      <c r="D97" s="135">
        <v>35912652</v>
      </c>
      <c r="E97" s="135"/>
      <c r="F97" s="170">
        <v>10.3725</v>
      </c>
      <c r="G97" s="163" t="s">
        <v>112</v>
      </c>
      <c r="H97" s="139">
        <f t="shared" si="22"/>
        <v>3924577</v>
      </c>
      <c r="I97" s="139">
        <f t="shared" si="22"/>
        <v>3725040</v>
      </c>
      <c r="J97" s="135"/>
      <c r="K97" s="170">
        <v>10.5968</v>
      </c>
      <c r="L97" s="163" t="s">
        <v>112</v>
      </c>
      <c r="M97" s="139">
        <f t="shared" si="23"/>
        <v>3805592</v>
      </c>
    </row>
    <row r="98" spans="1:13">
      <c r="A98" s="172" t="s">
        <v>123</v>
      </c>
      <c r="B98" s="173"/>
      <c r="C98" s="135">
        <v>172690</v>
      </c>
      <c r="D98" s="135">
        <f>ROUND($C98/$C$101*D$101,0)</f>
        <v>168118</v>
      </c>
      <c r="E98" s="135"/>
      <c r="F98" s="174">
        <v>11.912599999999999</v>
      </c>
      <c r="G98" s="13" t="s">
        <v>112</v>
      </c>
      <c r="H98" s="139">
        <f t="shared" si="22"/>
        <v>20572</v>
      </c>
      <c r="I98" s="139">
        <f t="shared" si="22"/>
        <v>20027</v>
      </c>
      <c r="J98" s="135"/>
      <c r="K98" s="174">
        <v>12.0525</v>
      </c>
      <c r="L98" s="13" t="s">
        <v>112</v>
      </c>
      <c r="M98" s="139">
        <f t="shared" si="23"/>
        <v>20262</v>
      </c>
    </row>
    <row r="99" spans="1:13">
      <c r="A99" s="172" t="s">
        <v>125</v>
      </c>
      <c r="B99" s="173"/>
      <c r="C99" s="135">
        <v>407166</v>
      </c>
      <c r="D99" s="135"/>
      <c r="E99" s="135"/>
      <c r="F99" s="174"/>
      <c r="G99" s="13"/>
      <c r="H99" s="139">
        <v>51999</v>
      </c>
      <c r="I99" s="139"/>
      <c r="J99" s="135"/>
      <c r="K99" s="174"/>
      <c r="L99" s="13"/>
      <c r="M99" s="139"/>
    </row>
    <row r="100" spans="1:13">
      <c r="A100" s="172" t="s">
        <v>133</v>
      </c>
      <c r="B100" s="173"/>
      <c r="C100" s="135"/>
      <c r="D100" s="135"/>
      <c r="E100" s="135"/>
      <c r="F100" s="138">
        <v>13.95</v>
      </c>
      <c r="G100" s="13"/>
      <c r="H100" s="139"/>
      <c r="I100" s="139"/>
      <c r="J100" s="135"/>
      <c r="K100" s="185">
        <v>18</v>
      </c>
      <c r="L100" s="13"/>
      <c r="M100" s="139"/>
    </row>
    <row r="101" spans="1:13" ht="16.5" thickBot="1">
      <c r="A101" s="176" t="s">
        <v>127</v>
      </c>
      <c r="B101" s="177"/>
      <c r="C101" s="178">
        <f>SUM(C94:C99)</f>
        <v>143699144.16789219</v>
      </c>
      <c r="D101" s="178">
        <v>139894598.76989457</v>
      </c>
      <c r="E101" s="178"/>
      <c r="F101" s="177"/>
      <c r="G101" s="177"/>
      <c r="H101" s="179">
        <f>SUM(H85:H99)</f>
        <v>15462458</v>
      </c>
      <c r="I101" s="179">
        <f>SUM(I85:I99)</f>
        <v>14992344</v>
      </c>
      <c r="J101" s="178"/>
      <c r="K101" s="177"/>
      <c r="L101" s="177"/>
      <c r="M101" s="179">
        <f>SUM(M85:M99)</f>
        <v>15641959</v>
      </c>
    </row>
    <row r="102" spans="1:13" ht="16.5" thickTop="1">
      <c r="A102" s="136"/>
      <c r="C102" s="135"/>
      <c r="D102" s="135"/>
      <c r="E102" s="135"/>
      <c r="H102" s="139"/>
      <c r="I102" s="139"/>
      <c r="J102" s="135"/>
      <c r="M102" s="139"/>
    </row>
    <row r="103" spans="1:13">
      <c r="A103" s="133" t="s">
        <v>134</v>
      </c>
      <c r="C103" s="135"/>
      <c r="D103" s="135"/>
      <c r="E103" s="135"/>
      <c r="H103" s="139"/>
      <c r="I103" s="139"/>
      <c r="J103" s="135"/>
      <c r="M103" s="139"/>
    </row>
    <row r="104" spans="1:13">
      <c r="A104" s="172" t="s">
        <v>135</v>
      </c>
      <c r="B104" s="132"/>
      <c r="C104" s="135"/>
      <c r="D104" s="135">
        <v>502493096.37410456</v>
      </c>
      <c r="E104" s="135"/>
      <c r="F104" s="184"/>
      <c r="G104" s="13"/>
      <c r="H104" s="139"/>
      <c r="I104" s="139"/>
      <c r="J104" s="135"/>
      <c r="K104" s="184">
        <v>31.968299999999999</v>
      </c>
      <c r="L104" s="13" t="s">
        <v>112</v>
      </c>
      <c r="M104" s="139">
        <f>ROUND($K104*D104/100,0)</f>
        <v>160638501</v>
      </c>
    </row>
    <row r="105" spans="1:13">
      <c r="A105" s="172" t="s">
        <v>137</v>
      </c>
      <c r="B105" s="132"/>
      <c r="C105" s="135"/>
      <c r="D105" s="135">
        <v>2886234053.5050712</v>
      </c>
      <c r="E105" s="135"/>
      <c r="F105" s="184"/>
      <c r="G105" s="13"/>
      <c r="H105" s="139"/>
      <c r="I105" s="139"/>
      <c r="J105" s="135"/>
      <c r="K105" s="184">
        <v>7.1040999999999999</v>
      </c>
      <c r="L105" s="13" t="s">
        <v>112</v>
      </c>
      <c r="M105" s="139">
        <f>ROUND($K105*D105/100,0)</f>
        <v>205040953</v>
      </c>
    </row>
    <row r="106" spans="1:13">
      <c r="A106" s="172" t="s">
        <v>138</v>
      </c>
      <c r="B106" s="132"/>
      <c r="C106" s="135"/>
      <c r="D106" s="135">
        <v>686608692.0564878</v>
      </c>
      <c r="E106" s="135"/>
      <c r="F106" s="184"/>
      <c r="G106" s="13"/>
      <c r="H106" s="139"/>
      <c r="I106" s="139"/>
      <c r="J106" s="135"/>
      <c r="K106" s="184">
        <v>28.290500000000002</v>
      </c>
      <c r="L106" s="13" t="s">
        <v>112</v>
      </c>
      <c r="M106" s="139">
        <f>ROUND($K106*D106/100,0)</f>
        <v>194245032</v>
      </c>
    </row>
    <row r="107" spans="1:13">
      <c r="A107" s="172" t="s">
        <v>140</v>
      </c>
      <c r="B107" s="132"/>
      <c r="C107" s="135"/>
      <c r="D107" s="135">
        <v>4167161808.5704403</v>
      </c>
      <c r="E107" s="135"/>
      <c r="F107" s="184"/>
      <c r="G107" s="13"/>
      <c r="H107" s="139"/>
      <c r="I107" s="139"/>
      <c r="J107" s="135"/>
      <c r="K107" s="184">
        <v>6.2868000000000004</v>
      </c>
      <c r="L107" s="13" t="s">
        <v>112</v>
      </c>
      <c r="M107" s="139">
        <f>ROUND($K107*D107/100,0)</f>
        <v>261981129</v>
      </c>
    </row>
    <row r="108" spans="1:13" ht="16.5" thickBot="1">
      <c r="A108" s="176" t="s">
        <v>127</v>
      </c>
      <c r="B108" s="177"/>
      <c r="C108" s="178"/>
      <c r="D108" s="178">
        <f>SUM(D104:D107)</f>
        <v>8242497650.5061035</v>
      </c>
      <c r="E108" s="178"/>
      <c r="F108" s="177"/>
      <c r="G108" s="177"/>
      <c r="H108" s="179"/>
      <c r="I108" s="179"/>
      <c r="J108" s="178"/>
      <c r="K108" s="177"/>
      <c r="L108" s="177"/>
      <c r="M108" s="179">
        <f>SUM(M104:M107)</f>
        <v>821905615</v>
      </c>
    </row>
    <row r="109" spans="1:13" ht="16.5" thickTop="1">
      <c r="A109" s="136"/>
      <c r="C109" s="135"/>
      <c r="D109" s="135"/>
      <c r="E109" s="135"/>
      <c r="H109" s="139"/>
      <c r="I109" s="139"/>
      <c r="J109" s="135"/>
      <c r="M109" s="139"/>
    </row>
    <row r="110" spans="1:13">
      <c r="A110" s="133" t="s">
        <v>142</v>
      </c>
      <c r="C110" s="135"/>
      <c r="D110" s="135"/>
      <c r="E110" s="135"/>
      <c r="J110" s="135"/>
    </row>
    <row r="111" spans="1:13">
      <c r="A111" s="136" t="s">
        <v>143</v>
      </c>
      <c r="C111" s="135">
        <f t="shared" ref="C111:D120" si="24">C125+C139+C153</f>
        <v>163031.45547169866</v>
      </c>
      <c r="D111" s="135">
        <f t="shared" si="24"/>
        <v>164413.4043845573</v>
      </c>
      <c r="E111" s="135"/>
      <c r="F111" s="190">
        <v>53</v>
      </c>
      <c r="G111" s="138"/>
      <c r="H111" s="139">
        <f t="shared" ref="H111:I116" si="25">ROUND($F111*C111,0)</f>
        <v>8640667</v>
      </c>
      <c r="I111" s="139">
        <f t="shared" si="25"/>
        <v>8713910</v>
      </c>
      <c r="J111" s="135"/>
      <c r="K111" s="190">
        <v>55</v>
      </c>
      <c r="L111" s="138"/>
      <c r="M111" s="139">
        <f t="shared" ref="M111:M116" si="26">ROUND($K111*D111,0)</f>
        <v>9042737</v>
      </c>
    </row>
    <row r="112" spans="1:13">
      <c r="A112" s="136" t="s">
        <v>106</v>
      </c>
      <c r="C112" s="135">
        <f t="shared" si="24"/>
        <v>0</v>
      </c>
      <c r="D112" s="135">
        <f t="shared" si="24"/>
        <v>0</v>
      </c>
      <c r="E112" s="135"/>
      <c r="F112" s="190">
        <v>2</v>
      </c>
      <c r="G112" s="138"/>
      <c r="H112" s="139">
        <f t="shared" si="25"/>
        <v>0</v>
      </c>
      <c r="I112" s="139">
        <f t="shared" si="25"/>
        <v>0</v>
      </c>
      <c r="J112" s="135"/>
      <c r="K112" s="190">
        <v>2</v>
      </c>
      <c r="L112" s="138"/>
      <c r="M112" s="139">
        <f t="shared" si="26"/>
        <v>0</v>
      </c>
    </row>
    <row r="113" spans="1:13">
      <c r="A113" s="136" t="s">
        <v>109</v>
      </c>
      <c r="C113" s="135">
        <f t="shared" si="24"/>
        <v>87125</v>
      </c>
      <c r="D113" s="135">
        <f t="shared" si="24"/>
        <v>114282.64202467541</v>
      </c>
      <c r="E113" s="135"/>
      <c r="F113" s="138">
        <v>-0.5</v>
      </c>
      <c r="G113" s="138"/>
      <c r="H113" s="139">
        <f t="shared" si="25"/>
        <v>-43563</v>
      </c>
      <c r="I113" s="139">
        <f t="shared" si="25"/>
        <v>-57141</v>
      </c>
      <c r="J113" s="135"/>
      <c r="K113" s="138">
        <v>-0.5</v>
      </c>
      <c r="L113" s="138"/>
      <c r="M113" s="139">
        <f t="shared" si="26"/>
        <v>-57141</v>
      </c>
    </row>
    <row r="114" spans="1:13">
      <c r="A114" s="136" t="s">
        <v>144</v>
      </c>
      <c r="C114" s="135">
        <f t="shared" si="24"/>
        <v>16390657.887218049</v>
      </c>
      <c r="D114" s="135">
        <f t="shared" si="24"/>
        <v>17344210</v>
      </c>
      <c r="E114" s="135"/>
      <c r="F114" s="190">
        <v>3.99</v>
      </c>
      <c r="G114" s="138"/>
      <c r="H114" s="139">
        <f t="shared" si="25"/>
        <v>65398725</v>
      </c>
      <c r="I114" s="139">
        <f t="shared" si="25"/>
        <v>69203398</v>
      </c>
      <c r="J114" s="135"/>
      <c r="K114" s="190">
        <v>4.12</v>
      </c>
      <c r="L114" s="138"/>
      <c r="M114" s="139">
        <f t="shared" si="26"/>
        <v>71458145</v>
      </c>
    </row>
    <row r="115" spans="1:13">
      <c r="A115" s="136" t="s">
        <v>145</v>
      </c>
      <c r="C115" s="135">
        <f t="shared" si="24"/>
        <v>6036337.5094197905</v>
      </c>
      <c r="D115" s="135">
        <f t="shared" si="24"/>
        <v>6387053</v>
      </c>
      <c r="E115" s="135"/>
      <c r="F115" s="190">
        <v>13.27</v>
      </c>
      <c r="G115" s="138"/>
      <c r="H115" s="139">
        <f t="shared" si="25"/>
        <v>80102199</v>
      </c>
      <c r="I115" s="139">
        <f t="shared" si="25"/>
        <v>84756193</v>
      </c>
      <c r="J115" s="135"/>
      <c r="K115" s="190">
        <v>13.71</v>
      </c>
      <c r="L115" s="138"/>
      <c r="M115" s="139">
        <f t="shared" si="26"/>
        <v>87566497</v>
      </c>
    </row>
    <row r="116" spans="1:13">
      <c r="A116" s="136" t="s">
        <v>146</v>
      </c>
      <c r="C116" s="135">
        <f t="shared" si="24"/>
        <v>10354320.573253868</v>
      </c>
      <c r="D116" s="135">
        <f t="shared" si="24"/>
        <v>10957157</v>
      </c>
      <c r="E116" s="135"/>
      <c r="F116" s="190">
        <v>11.74</v>
      </c>
      <c r="G116" s="138"/>
      <c r="H116" s="139">
        <f t="shared" si="25"/>
        <v>121559724</v>
      </c>
      <c r="I116" s="139">
        <f t="shared" si="25"/>
        <v>128637023</v>
      </c>
      <c r="J116" s="135"/>
      <c r="K116" s="190">
        <v>12.13</v>
      </c>
      <c r="L116" s="138"/>
      <c r="M116" s="139">
        <f t="shared" si="26"/>
        <v>132910314</v>
      </c>
    </row>
    <row r="117" spans="1:13">
      <c r="A117" s="136" t="s">
        <v>148</v>
      </c>
      <c r="C117" s="135">
        <f t="shared" si="24"/>
        <v>2112413469.5102398</v>
      </c>
      <c r="D117" s="135">
        <f t="shared" si="24"/>
        <v>2270068657.2900715</v>
      </c>
      <c r="E117" s="135"/>
      <c r="F117" s="193">
        <v>3.8877999999999999</v>
      </c>
      <c r="G117" s="163" t="s">
        <v>112</v>
      </c>
      <c r="H117" s="139">
        <f>ROUND($F117*C117/100,0)</f>
        <v>82126411</v>
      </c>
      <c r="I117" s="139">
        <f>ROUND($F117*D117/100,0)</f>
        <v>88255729</v>
      </c>
      <c r="J117" s="135"/>
      <c r="K117" s="193">
        <v>3.9350999999999998</v>
      </c>
      <c r="L117" s="163" t="s">
        <v>112</v>
      </c>
      <c r="M117" s="139">
        <f>ROUND($K117*D117/100,0)</f>
        <v>89329472</v>
      </c>
    </row>
    <row r="118" spans="1:13">
      <c r="A118" s="136" t="s">
        <v>149</v>
      </c>
      <c r="C118" s="135">
        <f t="shared" si="24"/>
        <v>3654374191.6813564</v>
      </c>
      <c r="D118" s="135">
        <f t="shared" si="24"/>
        <v>3873587247.3468466</v>
      </c>
      <c r="E118" s="135"/>
      <c r="F118" s="193">
        <v>3.4405000000000001</v>
      </c>
      <c r="G118" s="163" t="s">
        <v>112</v>
      </c>
      <c r="H118" s="139">
        <f>ROUND($F118*C118/100,0)</f>
        <v>125728744</v>
      </c>
      <c r="I118" s="139">
        <f>ROUND($F118*D118/100,0)</f>
        <v>133270769</v>
      </c>
      <c r="J118" s="135"/>
      <c r="K118" s="193">
        <v>3.4823</v>
      </c>
      <c r="L118" s="163" t="s">
        <v>112</v>
      </c>
      <c r="M118" s="139">
        <f>ROUND($K118*D118/100,0)</f>
        <v>134889929</v>
      </c>
    </row>
    <row r="119" spans="1:13">
      <c r="A119" s="136" t="s">
        <v>150</v>
      </c>
      <c r="C119" s="135">
        <f t="shared" si="24"/>
        <v>630615.8125</v>
      </c>
      <c r="D119" s="135">
        <f t="shared" si="24"/>
        <v>669858</v>
      </c>
      <c r="E119" s="135"/>
      <c r="F119" s="138">
        <v>-0.96</v>
      </c>
      <c r="G119" s="138"/>
      <c r="H119" s="139">
        <f>ROUND($F119*C119,0)</f>
        <v>-605391</v>
      </c>
      <c r="I119" s="139">
        <f>ROUND($F119*D119,0)</f>
        <v>-643064</v>
      </c>
      <c r="J119" s="135"/>
      <c r="K119" s="138">
        <v>-0.96</v>
      </c>
      <c r="L119" s="138"/>
      <c r="M119" s="139">
        <f>ROUND($K119*D119,0)</f>
        <v>-643064</v>
      </c>
    </row>
    <row r="120" spans="1:13">
      <c r="A120" s="172" t="s">
        <v>123</v>
      </c>
      <c r="C120" s="135">
        <f t="shared" si="24"/>
        <v>2368200</v>
      </c>
      <c r="D120" s="135">
        <f t="shared" si="24"/>
        <v>2500892</v>
      </c>
      <c r="E120" s="135"/>
      <c r="F120" s="193">
        <v>7.125</v>
      </c>
      <c r="G120" s="163" t="s">
        <v>112</v>
      </c>
      <c r="H120" s="139">
        <f>ROUND($F120*C120/100,0)</f>
        <v>168734</v>
      </c>
      <c r="I120" s="139">
        <f>ROUND($F120*D120/100,0)</f>
        <v>178189</v>
      </c>
      <c r="J120" s="135"/>
      <c r="K120" s="174">
        <v>7.125</v>
      </c>
      <c r="L120" s="163" t="s">
        <v>112</v>
      </c>
      <c r="M120" s="139">
        <f>ROUND($K120*D120/100,0)</f>
        <v>178189</v>
      </c>
    </row>
    <row r="121" spans="1:13">
      <c r="A121" s="172" t="s">
        <v>125</v>
      </c>
      <c r="B121" s="173"/>
      <c r="C121" s="135">
        <f>C135+C149+C163</f>
        <v>39569225</v>
      </c>
      <c r="D121" s="135"/>
      <c r="E121" s="135"/>
      <c r="F121" s="174"/>
      <c r="G121" s="13"/>
      <c r="H121" s="139">
        <f>H135+H149+H163</f>
        <v>3377461.7838672101</v>
      </c>
      <c r="I121" s="139"/>
      <c r="J121" s="135"/>
      <c r="K121" s="174"/>
      <c r="L121" s="13"/>
      <c r="M121" s="139"/>
    </row>
    <row r="122" spans="1:13" ht="16.5" thickBot="1">
      <c r="A122" s="176" t="s">
        <v>127</v>
      </c>
      <c r="B122" s="177"/>
      <c r="C122" s="178">
        <f t="shared" ref="C122" si="27">C136+C150+C164</f>
        <v>5808725086.191597</v>
      </c>
      <c r="D122" s="178">
        <f>D136+D150+D164</f>
        <v>6146156796.6369171</v>
      </c>
      <c r="E122" s="178"/>
      <c r="F122" s="177"/>
      <c r="G122" s="177"/>
      <c r="H122" s="179">
        <f>SUM(H111:H121)</f>
        <v>486453711.78386724</v>
      </c>
      <c r="I122" s="179">
        <f>SUM(I111:I121)</f>
        <v>512315006</v>
      </c>
      <c r="J122" s="178"/>
      <c r="K122" s="177"/>
      <c r="L122" s="177"/>
      <c r="M122" s="179">
        <f>SUM(M111:M121)</f>
        <v>524675078</v>
      </c>
    </row>
    <row r="123" spans="1:13" ht="16.5" hidden="1" thickTop="1">
      <c r="C123" s="135"/>
      <c r="D123" s="135"/>
      <c r="E123" s="135"/>
      <c r="J123" s="135"/>
    </row>
    <row r="124" spans="1:13" ht="16.5" hidden="1" thickTop="1">
      <c r="A124" s="133" t="s">
        <v>454</v>
      </c>
      <c r="C124" s="135"/>
      <c r="D124" s="135"/>
      <c r="E124" s="135"/>
      <c r="J124" s="135"/>
    </row>
    <row r="125" spans="1:13" ht="16.5" hidden="1" thickTop="1">
      <c r="A125" s="136" t="s">
        <v>143</v>
      </c>
      <c r="C125" s="135">
        <v>148474.691132076</v>
      </c>
      <c r="D125" s="135">
        <v>149633.66703845051</v>
      </c>
      <c r="E125" s="135"/>
      <c r="F125" s="190">
        <v>53</v>
      </c>
      <c r="G125" s="138"/>
      <c r="H125" s="139">
        <f t="shared" ref="H125:I130" si="28">ROUND($F125*C125,0)</f>
        <v>7869159</v>
      </c>
      <c r="I125" s="139">
        <f t="shared" si="28"/>
        <v>7930584</v>
      </c>
      <c r="J125" s="135"/>
      <c r="K125" s="190">
        <v>55</v>
      </c>
      <c r="L125" s="138"/>
      <c r="M125" s="139">
        <f t="shared" ref="M125:M130" si="29">ROUND($K125*D125,0)</f>
        <v>8229852</v>
      </c>
    </row>
    <row r="126" spans="1:13" ht="16.5" hidden="1" thickTop="1">
      <c r="A126" s="136" t="s">
        <v>106</v>
      </c>
      <c r="C126" s="135">
        <v>0</v>
      </c>
      <c r="D126" s="135">
        <f>ROUND($C126/$C125*D125,0)</f>
        <v>0</v>
      </c>
      <c r="E126" s="135"/>
      <c r="F126" s="190">
        <v>2</v>
      </c>
      <c r="G126" s="138"/>
      <c r="H126" s="139">
        <f t="shared" si="28"/>
        <v>0</v>
      </c>
      <c r="I126" s="139">
        <f t="shared" si="28"/>
        <v>0</v>
      </c>
      <c r="J126" s="135"/>
      <c r="K126" s="190">
        <v>2</v>
      </c>
      <c r="L126" s="138"/>
      <c r="M126" s="139">
        <f t="shared" si="29"/>
        <v>0</v>
      </c>
    </row>
    <row r="127" spans="1:13" ht="16.5" hidden="1" thickTop="1">
      <c r="A127" s="136" t="s">
        <v>109</v>
      </c>
      <c r="C127" s="135">
        <v>80292</v>
      </c>
      <c r="D127" s="135">
        <v>104009.34685956115</v>
      </c>
      <c r="E127" s="135"/>
      <c r="F127" s="138">
        <v>-0.5</v>
      </c>
      <c r="G127" s="138"/>
      <c r="H127" s="139">
        <f t="shared" si="28"/>
        <v>-40146</v>
      </c>
      <c r="I127" s="139">
        <f t="shared" si="28"/>
        <v>-52005</v>
      </c>
      <c r="J127" s="135"/>
      <c r="K127" s="138">
        <v>-0.5</v>
      </c>
      <c r="L127" s="138"/>
      <c r="M127" s="139">
        <f t="shared" si="29"/>
        <v>-52005</v>
      </c>
    </row>
    <row r="128" spans="1:13" ht="16.5" hidden="1" thickTop="1">
      <c r="A128" s="136" t="s">
        <v>144</v>
      </c>
      <c r="C128" s="135">
        <v>14408669</v>
      </c>
      <c r="D128" s="135">
        <f>ROUND(D$136*$C128/$C$136,0)</f>
        <v>15215177</v>
      </c>
      <c r="E128" s="135"/>
      <c r="F128" s="190">
        <v>3.99</v>
      </c>
      <c r="G128" s="138"/>
      <c r="H128" s="139">
        <f t="shared" si="28"/>
        <v>57490589</v>
      </c>
      <c r="I128" s="139">
        <f t="shared" si="28"/>
        <v>60708556</v>
      </c>
      <c r="J128" s="135"/>
      <c r="K128" s="190">
        <v>4.12</v>
      </c>
      <c r="L128" s="138"/>
      <c r="M128" s="139">
        <f t="shared" si="29"/>
        <v>62686529</v>
      </c>
    </row>
    <row r="129" spans="1:13" ht="16.5" hidden="1" thickTop="1">
      <c r="A129" s="136" t="s">
        <v>145</v>
      </c>
      <c r="C129" s="135">
        <v>5332215.1755840704</v>
      </c>
      <c r="D129" s="135">
        <f>ROUND(D$136*$C129/$C$136,0)</f>
        <v>5630680</v>
      </c>
      <c r="E129" s="135"/>
      <c r="F129" s="190">
        <v>13.27</v>
      </c>
      <c r="G129" s="138"/>
      <c r="H129" s="139">
        <f t="shared" si="28"/>
        <v>70758495</v>
      </c>
      <c r="I129" s="139">
        <f t="shared" si="28"/>
        <v>74719124</v>
      </c>
      <c r="J129" s="135"/>
      <c r="K129" s="190">
        <v>13.71</v>
      </c>
      <c r="L129" s="138"/>
      <c r="M129" s="139">
        <f t="shared" si="29"/>
        <v>77196623</v>
      </c>
    </row>
    <row r="130" spans="1:13" ht="16.5" hidden="1" thickTop="1">
      <c r="A130" s="136" t="s">
        <v>146</v>
      </c>
      <c r="C130" s="135">
        <v>9076454.0076661296</v>
      </c>
      <c r="D130" s="135">
        <f t="shared" ref="D130" si="30">ROUND(D$136*$C130/$C$136,0)</f>
        <v>9584498</v>
      </c>
      <c r="E130" s="135"/>
      <c r="F130" s="190">
        <v>11.74</v>
      </c>
      <c r="G130" s="138"/>
      <c r="H130" s="139">
        <f t="shared" si="28"/>
        <v>106557570</v>
      </c>
      <c r="I130" s="139">
        <f t="shared" si="28"/>
        <v>112522007</v>
      </c>
      <c r="J130" s="135"/>
      <c r="K130" s="190">
        <v>12.13</v>
      </c>
      <c r="L130" s="138"/>
      <c r="M130" s="139">
        <f t="shared" si="29"/>
        <v>116259961</v>
      </c>
    </row>
    <row r="131" spans="1:13" ht="16.5" hidden="1" thickTop="1">
      <c r="A131" s="136" t="s">
        <v>148</v>
      </c>
      <c r="C131" s="135">
        <v>1869391155.1384337</v>
      </c>
      <c r="D131" s="135">
        <v>2004812210.2148268</v>
      </c>
      <c r="E131" s="135"/>
      <c r="F131" s="193">
        <v>3.8877999999999999</v>
      </c>
      <c r="G131" s="163" t="s">
        <v>112</v>
      </c>
      <c r="H131" s="139">
        <f>ROUND($F131*C131/100,0)</f>
        <v>72678189</v>
      </c>
      <c r="I131" s="139">
        <f>ROUND($F131*D131/100,0)</f>
        <v>77943089</v>
      </c>
      <c r="J131" s="135"/>
      <c r="K131" s="193">
        <v>3.9350999999999998</v>
      </c>
      <c r="L131" s="163" t="s">
        <v>112</v>
      </c>
      <c r="M131" s="139">
        <f>ROUND($K131*D131/100,0)</f>
        <v>78891365</v>
      </c>
    </row>
    <row r="132" spans="1:13" ht="16.5" hidden="1" thickTop="1">
      <c r="A132" s="136" t="s">
        <v>149</v>
      </c>
      <c r="C132" s="135">
        <v>3218287891.1010556</v>
      </c>
      <c r="D132" s="135">
        <f>D136-D131-D134</f>
        <v>3408878524.8526363</v>
      </c>
      <c r="E132" s="135"/>
      <c r="F132" s="193">
        <v>3.4405000000000001</v>
      </c>
      <c r="G132" s="163" t="s">
        <v>112</v>
      </c>
      <c r="H132" s="139">
        <f>ROUND($F132*C132/100,0)</f>
        <v>110725195</v>
      </c>
      <c r="I132" s="139">
        <f>ROUND($F132*D132/100,0)</f>
        <v>117282466</v>
      </c>
      <c r="J132" s="135"/>
      <c r="K132" s="193">
        <v>3.4823</v>
      </c>
      <c r="L132" s="163" t="s">
        <v>112</v>
      </c>
      <c r="M132" s="139">
        <f>ROUND($K132*D132/100,0)</f>
        <v>118707377</v>
      </c>
    </row>
    <row r="133" spans="1:13" ht="16.5" hidden="1" thickTop="1">
      <c r="A133" s="136" t="s">
        <v>150</v>
      </c>
      <c r="C133" s="135">
        <v>415658.41666666698</v>
      </c>
      <c r="D133" s="135">
        <f>ROUND(D$136*$C133/$C$136,0)</f>
        <v>438924</v>
      </c>
      <c r="E133" s="135"/>
      <c r="F133" s="138">
        <v>-0.96</v>
      </c>
      <c r="G133" s="138"/>
      <c r="H133" s="139">
        <f>ROUND($F133*C133,0)</f>
        <v>-399032</v>
      </c>
      <c r="I133" s="139">
        <f>ROUND($F133*D133,0)</f>
        <v>-421367</v>
      </c>
      <c r="J133" s="135"/>
      <c r="K133" s="138">
        <v>-0.96</v>
      </c>
      <c r="L133" s="138"/>
      <c r="M133" s="139">
        <f>ROUND($K133*D133,0)</f>
        <v>-421367</v>
      </c>
    </row>
    <row r="134" spans="1:13" ht="16.5" hidden="1" thickTop="1">
      <c r="A134" s="172" t="s">
        <v>123</v>
      </c>
      <c r="C134" s="135">
        <v>2361000</v>
      </c>
      <c r="D134" s="135">
        <f>ROUND(D$136*$C134/$C$136,0)</f>
        <v>2493154</v>
      </c>
      <c r="E134" s="135"/>
      <c r="F134" s="193">
        <v>7.125</v>
      </c>
      <c r="G134" s="163" t="s">
        <v>112</v>
      </c>
      <c r="H134" s="139">
        <f>ROUND($F134*C134/100,0)</f>
        <v>168221</v>
      </c>
      <c r="I134" s="139">
        <f>ROUND($F134*D134/100,0)</f>
        <v>177637</v>
      </c>
      <c r="J134" s="135"/>
      <c r="K134" s="193">
        <v>7.125</v>
      </c>
      <c r="L134" s="163" t="s">
        <v>112</v>
      </c>
      <c r="M134" s="139">
        <f>ROUND($K134*D134/100,0)</f>
        <v>177637</v>
      </c>
    </row>
    <row r="135" spans="1:13" ht="16.5" hidden="1" thickTop="1">
      <c r="A135" s="172" t="s">
        <v>125</v>
      </c>
      <c r="B135" s="173"/>
      <c r="C135" s="135">
        <v>39049043</v>
      </c>
      <c r="D135" s="135"/>
      <c r="E135" s="135"/>
      <c r="F135" s="174"/>
      <c r="G135" s="13"/>
      <c r="H135" s="139">
        <v>3236482</v>
      </c>
      <c r="I135" s="139"/>
      <c r="J135" s="135"/>
      <c r="K135" s="174"/>
      <c r="L135" s="13"/>
      <c r="M135" s="139"/>
    </row>
    <row r="136" spans="1:13" ht="17.25" hidden="1" thickTop="1" thickBot="1">
      <c r="A136" s="176" t="s">
        <v>127</v>
      </c>
      <c r="B136" s="177"/>
      <c r="C136" s="178">
        <f>SUM(C131:C132,C134:C135)</f>
        <v>5129089089.2394896</v>
      </c>
      <c r="D136" s="178">
        <v>5416183889.0674629</v>
      </c>
      <c r="E136" s="178"/>
      <c r="F136" s="177"/>
      <c r="G136" s="177"/>
      <c r="H136" s="179">
        <f>SUM(H125:H135)</f>
        <v>429044722</v>
      </c>
      <c r="I136" s="179">
        <f>SUM(I125:I135)</f>
        <v>450810091</v>
      </c>
      <c r="J136" s="178"/>
      <c r="K136" s="177"/>
      <c r="L136" s="177"/>
      <c r="M136" s="179">
        <f>SUM(M125:M135)</f>
        <v>461675972</v>
      </c>
    </row>
    <row r="137" spans="1:13" ht="16.5" hidden="1" thickTop="1"/>
    <row r="138" spans="1:13" ht="16.5" hidden="1" thickTop="1">
      <c r="A138" s="133" t="s">
        <v>455</v>
      </c>
      <c r="C138" s="135"/>
      <c r="D138" s="135"/>
      <c r="E138" s="135"/>
      <c r="J138" s="135"/>
    </row>
    <row r="139" spans="1:13" ht="16.5" hidden="1" thickTop="1">
      <c r="A139" s="136" t="s">
        <v>143</v>
      </c>
      <c r="C139" s="135">
        <v>10684.8986792453</v>
      </c>
      <c r="D139" s="135">
        <v>10824</v>
      </c>
      <c r="E139" s="135"/>
      <c r="F139" s="190">
        <v>53</v>
      </c>
      <c r="G139" s="138"/>
      <c r="H139" s="139">
        <f t="shared" ref="H139:I144" si="31">ROUND($F139*C139,0)</f>
        <v>566300</v>
      </c>
      <c r="I139" s="139">
        <f t="shared" si="31"/>
        <v>573672</v>
      </c>
      <c r="J139" s="135"/>
      <c r="K139" s="190">
        <v>55</v>
      </c>
      <c r="L139" s="138"/>
      <c r="M139" s="139">
        <f t="shared" ref="M139:M144" si="32">ROUND($K139*D139,0)</f>
        <v>595320</v>
      </c>
    </row>
    <row r="140" spans="1:13" ht="16.5" hidden="1" thickTop="1">
      <c r="A140" s="136" t="s">
        <v>106</v>
      </c>
      <c r="C140" s="135">
        <v>0</v>
      </c>
      <c r="D140" s="135">
        <f>ROUND($C140/$C139*D139,0)</f>
        <v>0</v>
      </c>
      <c r="E140" s="135"/>
      <c r="F140" s="190">
        <v>2</v>
      </c>
      <c r="G140" s="138"/>
      <c r="H140" s="139">
        <f t="shared" si="31"/>
        <v>0</v>
      </c>
      <c r="I140" s="139">
        <f t="shared" si="31"/>
        <v>0</v>
      </c>
      <c r="J140" s="135"/>
      <c r="K140" s="190">
        <v>2</v>
      </c>
      <c r="L140" s="138"/>
      <c r="M140" s="139">
        <f t="shared" si="32"/>
        <v>0</v>
      </c>
    </row>
    <row r="141" spans="1:13" ht="16.5" hidden="1" thickTop="1">
      <c r="A141" s="136" t="s">
        <v>109</v>
      </c>
      <c r="C141" s="135">
        <v>5151</v>
      </c>
      <c r="D141" s="135">
        <v>7523.6889711364229</v>
      </c>
      <c r="E141" s="135"/>
      <c r="F141" s="138">
        <v>-0.5</v>
      </c>
      <c r="G141" s="138"/>
      <c r="H141" s="139">
        <f t="shared" si="31"/>
        <v>-2576</v>
      </c>
      <c r="I141" s="139">
        <f t="shared" si="31"/>
        <v>-3762</v>
      </c>
      <c r="J141" s="135"/>
      <c r="K141" s="138">
        <v>-0.5</v>
      </c>
      <c r="L141" s="138"/>
      <c r="M141" s="139">
        <f t="shared" si="32"/>
        <v>-3762</v>
      </c>
    </row>
    <row r="142" spans="1:13" ht="16.5" hidden="1" thickTop="1">
      <c r="A142" s="136" t="s">
        <v>144</v>
      </c>
      <c r="C142" s="135">
        <v>1658466.4761904799</v>
      </c>
      <c r="D142" s="135">
        <f>ROUND($C142/$C$150*D$150,0)</f>
        <v>1782379</v>
      </c>
      <c r="E142" s="135"/>
      <c r="F142" s="190">
        <v>3.99</v>
      </c>
      <c r="G142" s="138"/>
      <c r="H142" s="139">
        <f t="shared" si="31"/>
        <v>6617281</v>
      </c>
      <c r="I142" s="139">
        <f t="shared" si="31"/>
        <v>7111692</v>
      </c>
      <c r="J142" s="135"/>
      <c r="K142" s="190">
        <v>4.12</v>
      </c>
      <c r="L142" s="138"/>
      <c r="M142" s="139">
        <f t="shared" si="32"/>
        <v>7343401</v>
      </c>
    </row>
    <row r="143" spans="1:13" ht="16.5" hidden="1" thickTop="1">
      <c r="A143" s="136" t="s">
        <v>145</v>
      </c>
      <c r="C143" s="135">
        <v>593044.04144687299</v>
      </c>
      <c r="D143" s="135">
        <f>ROUND($C143/$C$150*D$150,0)</f>
        <v>637353</v>
      </c>
      <c r="E143" s="135"/>
      <c r="F143" s="190">
        <v>13.27</v>
      </c>
      <c r="G143" s="138"/>
      <c r="H143" s="139">
        <f t="shared" si="31"/>
        <v>7869694</v>
      </c>
      <c r="I143" s="139">
        <f t="shared" si="31"/>
        <v>8457674</v>
      </c>
      <c r="J143" s="135"/>
      <c r="K143" s="190">
        <v>13.71</v>
      </c>
      <c r="L143" s="138"/>
      <c r="M143" s="139">
        <f t="shared" si="32"/>
        <v>8738110</v>
      </c>
    </row>
    <row r="144" spans="1:13" ht="16.5" hidden="1" thickTop="1">
      <c r="A144" s="136" t="s">
        <v>146</v>
      </c>
      <c r="C144" s="135">
        <v>1065422.4548551999</v>
      </c>
      <c r="D144" s="135">
        <f>ROUND($C144/$C$150*D$150,0)</f>
        <v>1145026</v>
      </c>
      <c r="E144" s="135"/>
      <c r="F144" s="190">
        <v>11.74</v>
      </c>
      <c r="G144" s="138"/>
      <c r="H144" s="139">
        <f t="shared" si="31"/>
        <v>12508060</v>
      </c>
      <c r="I144" s="139">
        <f t="shared" si="31"/>
        <v>13442605</v>
      </c>
      <c r="J144" s="135"/>
      <c r="K144" s="190">
        <v>12.13</v>
      </c>
      <c r="L144" s="138"/>
      <c r="M144" s="139">
        <f t="shared" si="32"/>
        <v>13889165</v>
      </c>
    </row>
    <row r="145" spans="1:13" ht="16.5" hidden="1" thickTop="1">
      <c r="A145" s="136" t="s">
        <v>148</v>
      </c>
      <c r="C145" s="135">
        <v>197433451</v>
      </c>
      <c r="D145" s="135">
        <v>214486627.07722425</v>
      </c>
      <c r="E145" s="135"/>
      <c r="F145" s="193">
        <v>3.8877999999999999</v>
      </c>
      <c r="G145" s="163" t="s">
        <v>112</v>
      </c>
      <c r="H145" s="139">
        <f>ROUND($F145*C145/100,0)</f>
        <v>7675818</v>
      </c>
      <c r="I145" s="139">
        <f>ROUND($F145*D145/100,0)</f>
        <v>8338811</v>
      </c>
      <c r="J145" s="135"/>
      <c r="K145" s="193">
        <v>3.9350999999999998</v>
      </c>
      <c r="L145" s="163" t="s">
        <v>112</v>
      </c>
      <c r="M145" s="139">
        <f>ROUND($K145*D145/100,0)</f>
        <v>8440263</v>
      </c>
    </row>
    <row r="146" spans="1:13" ht="16.5" hidden="1" thickTop="1">
      <c r="A146" s="136" t="s">
        <v>149</v>
      </c>
      <c r="C146" s="135">
        <v>344642303</v>
      </c>
      <c r="D146" s="135">
        <f>D150-D145-D148</f>
        <v>368230985.76502693</v>
      </c>
      <c r="E146" s="135"/>
      <c r="F146" s="193">
        <v>3.4405000000000001</v>
      </c>
      <c r="G146" s="163" t="s">
        <v>112</v>
      </c>
      <c r="H146" s="139">
        <f>ROUND($F146*C146/100,0)</f>
        <v>11857418</v>
      </c>
      <c r="I146" s="139">
        <f>ROUND($F146*D146/100,0)</f>
        <v>12668987</v>
      </c>
      <c r="J146" s="135"/>
      <c r="K146" s="193">
        <v>3.4823</v>
      </c>
      <c r="L146" s="163" t="s">
        <v>112</v>
      </c>
      <c r="M146" s="139">
        <f>ROUND($K146*D146/100,0)</f>
        <v>12822908</v>
      </c>
    </row>
    <row r="147" spans="1:13" ht="16.5" hidden="1" thickTop="1">
      <c r="A147" s="136" t="s">
        <v>150</v>
      </c>
      <c r="C147" s="135">
        <v>188733.39583333299</v>
      </c>
      <c r="D147" s="135">
        <f>ROUND($C147/$C$150*D$150,0)</f>
        <v>202835</v>
      </c>
      <c r="E147" s="135"/>
      <c r="F147" s="138">
        <v>-0.96</v>
      </c>
      <c r="G147" s="138"/>
      <c r="H147" s="139">
        <f>ROUND($F147*C147,0)</f>
        <v>-181184</v>
      </c>
      <c r="I147" s="139">
        <f>ROUND($F147*D147,0)</f>
        <v>-194722</v>
      </c>
      <c r="J147" s="135"/>
      <c r="K147" s="138">
        <v>-0.96</v>
      </c>
      <c r="L147" s="138"/>
      <c r="M147" s="139">
        <f>ROUND($K147*D147,0)</f>
        <v>-194722</v>
      </c>
    </row>
    <row r="148" spans="1:13" ht="16.5" hidden="1" thickTop="1">
      <c r="A148" s="172" t="s">
        <v>123</v>
      </c>
      <c r="C148" s="135">
        <v>7200</v>
      </c>
      <c r="D148" s="135">
        <f>ROUND($C148/$C$150*D$150,0)</f>
        <v>7738</v>
      </c>
      <c r="E148" s="135"/>
      <c r="F148" s="193">
        <v>7.125</v>
      </c>
      <c r="G148" s="163" t="s">
        <v>112</v>
      </c>
      <c r="H148" s="139">
        <f>ROUND($F148*C148/100,0)</f>
        <v>513</v>
      </c>
      <c r="I148" s="139">
        <f>ROUND($F148*D148/100,0)</f>
        <v>551</v>
      </c>
      <c r="J148" s="135"/>
      <c r="K148" s="193">
        <v>7.125</v>
      </c>
      <c r="L148" s="163" t="s">
        <v>112</v>
      </c>
      <c r="M148" s="139">
        <f>ROUND($K148*D148/100,0)</f>
        <v>551</v>
      </c>
    </row>
    <row r="149" spans="1:13" ht="16.5" hidden="1" thickTop="1">
      <c r="A149" s="172" t="s">
        <v>125</v>
      </c>
      <c r="B149" s="173"/>
      <c r="C149" s="135">
        <v>130879</v>
      </c>
      <c r="D149" s="135"/>
      <c r="E149" s="135"/>
      <c r="F149" s="174"/>
      <c r="G149" s="13"/>
      <c r="H149" s="139">
        <v>106169.78386721015</v>
      </c>
      <c r="I149" s="139"/>
      <c r="J149" s="135"/>
      <c r="K149" s="174"/>
      <c r="L149" s="13"/>
      <c r="M149" s="139"/>
    </row>
    <row r="150" spans="1:13" ht="17.25" hidden="1" thickTop="1" thickBot="1">
      <c r="A150" s="176" t="s">
        <v>127</v>
      </c>
      <c r="B150" s="177"/>
      <c r="C150" s="178">
        <f>SUM(C145:C146,C148:C149)</f>
        <v>542213833</v>
      </c>
      <c r="D150" s="178">
        <v>582725350.84225118</v>
      </c>
      <c r="E150" s="178"/>
      <c r="F150" s="177"/>
      <c r="G150" s="177"/>
      <c r="H150" s="179">
        <f>SUM(H139:H149)</f>
        <v>47017493.78386721</v>
      </c>
      <c r="I150" s="179">
        <f>SUM(I139:I149)</f>
        <v>50395508</v>
      </c>
      <c r="J150" s="178"/>
      <c r="K150" s="177"/>
      <c r="L150" s="177"/>
      <c r="M150" s="179">
        <f>SUM(M139:M149)</f>
        <v>51631234</v>
      </c>
    </row>
    <row r="151" spans="1:13" ht="16.5" hidden="1" thickTop="1">
      <c r="C151" s="135"/>
      <c r="D151" s="135"/>
      <c r="E151" s="135"/>
      <c r="J151" s="135"/>
    </row>
    <row r="152" spans="1:13" ht="16.5" hidden="1" thickTop="1">
      <c r="A152" s="133" t="s">
        <v>456</v>
      </c>
      <c r="C152" s="135"/>
      <c r="D152" s="135"/>
      <c r="E152" s="135"/>
      <c r="J152" s="135"/>
    </row>
    <row r="153" spans="1:13" ht="16.5" hidden="1" thickTop="1">
      <c r="A153" s="136" t="s">
        <v>143</v>
      </c>
      <c r="C153" s="135">
        <v>3871.8656603773602</v>
      </c>
      <c r="D153" s="135">
        <v>3955.7373461067955</v>
      </c>
      <c r="E153" s="135"/>
      <c r="F153" s="190">
        <v>53</v>
      </c>
      <c r="G153" s="138"/>
      <c r="H153" s="139">
        <f t="shared" ref="H153:I158" si="33">ROUND($F153*C153,0)</f>
        <v>205209</v>
      </c>
      <c r="I153" s="139">
        <f t="shared" si="33"/>
        <v>209654</v>
      </c>
      <c r="J153" s="135"/>
      <c r="K153" s="190">
        <v>55</v>
      </c>
      <c r="L153" s="138"/>
      <c r="M153" s="139">
        <f t="shared" ref="M153:M158" si="34">ROUND($K153*D153,0)</f>
        <v>217566</v>
      </c>
    </row>
    <row r="154" spans="1:13" ht="16.5" hidden="1" thickTop="1">
      <c r="A154" s="136" t="s">
        <v>106</v>
      </c>
      <c r="C154" s="135">
        <v>0</v>
      </c>
      <c r="D154" s="135">
        <f>ROUND($C154/$C153*D153,0)</f>
        <v>0</v>
      </c>
      <c r="E154" s="135"/>
      <c r="F154" s="190">
        <v>2</v>
      </c>
      <c r="G154" s="138"/>
      <c r="H154" s="139">
        <f t="shared" si="33"/>
        <v>0</v>
      </c>
      <c r="I154" s="139">
        <f t="shared" si="33"/>
        <v>0</v>
      </c>
      <c r="J154" s="135"/>
      <c r="K154" s="190">
        <v>2</v>
      </c>
      <c r="L154" s="138"/>
      <c r="M154" s="139">
        <f t="shared" si="34"/>
        <v>0</v>
      </c>
    </row>
    <row r="155" spans="1:13" ht="16.5" hidden="1" thickTop="1">
      <c r="A155" s="136" t="s">
        <v>109</v>
      </c>
      <c r="C155" s="135">
        <v>1682</v>
      </c>
      <c r="D155" s="135">
        <v>2749.6061939778419</v>
      </c>
      <c r="E155" s="135"/>
      <c r="F155" s="138">
        <v>-0.5</v>
      </c>
      <c r="G155" s="138"/>
      <c r="H155" s="139">
        <f t="shared" si="33"/>
        <v>-841</v>
      </c>
      <c r="I155" s="139">
        <f t="shared" si="33"/>
        <v>-1375</v>
      </c>
      <c r="J155" s="135"/>
      <c r="K155" s="138">
        <v>-0.5</v>
      </c>
      <c r="L155" s="138"/>
      <c r="M155" s="139">
        <f t="shared" si="34"/>
        <v>-1375</v>
      </c>
    </row>
    <row r="156" spans="1:13" ht="16.5" hidden="1" thickTop="1">
      <c r="A156" s="136" t="s">
        <v>144</v>
      </c>
      <c r="C156" s="135">
        <v>323522.41102756897</v>
      </c>
      <c r="D156" s="135">
        <f>ROUND($C156/$C$164*D$164,0)</f>
        <v>346654</v>
      </c>
      <c r="E156" s="135"/>
      <c r="F156" s="190">
        <v>3.99</v>
      </c>
      <c r="G156" s="138"/>
      <c r="H156" s="139">
        <f t="shared" si="33"/>
        <v>1290854</v>
      </c>
      <c r="I156" s="139">
        <f t="shared" si="33"/>
        <v>1383149</v>
      </c>
      <c r="J156" s="135"/>
      <c r="K156" s="190">
        <v>4.12</v>
      </c>
      <c r="L156" s="138"/>
      <c r="M156" s="139">
        <f t="shared" si="34"/>
        <v>1428214</v>
      </c>
    </row>
    <row r="157" spans="1:13" ht="16.5" hidden="1" thickTop="1">
      <c r="A157" s="136" t="s">
        <v>145</v>
      </c>
      <c r="C157" s="135">
        <v>111078.292388847</v>
      </c>
      <c r="D157" s="135">
        <f>ROUND($C157/$C$164*D$164,0)</f>
        <v>119020</v>
      </c>
      <c r="E157" s="135"/>
      <c r="F157" s="190">
        <v>13.27</v>
      </c>
      <c r="G157" s="138"/>
      <c r="H157" s="139">
        <f t="shared" si="33"/>
        <v>1474009</v>
      </c>
      <c r="I157" s="139">
        <f t="shared" si="33"/>
        <v>1579395</v>
      </c>
      <c r="J157" s="135"/>
      <c r="K157" s="190">
        <v>13.71</v>
      </c>
      <c r="L157" s="138"/>
      <c r="M157" s="139">
        <f t="shared" si="34"/>
        <v>1631764</v>
      </c>
    </row>
    <row r="158" spans="1:13" ht="16.5" hidden="1" thickTop="1">
      <c r="A158" s="136" t="s">
        <v>146</v>
      </c>
      <c r="C158" s="135">
        <v>212444.11073253801</v>
      </c>
      <c r="D158" s="135">
        <f>ROUND($C158/$C$164*D$164,0)</f>
        <v>227633</v>
      </c>
      <c r="E158" s="135"/>
      <c r="F158" s="190">
        <v>11.74</v>
      </c>
      <c r="G158" s="138"/>
      <c r="H158" s="139">
        <f t="shared" si="33"/>
        <v>2494094</v>
      </c>
      <c r="I158" s="139">
        <f t="shared" si="33"/>
        <v>2672411</v>
      </c>
      <c r="J158" s="135"/>
      <c r="K158" s="190">
        <v>12.13</v>
      </c>
      <c r="L158" s="138"/>
      <c r="M158" s="139">
        <f t="shared" si="34"/>
        <v>2761188</v>
      </c>
    </row>
    <row r="159" spans="1:13" ht="16.5" hidden="1" thickTop="1">
      <c r="A159" s="136" t="s">
        <v>148</v>
      </c>
      <c r="C159" s="135">
        <v>45588863.37180607</v>
      </c>
      <c r="D159" s="135">
        <v>50769819.998020269</v>
      </c>
      <c r="E159" s="135"/>
      <c r="F159" s="193">
        <v>3.8877999999999999</v>
      </c>
      <c r="G159" s="163" t="s">
        <v>112</v>
      </c>
      <c r="H159" s="139">
        <f>ROUND($F159*C159/100,0)</f>
        <v>1772404</v>
      </c>
      <c r="I159" s="139">
        <f>ROUND($F159*D159/100,0)</f>
        <v>1973829</v>
      </c>
      <c r="J159" s="135"/>
      <c r="K159" s="193">
        <v>3.9350999999999998</v>
      </c>
      <c r="L159" s="163" t="s">
        <v>112</v>
      </c>
      <c r="M159" s="139">
        <f>ROUND($K159*D159/100,0)</f>
        <v>1997843</v>
      </c>
    </row>
    <row r="160" spans="1:13" ht="16.5" hidden="1" thickTop="1">
      <c r="A160" s="136" t="s">
        <v>149</v>
      </c>
      <c r="C160" s="135">
        <v>91443997.580300882</v>
      </c>
      <c r="D160" s="135">
        <f>D164-D159-D162</f>
        <v>96477736.729182988</v>
      </c>
      <c r="E160" s="135"/>
      <c r="F160" s="193">
        <v>3.4405000000000001</v>
      </c>
      <c r="G160" s="163" t="s">
        <v>112</v>
      </c>
      <c r="H160" s="139">
        <f>ROUND($F160*C160/100,0)</f>
        <v>3146131</v>
      </c>
      <c r="I160" s="139">
        <f>ROUND($F160*D160/100,0)</f>
        <v>3319317</v>
      </c>
      <c r="J160" s="135"/>
      <c r="K160" s="193">
        <v>3.4823</v>
      </c>
      <c r="L160" s="163" t="s">
        <v>112</v>
      </c>
      <c r="M160" s="139">
        <f>ROUND($K160*D160/100,0)</f>
        <v>3359644</v>
      </c>
    </row>
    <row r="161" spans="1:13" ht="16.5" hidden="1" thickTop="1">
      <c r="A161" s="136" t="s">
        <v>150</v>
      </c>
      <c r="C161" s="135">
        <v>26224</v>
      </c>
      <c r="D161" s="135">
        <f>ROUND($C161/$C$164*D$164,0)</f>
        <v>28099</v>
      </c>
      <c r="E161" s="135"/>
      <c r="F161" s="138">
        <v>-0.96</v>
      </c>
      <c r="G161" s="138"/>
      <c r="H161" s="139">
        <f>ROUND($F161*C161,0)</f>
        <v>-25175</v>
      </c>
      <c r="I161" s="139">
        <f>ROUND($F161*D161,0)</f>
        <v>-26975</v>
      </c>
      <c r="J161" s="135"/>
      <c r="K161" s="138">
        <v>-0.96</v>
      </c>
      <c r="L161" s="138"/>
      <c r="M161" s="139">
        <f>ROUND($K161*D161,0)</f>
        <v>-26975</v>
      </c>
    </row>
    <row r="162" spans="1:13" ht="16.5" hidden="1" thickTop="1">
      <c r="A162" s="172" t="s">
        <v>123</v>
      </c>
      <c r="C162" s="135">
        <v>0</v>
      </c>
      <c r="D162" s="135">
        <f>ROUND($C162/$C$164*D$164,0)</f>
        <v>0</v>
      </c>
      <c r="E162" s="135"/>
      <c r="F162" s="193">
        <v>7.125</v>
      </c>
      <c r="G162" s="163" t="s">
        <v>112</v>
      </c>
      <c r="H162" s="139">
        <f>ROUND($F162*C162/100,0)</f>
        <v>0</v>
      </c>
      <c r="I162" s="139">
        <f>ROUND($F162*D162/100,0)</f>
        <v>0</v>
      </c>
      <c r="J162" s="135"/>
      <c r="K162" s="193">
        <v>7.125</v>
      </c>
      <c r="L162" s="163" t="s">
        <v>112</v>
      </c>
      <c r="M162" s="139">
        <f>ROUND($K162*D162/100,0)</f>
        <v>0</v>
      </c>
    </row>
    <row r="163" spans="1:13" ht="16.5" hidden="1" thickTop="1">
      <c r="A163" s="172" t="s">
        <v>125</v>
      </c>
      <c r="B163" s="173"/>
      <c r="C163" s="135">
        <v>389303</v>
      </c>
      <c r="D163" s="135"/>
      <c r="E163" s="135"/>
      <c r="F163" s="174"/>
      <c r="G163" s="13"/>
      <c r="H163" s="139">
        <v>34810</v>
      </c>
      <c r="I163" s="139"/>
      <c r="J163" s="135"/>
      <c r="K163" s="174"/>
      <c r="L163" s="13"/>
      <c r="M163" s="139"/>
    </row>
    <row r="164" spans="1:13" ht="17.25" hidden="1" thickTop="1" thickBot="1">
      <c r="A164" s="176" t="s">
        <v>127</v>
      </c>
      <c r="B164" s="177"/>
      <c r="C164" s="178">
        <f>SUM(C159:C160,C162:C163)</f>
        <v>137422163.95210695</v>
      </c>
      <c r="D164" s="178">
        <v>147247556.72720325</v>
      </c>
      <c r="E164" s="178"/>
      <c r="F164" s="177"/>
      <c r="G164" s="177"/>
      <c r="H164" s="179">
        <f>SUM(H153:H163)</f>
        <v>10391495</v>
      </c>
      <c r="I164" s="179">
        <f>SUM(I153:I163)</f>
        <v>11109405</v>
      </c>
      <c r="J164" s="178"/>
      <c r="K164" s="177"/>
      <c r="L164" s="177"/>
      <c r="M164" s="179">
        <f>SUM(M153:M163)</f>
        <v>11367869</v>
      </c>
    </row>
    <row r="165" spans="1:13" ht="16.5" thickTop="1">
      <c r="C165" s="135"/>
      <c r="D165" s="135"/>
      <c r="E165" s="135"/>
      <c r="J165" s="135"/>
    </row>
    <row r="166" spans="1:13">
      <c r="A166" s="133" t="s">
        <v>151</v>
      </c>
      <c r="C166" s="135"/>
      <c r="D166" s="135"/>
      <c r="E166" s="135"/>
      <c r="J166" s="135"/>
    </row>
    <row r="167" spans="1:13">
      <c r="A167" s="136" t="s">
        <v>143</v>
      </c>
      <c r="C167" s="135">
        <f t="shared" ref="C167:D176" si="35">C181+C195+C209</f>
        <v>5145.3337735849054</v>
      </c>
      <c r="D167" s="135">
        <f t="shared" si="35"/>
        <v>6952.9999999999991</v>
      </c>
      <c r="E167" s="135"/>
      <c r="F167" s="190">
        <v>53</v>
      </c>
      <c r="G167" s="138"/>
      <c r="H167" s="139">
        <f t="shared" ref="H167:I172" si="36">ROUND($F167*C167,0)</f>
        <v>272703</v>
      </c>
      <c r="I167" s="139">
        <f t="shared" si="36"/>
        <v>368509</v>
      </c>
      <c r="J167" s="135"/>
      <c r="K167" s="190">
        <v>55</v>
      </c>
      <c r="L167" s="138"/>
      <c r="M167" s="139">
        <f t="shared" ref="M167:M172" si="37">ROUND($K167*D167,0)</f>
        <v>382415</v>
      </c>
    </row>
    <row r="168" spans="1:13">
      <c r="A168" s="136" t="s">
        <v>106</v>
      </c>
      <c r="C168" s="135">
        <f t="shared" si="35"/>
        <v>168</v>
      </c>
      <c r="D168" s="135">
        <f t="shared" si="35"/>
        <v>219</v>
      </c>
      <c r="E168" s="135"/>
      <c r="F168" s="190">
        <v>2</v>
      </c>
      <c r="G168" s="138"/>
      <c r="H168" s="139">
        <f t="shared" si="36"/>
        <v>336</v>
      </c>
      <c r="I168" s="139">
        <f t="shared" si="36"/>
        <v>438</v>
      </c>
      <c r="J168" s="135"/>
      <c r="K168" s="190">
        <v>2</v>
      </c>
      <c r="L168" s="138"/>
      <c r="M168" s="139">
        <f t="shared" si="37"/>
        <v>438</v>
      </c>
    </row>
    <row r="169" spans="1:13">
      <c r="A169" s="136" t="s">
        <v>109</v>
      </c>
      <c r="C169" s="135">
        <f t="shared" si="35"/>
        <v>2378</v>
      </c>
      <c r="D169" s="135">
        <f t="shared" si="35"/>
        <v>4832.9831315882802</v>
      </c>
      <c r="E169" s="135"/>
      <c r="F169" s="138">
        <v>-0.5</v>
      </c>
      <c r="G169" s="138"/>
      <c r="H169" s="139">
        <f t="shared" si="36"/>
        <v>-1189</v>
      </c>
      <c r="I169" s="139">
        <f t="shared" si="36"/>
        <v>-2416</v>
      </c>
      <c r="J169" s="135"/>
      <c r="K169" s="138">
        <v>-0.5</v>
      </c>
      <c r="L169" s="138"/>
      <c r="M169" s="139">
        <f t="shared" si="37"/>
        <v>-2416</v>
      </c>
    </row>
    <row r="170" spans="1:13">
      <c r="A170" s="136" t="s">
        <v>144</v>
      </c>
      <c r="C170" s="135">
        <f t="shared" si="35"/>
        <v>601418.20050125348</v>
      </c>
      <c r="D170" s="135">
        <f t="shared" si="35"/>
        <v>798891</v>
      </c>
      <c r="E170" s="135"/>
      <c r="F170" s="190">
        <v>3.99</v>
      </c>
      <c r="G170" s="138"/>
      <c r="H170" s="139">
        <f t="shared" si="36"/>
        <v>2399659</v>
      </c>
      <c r="I170" s="139">
        <f t="shared" si="36"/>
        <v>3187575</v>
      </c>
      <c r="J170" s="135"/>
      <c r="K170" s="190">
        <v>4.12</v>
      </c>
      <c r="L170" s="138"/>
      <c r="M170" s="139">
        <f t="shared" si="37"/>
        <v>3291431</v>
      </c>
    </row>
    <row r="171" spans="1:13">
      <c r="A171" s="136" t="s">
        <v>145</v>
      </c>
      <c r="C171" s="135">
        <f t="shared" si="35"/>
        <v>212182.15674453683</v>
      </c>
      <c r="D171" s="135">
        <f t="shared" si="35"/>
        <v>281864</v>
      </c>
      <c r="E171" s="135"/>
      <c r="F171" s="190">
        <v>13.27</v>
      </c>
      <c r="G171" s="138"/>
      <c r="H171" s="139">
        <f t="shared" si="36"/>
        <v>2815657</v>
      </c>
      <c r="I171" s="139">
        <f t="shared" si="36"/>
        <v>3740335</v>
      </c>
      <c r="J171" s="135"/>
      <c r="K171" s="190">
        <v>13.71</v>
      </c>
      <c r="L171" s="138"/>
      <c r="M171" s="139">
        <f t="shared" si="37"/>
        <v>3864355</v>
      </c>
    </row>
    <row r="172" spans="1:13">
      <c r="A172" s="136" t="s">
        <v>146</v>
      </c>
      <c r="C172" s="135">
        <f t="shared" si="35"/>
        <v>389236.05962521303</v>
      </c>
      <c r="D172" s="135">
        <f t="shared" si="35"/>
        <v>517026</v>
      </c>
      <c r="E172" s="135"/>
      <c r="F172" s="190">
        <v>11.74</v>
      </c>
      <c r="G172" s="138"/>
      <c r="H172" s="139">
        <f t="shared" si="36"/>
        <v>4569631</v>
      </c>
      <c r="I172" s="139">
        <f t="shared" si="36"/>
        <v>6069885</v>
      </c>
      <c r="J172" s="135"/>
      <c r="K172" s="190">
        <v>12.13</v>
      </c>
      <c r="L172" s="138"/>
      <c r="M172" s="139">
        <f t="shared" si="37"/>
        <v>6271525</v>
      </c>
    </row>
    <row r="173" spans="1:13">
      <c r="A173" s="136" t="s">
        <v>148</v>
      </c>
      <c r="C173" s="135">
        <f t="shared" si="35"/>
        <v>65719826</v>
      </c>
      <c r="D173" s="135">
        <f t="shared" si="35"/>
        <v>63730125.602599882</v>
      </c>
      <c r="E173" s="135"/>
      <c r="F173" s="193">
        <v>3.8877999999999999</v>
      </c>
      <c r="G173" s="163" t="s">
        <v>112</v>
      </c>
      <c r="H173" s="139">
        <f>ROUND($F173*C173/100,0)</f>
        <v>2555055</v>
      </c>
      <c r="I173" s="139">
        <f>ROUND($F173*D173/100,0)</f>
        <v>2477700</v>
      </c>
      <c r="J173" s="135"/>
      <c r="K173" s="193">
        <v>3.9350999999999998</v>
      </c>
      <c r="L173" s="163" t="s">
        <v>112</v>
      </c>
      <c r="M173" s="139">
        <f>ROUND($K173*D173/100,0)</f>
        <v>2507844</v>
      </c>
    </row>
    <row r="174" spans="1:13">
      <c r="A174" s="136" t="s">
        <v>149</v>
      </c>
      <c r="C174" s="135">
        <f t="shared" si="35"/>
        <v>126708251</v>
      </c>
      <c r="D174" s="135">
        <f t="shared" si="35"/>
        <v>193638846.41453266</v>
      </c>
      <c r="E174" s="135"/>
      <c r="F174" s="193">
        <v>3.4405000000000001</v>
      </c>
      <c r="G174" s="163" t="s">
        <v>112</v>
      </c>
      <c r="H174" s="139">
        <f>ROUND($F174*C174/100,0)</f>
        <v>4359397</v>
      </c>
      <c r="I174" s="139">
        <f>ROUND($F174*D174/100,0)</f>
        <v>6662145</v>
      </c>
      <c r="J174" s="135"/>
      <c r="K174" s="193">
        <v>3.4823</v>
      </c>
      <c r="L174" s="163" t="s">
        <v>112</v>
      </c>
      <c r="M174" s="139">
        <f>ROUND($K174*D174/100,0)</f>
        <v>6743086</v>
      </c>
    </row>
    <row r="175" spans="1:13">
      <c r="A175" s="136" t="s">
        <v>150</v>
      </c>
      <c r="C175" s="135">
        <f t="shared" si="35"/>
        <v>23511</v>
      </c>
      <c r="D175" s="135">
        <f t="shared" si="35"/>
        <v>28688</v>
      </c>
      <c r="E175" s="135"/>
      <c r="F175" s="138">
        <v>-0.96</v>
      </c>
      <c r="G175" s="138"/>
      <c r="H175" s="139">
        <f>ROUND($F175*C175,0)</f>
        <v>-22571</v>
      </c>
      <c r="I175" s="139">
        <f>ROUND($F175*D175,0)</f>
        <v>-27540</v>
      </c>
      <c r="J175" s="135"/>
      <c r="K175" s="138">
        <v>-0.96</v>
      </c>
      <c r="L175" s="138"/>
      <c r="M175" s="139">
        <f>ROUND($K175*D175,0)</f>
        <v>-27540</v>
      </c>
    </row>
    <row r="176" spans="1:13">
      <c r="A176" s="172" t="s">
        <v>123</v>
      </c>
      <c r="C176" s="135">
        <f t="shared" si="35"/>
        <v>0</v>
      </c>
      <c r="D176" s="135">
        <f t="shared" si="35"/>
        <v>0</v>
      </c>
      <c r="E176" s="135"/>
      <c r="F176" s="193">
        <v>7.125</v>
      </c>
      <c r="G176" s="163" t="s">
        <v>112</v>
      </c>
      <c r="H176" s="139">
        <f>ROUND($F176*C176/100,0)</f>
        <v>0</v>
      </c>
      <c r="I176" s="139">
        <f>ROUND($F176*D176/100,0)</f>
        <v>0</v>
      </c>
      <c r="J176" s="135"/>
      <c r="K176" s="193">
        <v>7.125</v>
      </c>
      <c r="L176" s="163" t="s">
        <v>112</v>
      </c>
      <c r="M176" s="139">
        <f>ROUND($K176*D176/100,0)</f>
        <v>0</v>
      </c>
    </row>
    <row r="177" spans="1:13">
      <c r="A177" s="172" t="s">
        <v>125</v>
      </c>
      <c r="B177" s="173"/>
      <c r="C177" s="135">
        <f>C191+C205+C219</f>
        <v>1420383</v>
      </c>
      <c r="D177" s="135"/>
      <c r="E177" s="135"/>
      <c r="F177" s="174"/>
      <c r="G177" s="13"/>
      <c r="H177" s="139">
        <f>H191+H205+H219</f>
        <v>125338</v>
      </c>
      <c r="I177" s="139"/>
      <c r="J177" s="135"/>
      <c r="K177" s="174"/>
      <c r="L177" s="13"/>
      <c r="M177" s="139"/>
    </row>
    <row r="178" spans="1:13" ht="16.5" thickBot="1">
      <c r="A178" s="176" t="s">
        <v>127</v>
      </c>
      <c r="B178" s="177"/>
      <c r="C178" s="178">
        <f t="shared" ref="C178:D178" si="38">C192+C206+C220</f>
        <v>193848460</v>
      </c>
      <c r="D178" s="178">
        <f t="shared" si="38"/>
        <v>257368972.01713255</v>
      </c>
      <c r="E178" s="178"/>
      <c r="F178" s="177"/>
      <c r="G178" s="177"/>
      <c r="H178" s="179">
        <f>SUM(H167:H177)</f>
        <v>17074016</v>
      </c>
      <c r="I178" s="179">
        <f>SUM(I167:I177)</f>
        <v>22476631</v>
      </c>
      <c r="J178" s="178"/>
      <c r="K178" s="177"/>
      <c r="L178" s="177"/>
      <c r="M178" s="179">
        <f>SUM(M167:M177)</f>
        <v>23031138</v>
      </c>
    </row>
    <row r="179" spans="1:13" ht="16.5" thickTop="1">
      <c r="C179" s="135"/>
      <c r="D179" s="135"/>
      <c r="E179" s="135"/>
      <c r="J179" s="135"/>
    </row>
    <row r="180" spans="1:13" hidden="1">
      <c r="A180" s="133" t="s">
        <v>457</v>
      </c>
      <c r="C180" s="135"/>
      <c r="D180" s="135"/>
      <c r="E180" s="135"/>
      <c r="J180" s="135"/>
    </row>
    <row r="181" spans="1:13" hidden="1">
      <c r="A181" s="136" t="s">
        <v>143</v>
      </c>
      <c r="C181" s="135">
        <v>4889.90037735849</v>
      </c>
      <c r="D181" s="135">
        <v>6747.9999999999991</v>
      </c>
      <c r="E181" s="135"/>
      <c r="F181" s="190">
        <v>53</v>
      </c>
      <c r="G181" s="138"/>
      <c r="H181" s="139">
        <f t="shared" ref="H181:I186" si="39">ROUND($F181*C181,0)</f>
        <v>259165</v>
      </c>
      <c r="I181" s="139">
        <f t="shared" si="39"/>
        <v>357644</v>
      </c>
      <c r="J181" s="135"/>
      <c r="K181" s="190">
        <v>55</v>
      </c>
      <c r="L181" s="138"/>
      <c r="M181" s="139">
        <f t="shared" ref="M181:M186" si="40">ROUND($K181*D181,0)</f>
        <v>371140</v>
      </c>
    </row>
    <row r="182" spans="1:13" hidden="1">
      <c r="A182" s="136" t="s">
        <v>106</v>
      </c>
      <c r="C182" s="135">
        <v>144</v>
      </c>
      <c r="D182" s="135">
        <f t="shared" ref="D182" si="41">ROUND($C182*D$181/$C$181,0)</f>
        <v>199</v>
      </c>
      <c r="E182" s="135"/>
      <c r="F182" s="190">
        <v>2</v>
      </c>
      <c r="G182" s="138"/>
      <c r="H182" s="139">
        <f t="shared" si="39"/>
        <v>288</v>
      </c>
      <c r="I182" s="139">
        <f t="shared" si="39"/>
        <v>398</v>
      </c>
      <c r="J182" s="135"/>
      <c r="K182" s="190">
        <v>2</v>
      </c>
      <c r="L182" s="138"/>
      <c r="M182" s="139">
        <f t="shared" si="40"/>
        <v>398</v>
      </c>
    </row>
    <row r="183" spans="1:13" hidden="1">
      <c r="A183" s="136" t="s">
        <v>109</v>
      </c>
      <c r="C183" s="135">
        <v>2307</v>
      </c>
      <c r="D183" s="135">
        <v>4690.4890222864542</v>
      </c>
      <c r="E183" s="135"/>
      <c r="F183" s="138">
        <v>-0.5</v>
      </c>
      <c r="G183" s="138"/>
      <c r="H183" s="139">
        <f t="shared" si="39"/>
        <v>-1154</v>
      </c>
      <c r="I183" s="139">
        <f t="shared" si="39"/>
        <v>-2345</v>
      </c>
      <c r="J183" s="135"/>
      <c r="K183" s="138">
        <v>-0.5</v>
      </c>
      <c r="L183" s="138"/>
      <c r="M183" s="139">
        <f t="shared" si="40"/>
        <v>-2345</v>
      </c>
    </row>
    <row r="184" spans="1:13" hidden="1">
      <c r="A184" s="136" t="s">
        <v>144</v>
      </c>
      <c r="C184" s="135">
        <v>578729.73433583998</v>
      </c>
      <c r="D184" s="135">
        <f>ROUND(D$192*$C184/$C$192,0)</f>
        <v>781163</v>
      </c>
      <c r="E184" s="135"/>
      <c r="F184" s="190">
        <v>3.99</v>
      </c>
      <c r="G184" s="138"/>
      <c r="H184" s="139">
        <f t="shared" si="39"/>
        <v>2309132</v>
      </c>
      <c r="I184" s="139">
        <f t="shared" si="39"/>
        <v>3116840</v>
      </c>
      <c r="J184" s="135"/>
      <c r="K184" s="190">
        <v>4.12</v>
      </c>
      <c r="L184" s="138"/>
      <c r="M184" s="139">
        <f t="shared" si="40"/>
        <v>3218392</v>
      </c>
    </row>
    <row r="185" spans="1:13" hidden="1">
      <c r="A185" s="136" t="s">
        <v>145</v>
      </c>
      <c r="C185" s="135">
        <v>204455.49133383599</v>
      </c>
      <c r="D185" s="135">
        <f>ROUND(D$192*$C185/$C$192,0)</f>
        <v>275972</v>
      </c>
      <c r="E185" s="135"/>
      <c r="F185" s="190">
        <v>13.27</v>
      </c>
      <c r="G185" s="138"/>
      <c r="H185" s="139">
        <f t="shared" si="39"/>
        <v>2713124</v>
      </c>
      <c r="I185" s="139">
        <f t="shared" si="39"/>
        <v>3662148</v>
      </c>
      <c r="J185" s="135"/>
      <c r="K185" s="190">
        <v>13.71</v>
      </c>
      <c r="L185" s="138"/>
      <c r="M185" s="139">
        <f t="shared" si="40"/>
        <v>3783576</v>
      </c>
    </row>
    <row r="186" spans="1:13" hidden="1">
      <c r="A186" s="136" t="s">
        <v>146</v>
      </c>
      <c r="C186" s="135">
        <v>374274.25894378201</v>
      </c>
      <c r="D186" s="135">
        <f>ROUND(D$192*$C186/$C$192,0)</f>
        <v>505191</v>
      </c>
      <c r="E186" s="135"/>
      <c r="F186" s="190">
        <v>11.74</v>
      </c>
      <c r="G186" s="138"/>
      <c r="H186" s="139">
        <f t="shared" si="39"/>
        <v>4393980</v>
      </c>
      <c r="I186" s="139">
        <f t="shared" si="39"/>
        <v>5930942</v>
      </c>
      <c r="J186" s="135"/>
      <c r="K186" s="190">
        <v>12.13</v>
      </c>
      <c r="L186" s="138"/>
      <c r="M186" s="139">
        <f t="shared" si="40"/>
        <v>6127967</v>
      </c>
    </row>
    <row r="187" spans="1:13" hidden="1">
      <c r="A187" s="136" t="s">
        <v>148</v>
      </c>
      <c r="C187" s="135">
        <v>63086983</v>
      </c>
      <c r="D187" s="135">
        <v>61691904.602599882</v>
      </c>
      <c r="E187" s="135"/>
      <c r="F187" s="193">
        <v>3.8877999999999999</v>
      </c>
      <c r="G187" s="163" t="s">
        <v>112</v>
      </c>
      <c r="H187" s="139">
        <f>ROUND($F187*C187/100,0)</f>
        <v>2452696</v>
      </c>
      <c r="I187" s="139">
        <f>ROUND($F187*D187/100,0)</f>
        <v>2398458</v>
      </c>
      <c r="J187" s="135"/>
      <c r="K187" s="193">
        <v>3.9350999999999998</v>
      </c>
      <c r="L187" s="163" t="s">
        <v>112</v>
      </c>
      <c r="M187" s="139">
        <f>ROUND($K187*D187/100,0)</f>
        <v>2427638</v>
      </c>
    </row>
    <row r="188" spans="1:13" hidden="1">
      <c r="A188" s="136" t="s">
        <v>149</v>
      </c>
      <c r="C188" s="135">
        <v>121670823</v>
      </c>
      <c r="D188" s="135">
        <f>D192-D187</f>
        <v>189593723.747866</v>
      </c>
      <c r="E188" s="135"/>
      <c r="F188" s="193">
        <v>3.4405000000000001</v>
      </c>
      <c r="G188" s="163" t="s">
        <v>112</v>
      </c>
      <c r="H188" s="139">
        <f>ROUND($F188*C188/100,0)</f>
        <v>4186085</v>
      </c>
      <c r="I188" s="139">
        <f>ROUND($F188*D188/100,0)</f>
        <v>6522972</v>
      </c>
      <c r="J188" s="135"/>
      <c r="K188" s="193">
        <v>3.4823</v>
      </c>
      <c r="L188" s="163" t="s">
        <v>112</v>
      </c>
      <c r="M188" s="139">
        <f>ROUND($K188*D188/100,0)</f>
        <v>6602222</v>
      </c>
    </row>
    <row r="189" spans="1:13" hidden="1">
      <c r="A189" s="136" t="s">
        <v>150</v>
      </c>
      <c r="C189" s="135">
        <v>19291</v>
      </c>
      <c r="D189" s="135">
        <f>ROUND(D$192*$C189/$C$192,0)</f>
        <v>26039</v>
      </c>
      <c r="E189" s="135"/>
      <c r="F189" s="138">
        <v>-0.96</v>
      </c>
      <c r="G189" s="138"/>
      <c r="H189" s="139">
        <f>ROUND($F189*C189,0)</f>
        <v>-18519</v>
      </c>
      <c r="I189" s="139">
        <f>ROUND($F189*D189,0)</f>
        <v>-24997</v>
      </c>
      <c r="J189" s="135"/>
      <c r="K189" s="138">
        <v>-0.96</v>
      </c>
      <c r="L189" s="138"/>
      <c r="M189" s="139">
        <f>ROUND($K189*D189,0)</f>
        <v>-24997</v>
      </c>
    </row>
    <row r="190" spans="1:13" hidden="1">
      <c r="A190" s="172" t="s">
        <v>123</v>
      </c>
      <c r="C190" s="135">
        <v>0</v>
      </c>
      <c r="D190" s="135"/>
      <c r="E190" s="135"/>
      <c r="F190" s="193">
        <v>7.125</v>
      </c>
      <c r="G190" s="163" t="s">
        <v>112</v>
      </c>
      <c r="H190" s="139">
        <f>ROUND($F190*C190/100,0)</f>
        <v>0</v>
      </c>
      <c r="I190" s="139">
        <f>ROUND($F190*D190/100,0)</f>
        <v>0</v>
      </c>
      <c r="J190" s="135"/>
      <c r="K190" s="193">
        <v>7.125</v>
      </c>
      <c r="L190" s="163" t="s">
        <v>112</v>
      </c>
      <c r="M190" s="139">
        <f>ROUND($K190*D190/100,0)</f>
        <v>0</v>
      </c>
    </row>
    <row r="191" spans="1:13" hidden="1">
      <c r="A191" s="172" t="s">
        <v>125</v>
      </c>
      <c r="B191" s="173"/>
      <c r="C191" s="135">
        <v>1408825</v>
      </c>
      <c r="D191" s="135"/>
      <c r="E191" s="135"/>
      <c r="F191" s="174"/>
      <c r="G191" s="13"/>
      <c r="H191" s="139">
        <v>123520</v>
      </c>
      <c r="I191" s="139"/>
      <c r="J191" s="135"/>
      <c r="K191" s="174"/>
      <c r="L191" s="13"/>
      <c r="M191" s="139"/>
    </row>
    <row r="192" spans="1:13" ht="16.5" hidden="1" thickBot="1">
      <c r="A192" s="176" t="s">
        <v>127</v>
      </c>
      <c r="B192" s="177"/>
      <c r="C192" s="178">
        <f>SUM(C187:C188,C190:C191)</f>
        <v>186166631</v>
      </c>
      <c r="D192" s="178">
        <v>251285628.35046589</v>
      </c>
      <c r="E192" s="178"/>
      <c r="F192" s="177"/>
      <c r="G192" s="177"/>
      <c r="H192" s="179">
        <f>SUM(H181:H191)</f>
        <v>16418317</v>
      </c>
      <c r="I192" s="179">
        <f>SUM(I181:I191)</f>
        <v>21962060</v>
      </c>
      <c r="J192" s="178"/>
      <c r="K192" s="177"/>
      <c r="L192" s="177"/>
      <c r="M192" s="179">
        <f>SUM(M181:M191)</f>
        <v>22503991</v>
      </c>
    </row>
    <row r="193" spans="1:13" hidden="1"/>
    <row r="194" spans="1:13" hidden="1">
      <c r="A194" s="133" t="s">
        <v>458</v>
      </c>
      <c r="C194" s="135"/>
      <c r="D194" s="135"/>
      <c r="E194" s="135"/>
      <c r="J194" s="135"/>
    </row>
    <row r="195" spans="1:13" hidden="1">
      <c r="A195" s="136" t="s">
        <v>143</v>
      </c>
      <c r="C195" s="135">
        <v>100.433396226415</v>
      </c>
      <c r="D195" s="135">
        <v>73</v>
      </c>
      <c r="E195" s="135"/>
      <c r="F195" s="190">
        <v>53</v>
      </c>
      <c r="G195" s="138"/>
      <c r="H195" s="139">
        <f t="shared" ref="H195:I200" si="42">ROUND($F195*C195,0)</f>
        <v>5323</v>
      </c>
      <c r="I195" s="139">
        <f t="shared" si="42"/>
        <v>3869</v>
      </c>
      <c r="J195" s="135"/>
      <c r="K195" s="190">
        <v>55</v>
      </c>
      <c r="L195" s="138"/>
      <c r="M195" s="139">
        <f t="shared" ref="M195:M200" si="43">ROUND($K195*D195,0)</f>
        <v>4015</v>
      </c>
    </row>
    <row r="196" spans="1:13" hidden="1">
      <c r="A196" s="136" t="s">
        <v>106</v>
      </c>
      <c r="C196" s="135">
        <v>0</v>
      </c>
      <c r="D196" s="135">
        <f t="shared" ref="D196" si="44">ROUND($C196*D$195/$C$195,0)</f>
        <v>0</v>
      </c>
      <c r="E196" s="135"/>
      <c r="F196" s="190">
        <v>2</v>
      </c>
      <c r="G196" s="138"/>
      <c r="H196" s="139">
        <f t="shared" si="42"/>
        <v>0</v>
      </c>
      <c r="I196" s="139">
        <f t="shared" si="42"/>
        <v>0</v>
      </c>
      <c r="J196" s="135"/>
      <c r="K196" s="190">
        <v>2</v>
      </c>
      <c r="L196" s="138"/>
      <c r="M196" s="139">
        <f t="shared" si="43"/>
        <v>0</v>
      </c>
    </row>
    <row r="197" spans="1:13" hidden="1">
      <c r="A197" s="136" t="s">
        <v>109</v>
      </c>
      <c r="C197" s="135">
        <v>35</v>
      </c>
      <c r="D197" s="135">
        <v>50.741804775772252</v>
      </c>
      <c r="E197" s="135"/>
      <c r="F197" s="138">
        <v>-0.5</v>
      </c>
      <c r="G197" s="138"/>
      <c r="H197" s="139">
        <f t="shared" si="42"/>
        <v>-18</v>
      </c>
      <c r="I197" s="139">
        <f t="shared" si="42"/>
        <v>-25</v>
      </c>
      <c r="J197" s="135"/>
      <c r="K197" s="138">
        <v>-0.5</v>
      </c>
      <c r="L197" s="138"/>
      <c r="M197" s="139">
        <f t="shared" si="43"/>
        <v>-25</v>
      </c>
    </row>
    <row r="198" spans="1:13" hidden="1">
      <c r="A198" s="136" t="s">
        <v>144</v>
      </c>
      <c r="C198" s="135">
        <v>12240.4661654135</v>
      </c>
      <c r="D198" s="135">
        <f>ROUND($C198/$C$206*D$206,0)</f>
        <v>7684</v>
      </c>
      <c r="E198" s="135"/>
      <c r="F198" s="190">
        <v>3.99</v>
      </c>
      <c r="G198" s="138"/>
      <c r="H198" s="139">
        <f t="shared" si="42"/>
        <v>48839</v>
      </c>
      <c r="I198" s="139">
        <f t="shared" si="42"/>
        <v>30659</v>
      </c>
      <c r="J198" s="135"/>
      <c r="K198" s="190">
        <v>4.12</v>
      </c>
      <c r="L198" s="138"/>
      <c r="M198" s="139">
        <f t="shared" si="43"/>
        <v>31658</v>
      </c>
    </row>
    <row r="199" spans="1:13" hidden="1">
      <c r="A199" s="136" t="s">
        <v>145</v>
      </c>
      <c r="C199" s="135">
        <v>4602.9201205727204</v>
      </c>
      <c r="D199" s="135">
        <f>ROUND($C199/$C$206*D$206,0)</f>
        <v>2889</v>
      </c>
      <c r="E199" s="135"/>
      <c r="F199" s="190">
        <v>13.27</v>
      </c>
      <c r="G199" s="138"/>
      <c r="H199" s="139">
        <f t="shared" si="42"/>
        <v>61081</v>
      </c>
      <c r="I199" s="139">
        <f t="shared" si="42"/>
        <v>38337</v>
      </c>
      <c r="J199" s="135"/>
      <c r="K199" s="190">
        <v>13.71</v>
      </c>
      <c r="L199" s="138"/>
      <c r="M199" s="139">
        <f t="shared" si="43"/>
        <v>39608</v>
      </c>
    </row>
    <row r="200" spans="1:13" hidden="1">
      <c r="A200" s="136" t="s">
        <v>146</v>
      </c>
      <c r="C200" s="135">
        <v>7637.5459965928503</v>
      </c>
      <c r="D200" s="135">
        <f>ROUND($C200/$C$206*D$206,0)</f>
        <v>4794</v>
      </c>
      <c r="E200" s="135"/>
      <c r="F200" s="190">
        <v>11.74</v>
      </c>
      <c r="G200" s="138"/>
      <c r="H200" s="139">
        <f t="shared" si="42"/>
        <v>89665</v>
      </c>
      <c r="I200" s="139">
        <f t="shared" si="42"/>
        <v>56282</v>
      </c>
      <c r="J200" s="135"/>
      <c r="K200" s="190">
        <v>12.13</v>
      </c>
      <c r="L200" s="138"/>
      <c r="M200" s="139">
        <f t="shared" si="43"/>
        <v>58151</v>
      </c>
    </row>
    <row r="201" spans="1:13" hidden="1">
      <c r="A201" s="136" t="s">
        <v>148</v>
      </c>
      <c r="C201" s="135">
        <v>1534282</v>
      </c>
      <c r="D201" s="135">
        <v>960673.99999999988</v>
      </c>
      <c r="E201" s="135"/>
      <c r="F201" s="193">
        <v>3.8877999999999999</v>
      </c>
      <c r="G201" s="163" t="s">
        <v>112</v>
      </c>
      <c r="H201" s="139">
        <f>ROUND($F201*C201/100,0)</f>
        <v>59650</v>
      </c>
      <c r="I201" s="139">
        <f>ROUND($F201*D201/100,0)</f>
        <v>37349</v>
      </c>
      <c r="J201" s="135"/>
      <c r="K201" s="193">
        <v>3.9350999999999998</v>
      </c>
      <c r="L201" s="163" t="s">
        <v>112</v>
      </c>
      <c r="M201" s="139">
        <f>ROUND($K201*D201/100,0)</f>
        <v>37803</v>
      </c>
    </row>
    <row r="202" spans="1:13" hidden="1">
      <c r="A202" s="136" t="s">
        <v>149</v>
      </c>
      <c r="C202" s="135">
        <v>2366393</v>
      </c>
      <c r="D202" s="135">
        <f>D206-D201</f>
        <v>1488490.6666666665</v>
      </c>
      <c r="E202" s="135"/>
      <c r="F202" s="193">
        <v>3.4405000000000001</v>
      </c>
      <c r="G202" s="163" t="s">
        <v>112</v>
      </c>
      <c r="H202" s="139">
        <f>ROUND($F202*C202/100,0)</f>
        <v>81416</v>
      </c>
      <c r="I202" s="139">
        <f>ROUND($F202*D202/100,0)</f>
        <v>51212</v>
      </c>
      <c r="J202" s="135"/>
      <c r="K202" s="193">
        <v>3.4823</v>
      </c>
      <c r="L202" s="163" t="s">
        <v>112</v>
      </c>
      <c r="M202" s="139">
        <f>ROUND($K202*D202/100,0)</f>
        <v>51834</v>
      </c>
    </row>
    <row r="203" spans="1:13" hidden="1">
      <c r="A203" s="136" t="s">
        <v>150</v>
      </c>
      <c r="C203" s="135">
        <v>4220</v>
      </c>
      <c r="D203" s="135">
        <f>ROUND($C203/$C$206*D$206,0)</f>
        <v>2649</v>
      </c>
      <c r="E203" s="135"/>
      <c r="F203" s="138">
        <v>-0.96</v>
      </c>
      <c r="G203" s="138"/>
      <c r="H203" s="139">
        <f>ROUND($F203*C203,0)</f>
        <v>-4051</v>
      </c>
      <c r="I203" s="139">
        <f>ROUND($F203*D203,0)</f>
        <v>-2543</v>
      </c>
      <c r="J203" s="135"/>
      <c r="K203" s="138">
        <v>-0.96</v>
      </c>
      <c r="L203" s="138"/>
      <c r="M203" s="139">
        <f>ROUND($K203*D203,0)</f>
        <v>-2543</v>
      </c>
    </row>
    <row r="204" spans="1:13" hidden="1">
      <c r="A204" s="172" t="s">
        <v>123</v>
      </c>
      <c r="C204" s="135">
        <v>0</v>
      </c>
      <c r="D204" s="135"/>
      <c r="E204" s="135"/>
      <c r="F204" s="193">
        <v>7.125</v>
      </c>
      <c r="G204" s="163" t="s">
        <v>112</v>
      </c>
      <c r="H204" s="139">
        <f>ROUND($F204*C204/100,0)</f>
        <v>0</v>
      </c>
      <c r="I204" s="139">
        <f>ROUND($F204*D204/100,0)</f>
        <v>0</v>
      </c>
      <c r="J204" s="135"/>
      <c r="K204" s="193">
        <v>7.125</v>
      </c>
      <c r="L204" s="163" t="s">
        <v>112</v>
      </c>
      <c r="M204" s="139">
        <f>ROUND($K204*D204/100,0)</f>
        <v>0</v>
      </c>
    </row>
    <row r="205" spans="1:13" hidden="1">
      <c r="A205" s="172" t="s">
        <v>125</v>
      </c>
      <c r="B205" s="173"/>
      <c r="C205" s="135">
        <v>942</v>
      </c>
      <c r="D205" s="135"/>
      <c r="E205" s="135"/>
      <c r="F205" s="174"/>
      <c r="G205" s="13"/>
      <c r="H205" s="139">
        <v>774</v>
      </c>
      <c r="I205" s="139"/>
      <c r="J205" s="135"/>
      <c r="K205" s="174"/>
      <c r="L205" s="13"/>
      <c r="M205" s="139"/>
    </row>
    <row r="206" spans="1:13" ht="16.5" hidden="1" thickBot="1">
      <c r="A206" s="176" t="s">
        <v>127</v>
      </c>
      <c r="B206" s="177"/>
      <c r="C206" s="178">
        <f>SUM(C201:C202,C204:C205)</f>
        <v>3901617</v>
      </c>
      <c r="D206" s="178">
        <v>2449164.6666666665</v>
      </c>
      <c r="E206" s="178"/>
      <c r="F206" s="177"/>
      <c r="G206" s="177"/>
      <c r="H206" s="179">
        <f>SUM(H195:H205)</f>
        <v>342679</v>
      </c>
      <c r="I206" s="179">
        <f>SUM(I195:I205)</f>
        <v>215140</v>
      </c>
      <c r="J206" s="178"/>
      <c r="K206" s="177"/>
      <c r="L206" s="177"/>
      <c r="M206" s="179">
        <f>SUM(M195:M205)</f>
        <v>220501</v>
      </c>
    </row>
    <row r="207" spans="1:13" hidden="1">
      <c r="C207" s="135"/>
      <c r="D207" s="135"/>
      <c r="E207" s="135"/>
      <c r="J207" s="135"/>
    </row>
    <row r="208" spans="1:13" hidden="1">
      <c r="A208" s="133" t="s">
        <v>459</v>
      </c>
      <c r="C208" s="135"/>
      <c r="D208" s="135"/>
      <c r="E208" s="135"/>
      <c r="J208" s="135"/>
    </row>
    <row r="209" spans="1:13" hidden="1">
      <c r="A209" s="136" t="s">
        <v>143</v>
      </c>
      <c r="C209" s="135">
        <v>155</v>
      </c>
      <c r="D209" s="135">
        <v>132</v>
      </c>
      <c r="E209" s="135"/>
      <c r="F209" s="190">
        <v>53</v>
      </c>
      <c r="G209" s="138"/>
      <c r="H209" s="139">
        <f t="shared" ref="H209:I214" si="45">ROUND($F209*C209,0)</f>
        <v>8215</v>
      </c>
      <c r="I209" s="139">
        <f t="shared" si="45"/>
        <v>6996</v>
      </c>
      <c r="J209" s="135"/>
      <c r="K209" s="190">
        <v>55</v>
      </c>
      <c r="L209" s="138"/>
      <c r="M209" s="139">
        <f t="shared" ref="M209:M214" si="46">ROUND($K209*D209,0)</f>
        <v>7260</v>
      </c>
    </row>
    <row r="210" spans="1:13" hidden="1">
      <c r="A210" s="136" t="s">
        <v>106</v>
      </c>
      <c r="C210" s="135">
        <v>24</v>
      </c>
      <c r="D210" s="135">
        <f t="shared" ref="D210" si="47">ROUND($C210*D$209/$C$209,0)</f>
        <v>20</v>
      </c>
      <c r="E210" s="135"/>
      <c r="F210" s="190">
        <v>2</v>
      </c>
      <c r="G210" s="138"/>
      <c r="H210" s="139">
        <f t="shared" si="45"/>
        <v>48</v>
      </c>
      <c r="I210" s="139">
        <f t="shared" si="45"/>
        <v>40</v>
      </c>
      <c r="J210" s="135"/>
      <c r="K210" s="190">
        <v>2</v>
      </c>
      <c r="L210" s="138"/>
      <c r="M210" s="139">
        <f t="shared" si="46"/>
        <v>40</v>
      </c>
    </row>
    <row r="211" spans="1:13" hidden="1">
      <c r="A211" s="136" t="s">
        <v>109</v>
      </c>
      <c r="C211" s="135">
        <v>36</v>
      </c>
      <c r="D211" s="135">
        <v>91.752304526053933</v>
      </c>
      <c r="E211" s="135"/>
      <c r="F211" s="138">
        <v>-0.5</v>
      </c>
      <c r="G211" s="138"/>
      <c r="H211" s="139">
        <f t="shared" si="45"/>
        <v>-18</v>
      </c>
      <c r="I211" s="139">
        <f t="shared" si="45"/>
        <v>-46</v>
      </c>
      <c r="J211" s="135"/>
      <c r="K211" s="138">
        <v>-0.5</v>
      </c>
      <c r="L211" s="138"/>
      <c r="M211" s="139">
        <f t="shared" si="46"/>
        <v>-46</v>
      </c>
    </row>
    <row r="212" spans="1:13" hidden="1">
      <c r="A212" s="136" t="s">
        <v>144</v>
      </c>
      <c r="C212" s="135">
        <v>10448</v>
      </c>
      <c r="D212" s="135">
        <f>ROUND($C212/$C$220*D$220,0)</f>
        <v>10044</v>
      </c>
      <c r="E212" s="135"/>
      <c r="F212" s="190">
        <v>3.99</v>
      </c>
      <c r="G212" s="138"/>
      <c r="H212" s="139">
        <f t="shared" si="45"/>
        <v>41688</v>
      </c>
      <c r="I212" s="139">
        <f t="shared" si="45"/>
        <v>40076</v>
      </c>
      <c r="J212" s="135"/>
      <c r="K212" s="190">
        <v>4.12</v>
      </c>
      <c r="L212" s="138"/>
      <c r="M212" s="139">
        <f t="shared" si="46"/>
        <v>41381</v>
      </c>
    </row>
    <row r="213" spans="1:13" hidden="1">
      <c r="A213" s="136" t="s">
        <v>145</v>
      </c>
      <c r="C213" s="135">
        <v>3123.7452901281099</v>
      </c>
      <c r="D213" s="135">
        <f>ROUND($C213/$C$220*D$220,0)</f>
        <v>3003</v>
      </c>
      <c r="E213" s="135"/>
      <c r="F213" s="190">
        <v>13.27</v>
      </c>
      <c r="G213" s="138"/>
      <c r="H213" s="139">
        <f t="shared" si="45"/>
        <v>41452</v>
      </c>
      <c r="I213" s="139">
        <f t="shared" si="45"/>
        <v>39850</v>
      </c>
      <c r="J213" s="135"/>
      <c r="K213" s="190">
        <v>13.71</v>
      </c>
      <c r="L213" s="138"/>
      <c r="M213" s="139">
        <f t="shared" si="46"/>
        <v>41171</v>
      </c>
    </row>
    <row r="214" spans="1:13" hidden="1">
      <c r="A214" s="136" t="s">
        <v>146</v>
      </c>
      <c r="C214" s="135">
        <v>7324.2546848381598</v>
      </c>
      <c r="D214" s="135">
        <f>ROUND($C214/$C$220*D$220,0)</f>
        <v>7041</v>
      </c>
      <c r="E214" s="135"/>
      <c r="F214" s="190">
        <v>11.74</v>
      </c>
      <c r="G214" s="138"/>
      <c r="H214" s="139">
        <f t="shared" si="45"/>
        <v>85987</v>
      </c>
      <c r="I214" s="139">
        <f t="shared" si="45"/>
        <v>82661</v>
      </c>
      <c r="J214" s="135"/>
      <c r="K214" s="190">
        <v>12.13</v>
      </c>
      <c r="L214" s="138"/>
      <c r="M214" s="139">
        <f t="shared" si="46"/>
        <v>85407</v>
      </c>
    </row>
    <row r="215" spans="1:13" hidden="1">
      <c r="A215" s="136" t="s">
        <v>148</v>
      </c>
      <c r="C215" s="135">
        <v>1098561</v>
      </c>
      <c r="D215" s="135">
        <v>1077547</v>
      </c>
      <c r="E215" s="135"/>
      <c r="F215" s="193">
        <v>3.8877999999999999</v>
      </c>
      <c r="G215" s="163" t="s">
        <v>112</v>
      </c>
      <c r="H215" s="139">
        <f>ROUND($F215*C215/100,0)</f>
        <v>42710</v>
      </c>
      <c r="I215" s="139">
        <f>ROUND($F215*D215/100,0)</f>
        <v>41893</v>
      </c>
      <c r="J215" s="135"/>
      <c r="K215" s="193">
        <v>3.9350999999999998</v>
      </c>
      <c r="L215" s="163" t="s">
        <v>112</v>
      </c>
      <c r="M215" s="139">
        <f>ROUND($K215*D215/100,0)</f>
        <v>42403</v>
      </c>
    </row>
    <row r="216" spans="1:13" hidden="1">
      <c r="A216" s="136" t="s">
        <v>149</v>
      </c>
      <c r="C216" s="135">
        <v>2671035</v>
      </c>
      <c r="D216" s="135">
        <f>D220-D215</f>
        <v>2556632</v>
      </c>
      <c r="E216" s="135"/>
      <c r="F216" s="193">
        <v>3.4405000000000001</v>
      </c>
      <c r="G216" s="163" t="s">
        <v>112</v>
      </c>
      <c r="H216" s="139">
        <f>ROUND($F216*C216/100,0)</f>
        <v>91897</v>
      </c>
      <c r="I216" s="139">
        <f>ROUND($F216*D216/100,0)</f>
        <v>87961</v>
      </c>
      <c r="J216" s="135"/>
      <c r="K216" s="193">
        <v>3.4823</v>
      </c>
      <c r="L216" s="163" t="s">
        <v>112</v>
      </c>
      <c r="M216" s="139">
        <f>ROUND($K216*D216/100,0)</f>
        <v>89030</v>
      </c>
    </row>
    <row r="217" spans="1:13" hidden="1">
      <c r="A217" s="136" t="s">
        <v>150</v>
      </c>
      <c r="C217" s="135">
        <v>0</v>
      </c>
      <c r="D217" s="135">
        <f>ROUND($C217/$C$220*D$220,0)</f>
        <v>0</v>
      </c>
      <c r="E217" s="135"/>
      <c r="F217" s="138">
        <v>-0.96</v>
      </c>
      <c r="G217" s="138"/>
      <c r="H217" s="139">
        <f>ROUND($F217*C217,0)</f>
        <v>0</v>
      </c>
      <c r="I217" s="139">
        <f>ROUND($F217*D217,0)</f>
        <v>0</v>
      </c>
      <c r="J217" s="135"/>
      <c r="K217" s="138">
        <v>-0.96</v>
      </c>
      <c r="L217" s="138"/>
      <c r="M217" s="139">
        <f>ROUND($K217*D217,0)</f>
        <v>0</v>
      </c>
    </row>
    <row r="218" spans="1:13" hidden="1">
      <c r="A218" s="172" t="s">
        <v>123</v>
      </c>
      <c r="C218" s="135">
        <v>0</v>
      </c>
      <c r="D218" s="135"/>
      <c r="E218" s="135"/>
      <c r="F218" s="193">
        <v>7.125</v>
      </c>
      <c r="G218" s="163" t="s">
        <v>112</v>
      </c>
      <c r="H218" s="139">
        <f>ROUND($F218*C218/100,0)</f>
        <v>0</v>
      </c>
      <c r="I218" s="139">
        <f>ROUND($F218*D218/100,0)</f>
        <v>0</v>
      </c>
      <c r="J218" s="135"/>
      <c r="K218" s="193">
        <v>7.125</v>
      </c>
      <c r="L218" s="163" t="s">
        <v>112</v>
      </c>
      <c r="M218" s="139">
        <f>ROUND($K218*D218/100,0)</f>
        <v>0</v>
      </c>
    </row>
    <row r="219" spans="1:13" hidden="1">
      <c r="A219" s="172" t="s">
        <v>125</v>
      </c>
      <c r="B219" s="173"/>
      <c r="C219" s="135">
        <v>10616</v>
      </c>
      <c r="D219" s="135"/>
      <c r="E219" s="135"/>
      <c r="F219" s="174"/>
      <c r="G219" s="13"/>
      <c r="H219" s="139">
        <v>1044</v>
      </c>
      <c r="I219" s="139"/>
      <c r="J219" s="135"/>
      <c r="K219" s="174"/>
      <c r="L219" s="13"/>
      <c r="M219" s="139"/>
    </row>
    <row r="220" spans="1:13" ht="16.5" hidden="1" thickBot="1">
      <c r="A220" s="176" t="s">
        <v>127</v>
      </c>
      <c r="B220" s="177"/>
      <c r="C220" s="178">
        <f>SUM(C215:C216,C218:C219)</f>
        <v>3780212</v>
      </c>
      <c r="D220" s="178">
        <v>3634179</v>
      </c>
      <c r="E220" s="178"/>
      <c r="F220" s="177"/>
      <c r="G220" s="177"/>
      <c r="H220" s="179">
        <f>SUM(H209:H219)</f>
        <v>313023</v>
      </c>
      <c r="I220" s="179">
        <f>SUM(I209:I219)</f>
        <v>299431</v>
      </c>
      <c r="J220" s="178"/>
      <c r="K220" s="177"/>
      <c r="L220" s="177"/>
      <c r="M220" s="179">
        <f>SUM(M209:M219)</f>
        <v>306646</v>
      </c>
    </row>
    <row r="221" spans="1:13" hidden="1"/>
    <row r="222" spans="1:13">
      <c r="A222" s="133" t="s">
        <v>152</v>
      </c>
      <c r="C222" s="135"/>
      <c r="D222" s="135"/>
      <c r="E222" s="135"/>
      <c r="F222" s="193"/>
      <c r="G222" s="193"/>
      <c r="J222" s="135"/>
      <c r="K222" s="193"/>
      <c r="L222" s="193"/>
    </row>
    <row r="223" spans="1:13">
      <c r="A223" s="136" t="s">
        <v>143</v>
      </c>
      <c r="C223" s="135">
        <f t="shared" ref="C223:D225" si="48">C244+C265+C286</f>
        <v>31890.766037735862</v>
      </c>
      <c r="D223" s="135">
        <f t="shared" si="48"/>
        <v>32644.912185631401</v>
      </c>
      <c r="E223" s="135"/>
      <c r="F223" s="138">
        <v>53</v>
      </c>
      <c r="G223" s="138"/>
      <c r="H223" s="139">
        <f t="shared" ref="H223:I225" si="49">ROUND($F223*C223,0)</f>
        <v>1690211</v>
      </c>
      <c r="I223" s="139">
        <f t="shared" si="49"/>
        <v>1730180</v>
      </c>
      <c r="J223" s="135"/>
      <c r="K223" s="138">
        <v>54</v>
      </c>
      <c r="L223" s="138"/>
      <c r="M223" s="139">
        <f>ROUND($K223*D223,0)</f>
        <v>1762825</v>
      </c>
    </row>
    <row r="224" spans="1:13">
      <c r="A224" s="136" t="s">
        <v>106</v>
      </c>
      <c r="C224" s="135">
        <f t="shared" si="48"/>
        <v>0</v>
      </c>
      <c r="D224" s="135">
        <f t="shared" si="48"/>
        <v>0</v>
      </c>
      <c r="E224" s="135"/>
      <c r="F224" s="190">
        <v>2</v>
      </c>
      <c r="G224" s="190"/>
      <c r="H224" s="139">
        <f t="shared" si="49"/>
        <v>0</v>
      </c>
      <c r="I224" s="139">
        <f t="shared" si="49"/>
        <v>0</v>
      </c>
      <c r="J224" s="135"/>
      <c r="K224" s="190">
        <v>2</v>
      </c>
      <c r="L224" s="190"/>
      <c r="M224" s="139">
        <f>ROUND($K224*D224,0)</f>
        <v>0</v>
      </c>
    </row>
    <row r="225" spans="1:13">
      <c r="A225" s="136" t="s">
        <v>109</v>
      </c>
      <c r="C225" s="135">
        <f t="shared" si="48"/>
        <v>22218</v>
      </c>
      <c r="D225" s="135">
        <f t="shared" si="48"/>
        <v>22691.257000623798</v>
      </c>
      <c r="E225" s="135"/>
      <c r="F225" s="138">
        <v>-0.5</v>
      </c>
      <c r="G225" s="138"/>
      <c r="H225" s="139">
        <f t="shared" si="49"/>
        <v>-11109</v>
      </c>
      <c r="I225" s="139">
        <f t="shared" si="49"/>
        <v>-11346</v>
      </c>
      <c r="J225" s="135"/>
      <c r="K225" s="138">
        <v>-0.5</v>
      </c>
      <c r="L225" s="138"/>
      <c r="M225" s="139">
        <f>ROUND($K225*D225,0)</f>
        <v>-11346</v>
      </c>
    </row>
    <row r="226" spans="1:13">
      <c r="A226" s="136" t="s">
        <v>153</v>
      </c>
      <c r="C226" s="135"/>
      <c r="D226" s="135">
        <f>D232</f>
        <v>39064692.169739261</v>
      </c>
      <c r="E226" s="135"/>
      <c r="F226" s="198"/>
      <c r="G226" s="163"/>
      <c r="H226" s="139"/>
      <c r="I226" s="139"/>
      <c r="J226" s="135"/>
      <c r="K226" s="198">
        <v>26.544</v>
      </c>
      <c r="L226" s="163" t="s">
        <v>112</v>
      </c>
      <c r="M226" s="139">
        <f t="shared" ref="M226:M237" si="50">ROUND($K226*D226/100,0)</f>
        <v>10369332</v>
      </c>
    </row>
    <row r="227" spans="1:13">
      <c r="A227" s="136" t="s">
        <v>154</v>
      </c>
      <c r="C227" s="135"/>
      <c r="D227" s="135">
        <f t="shared" ref="D227:D230" si="51">D233</f>
        <v>78664169.080060273</v>
      </c>
      <c r="E227" s="135"/>
      <c r="F227" s="198"/>
      <c r="G227" s="163"/>
      <c r="H227" s="139"/>
      <c r="I227" s="139"/>
      <c r="J227" s="135"/>
      <c r="K227" s="198">
        <v>9.7195999999999998</v>
      </c>
      <c r="L227" s="163" t="s">
        <v>112</v>
      </c>
      <c r="M227" s="139">
        <f t="shared" si="50"/>
        <v>7645843</v>
      </c>
    </row>
    <row r="228" spans="1:13">
      <c r="A228" s="136" t="s">
        <v>155</v>
      </c>
      <c r="C228" s="135"/>
      <c r="D228" s="135">
        <v>105112324.92530769</v>
      </c>
      <c r="E228" s="135"/>
      <c r="F228" s="198"/>
      <c r="G228" s="163"/>
      <c r="H228" s="139"/>
      <c r="I228" s="139"/>
      <c r="J228" s="135"/>
      <c r="K228" s="198">
        <v>-2.8492000000000002</v>
      </c>
      <c r="L228" s="163" t="s">
        <v>112</v>
      </c>
      <c r="M228" s="139">
        <f t="shared" si="50"/>
        <v>-2994860</v>
      </c>
    </row>
    <row r="229" spans="1:13">
      <c r="A229" s="136" t="s">
        <v>156</v>
      </c>
      <c r="C229" s="135"/>
      <c r="D229" s="135">
        <f t="shared" si="51"/>
        <v>65062862.331874683</v>
      </c>
      <c r="E229" s="135"/>
      <c r="F229" s="198"/>
      <c r="G229" s="163"/>
      <c r="H229" s="139"/>
      <c r="I229" s="139"/>
      <c r="J229" s="135"/>
      <c r="K229" s="198">
        <v>23.490300000000001</v>
      </c>
      <c r="L229" s="163" t="s">
        <v>112</v>
      </c>
      <c r="M229" s="139">
        <f t="shared" si="50"/>
        <v>15283462</v>
      </c>
    </row>
    <row r="230" spans="1:13">
      <c r="A230" s="136" t="s">
        <v>157</v>
      </c>
      <c r="C230" s="135"/>
      <c r="D230" s="135">
        <f t="shared" si="51"/>
        <v>155552105.0802134</v>
      </c>
      <c r="E230" s="135"/>
      <c r="F230" s="198"/>
      <c r="G230" s="163"/>
      <c r="H230" s="139"/>
      <c r="I230" s="139"/>
      <c r="J230" s="135"/>
      <c r="K230" s="198">
        <v>8.6013999999999999</v>
      </c>
      <c r="L230" s="163" t="s">
        <v>112</v>
      </c>
      <c r="M230" s="139">
        <f t="shared" si="50"/>
        <v>13379659</v>
      </c>
    </row>
    <row r="231" spans="1:13">
      <c r="A231" s="136" t="s">
        <v>158</v>
      </c>
      <c r="C231" s="135"/>
      <c r="D231" s="135">
        <v>196368932.85236108</v>
      </c>
      <c r="E231" s="135"/>
      <c r="F231" s="198"/>
      <c r="G231" s="163"/>
      <c r="H231" s="139"/>
      <c r="I231" s="139"/>
      <c r="J231" s="135"/>
      <c r="K231" s="198">
        <v>-2.5215000000000001</v>
      </c>
      <c r="L231" s="163" t="s">
        <v>112</v>
      </c>
      <c r="M231" s="139">
        <f t="shared" si="50"/>
        <v>-4951443</v>
      </c>
    </row>
    <row r="232" spans="1:13">
      <c r="A232" s="136" t="s">
        <v>159</v>
      </c>
      <c r="C232" s="135">
        <f t="shared" ref="C232:D239" si="52">C253+C274+C295</f>
        <v>44332976</v>
      </c>
      <c r="D232" s="135">
        <f t="shared" si="52"/>
        <v>39064692.169739261</v>
      </c>
      <c r="E232" s="135"/>
      <c r="F232" s="198">
        <v>28.156199999999998</v>
      </c>
      <c r="G232" s="163" t="s">
        <v>112</v>
      </c>
      <c r="H232" s="139">
        <f t="shared" ref="H232:I237" si="53">ROUND($F232*C232/100,0)</f>
        <v>12482481</v>
      </c>
      <c r="I232" s="139">
        <f t="shared" si="53"/>
        <v>10999133</v>
      </c>
      <c r="J232" s="135"/>
      <c r="K232" s="198">
        <v>28.8721</v>
      </c>
      <c r="L232" s="163" t="s">
        <v>112</v>
      </c>
      <c r="M232" s="139">
        <f t="shared" si="50"/>
        <v>11278797</v>
      </c>
    </row>
    <row r="233" spans="1:13">
      <c r="A233" s="136" t="s">
        <v>160</v>
      </c>
      <c r="C233" s="135">
        <f t="shared" si="52"/>
        <v>90058491.528495118</v>
      </c>
      <c r="D233" s="135">
        <f t="shared" si="52"/>
        <v>78664169.080060273</v>
      </c>
      <c r="E233" s="135"/>
      <c r="F233" s="198">
        <v>10.309899999999999</v>
      </c>
      <c r="G233" s="163" t="s">
        <v>112</v>
      </c>
      <c r="H233" s="139">
        <f t="shared" si="53"/>
        <v>9284940</v>
      </c>
      <c r="I233" s="139">
        <f t="shared" si="53"/>
        <v>8110197</v>
      </c>
      <c r="J233" s="135"/>
      <c r="K233" s="198">
        <v>10.571999999999999</v>
      </c>
      <c r="L233" s="163" t="s">
        <v>112</v>
      </c>
      <c r="M233" s="139">
        <f t="shared" si="50"/>
        <v>8316376</v>
      </c>
    </row>
    <row r="234" spans="1:13">
      <c r="A234" s="136" t="s">
        <v>161</v>
      </c>
      <c r="C234" s="135">
        <f t="shared" si="52"/>
        <v>62158707</v>
      </c>
      <c r="D234" s="135">
        <f t="shared" si="52"/>
        <v>54474169.371769935</v>
      </c>
      <c r="E234" s="135"/>
      <c r="F234" s="198">
        <v>-8.335799999999999</v>
      </c>
      <c r="G234" s="163" t="s">
        <v>112</v>
      </c>
      <c r="H234" s="139">
        <f t="shared" si="53"/>
        <v>-5181425</v>
      </c>
      <c r="I234" s="139">
        <f t="shared" si="53"/>
        <v>-4540858</v>
      </c>
      <c r="J234" s="135"/>
      <c r="K234" s="198">
        <v>-8.5477000000000007</v>
      </c>
      <c r="L234" s="163" t="s">
        <v>112</v>
      </c>
      <c r="M234" s="139">
        <f t="shared" si="50"/>
        <v>-4656289</v>
      </c>
    </row>
    <row r="235" spans="1:13">
      <c r="A235" s="136" t="s">
        <v>163</v>
      </c>
      <c r="C235" s="135">
        <f t="shared" si="52"/>
        <v>76731786</v>
      </c>
      <c r="D235" s="135">
        <f t="shared" si="52"/>
        <v>65062862.331874683</v>
      </c>
      <c r="E235" s="135"/>
      <c r="F235" s="198">
        <v>24.916999999999998</v>
      </c>
      <c r="G235" s="163" t="s">
        <v>112</v>
      </c>
      <c r="H235" s="139">
        <f t="shared" si="53"/>
        <v>19119259</v>
      </c>
      <c r="I235" s="139">
        <f t="shared" si="53"/>
        <v>16211713</v>
      </c>
      <c r="J235" s="135"/>
      <c r="K235" s="198">
        <v>25.5505</v>
      </c>
      <c r="L235" s="163" t="s">
        <v>112</v>
      </c>
      <c r="M235" s="139">
        <f t="shared" si="50"/>
        <v>16623887</v>
      </c>
    </row>
    <row r="236" spans="1:13">
      <c r="A236" s="136" t="s">
        <v>165</v>
      </c>
      <c r="C236" s="135">
        <f t="shared" si="52"/>
        <v>182776101.3606962</v>
      </c>
      <c r="D236" s="135">
        <f t="shared" si="52"/>
        <v>155552105.0802134</v>
      </c>
      <c r="E236" s="135"/>
      <c r="F236" s="198">
        <v>9.1237999999999992</v>
      </c>
      <c r="G236" s="163" t="s">
        <v>112</v>
      </c>
      <c r="H236" s="139">
        <f t="shared" si="53"/>
        <v>16676126</v>
      </c>
      <c r="I236" s="139">
        <f t="shared" si="53"/>
        <v>14192263</v>
      </c>
      <c r="J236" s="135"/>
      <c r="K236" s="198">
        <v>9.3558000000000003</v>
      </c>
      <c r="L236" s="163" t="s">
        <v>112</v>
      </c>
      <c r="M236" s="139">
        <f t="shared" si="50"/>
        <v>14553144</v>
      </c>
    </row>
    <row r="237" spans="1:13">
      <c r="A237" s="136" t="s">
        <v>167</v>
      </c>
      <c r="C237" s="135">
        <f t="shared" si="52"/>
        <v>114709599</v>
      </c>
      <c r="D237" s="135">
        <f t="shared" si="52"/>
        <v>97614934.775771841</v>
      </c>
      <c r="E237" s="135"/>
      <c r="F237" s="198">
        <v>-7.3768000000000002</v>
      </c>
      <c r="G237" s="163" t="s">
        <v>112</v>
      </c>
      <c r="H237" s="139">
        <f t="shared" si="53"/>
        <v>-8461898</v>
      </c>
      <c r="I237" s="139">
        <f t="shared" si="53"/>
        <v>-7200859</v>
      </c>
      <c r="J237" s="135"/>
      <c r="K237" s="198">
        <v>-7.5644</v>
      </c>
      <c r="L237" s="163" t="s">
        <v>112</v>
      </c>
      <c r="M237" s="139">
        <f t="shared" si="50"/>
        <v>-7383984</v>
      </c>
    </row>
    <row r="238" spans="1:13">
      <c r="A238" s="136" t="s">
        <v>150</v>
      </c>
      <c r="C238" s="135">
        <f t="shared" si="52"/>
        <v>189093.72131147521</v>
      </c>
      <c r="D238" s="135">
        <f t="shared" si="52"/>
        <v>161140</v>
      </c>
      <c r="E238" s="135"/>
      <c r="F238" s="138">
        <v>-0.61</v>
      </c>
      <c r="G238" s="138"/>
      <c r="H238" s="139">
        <f>ROUND($F238*C238,0)</f>
        <v>-115347</v>
      </c>
      <c r="I238" s="139">
        <f>ROUND($F238*D238,0)</f>
        <v>-98295</v>
      </c>
      <c r="J238" s="135"/>
      <c r="K238" s="138">
        <v>-0.61</v>
      </c>
      <c r="L238" s="138"/>
      <c r="M238" s="139">
        <f>ROUND($K238*D238,0)</f>
        <v>-98295</v>
      </c>
    </row>
    <row r="239" spans="1:13">
      <c r="A239" s="172" t="s">
        <v>123</v>
      </c>
      <c r="C239" s="135">
        <f t="shared" si="52"/>
        <v>25118400</v>
      </c>
      <c r="D239" s="135">
        <f t="shared" si="52"/>
        <v>21401258</v>
      </c>
      <c r="E239" s="135"/>
      <c r="F239" s="193">
        <v>7.125</v>
      </c>
      <c r="G239" s="199" t="s">
        <v>112</v>
      </c>
      <c r="H239" s="139">
        <f>ROUND($F239*C239/100,0)</f>
        <v>1789686</v>
      </c>
      <c r="I239" s="139">
        <f>ROUND($F239*D239/100,0)</f>
        <v>1524840</v>
      </c>
      <c r="J239" s="135"/>
      <c r="K239" s="193">
        <v>7.125</v>
      </c>
      <c r="L239" s="199" t="s">
        <v>112</v>
      </c>
      <c r="M239" s="139">
        <f>ROUND($K239*D239/100,0)</f>
        <v>1524840</v>
      </c>
    </row>
    <row r="240" spans="1:13">
      <c r="A240" s="172" t="s">
        <v>125</v>
      </c>
      <c r="B240" s="173"/>
      <c r="C240" s="135">
        <f>C261+C282+C303</f>
        <v>2649707</v>
      </c>
      <c r="D240" s="135"/>
      <c r="E240" s="135"/>
      <c r="F240" s="174"/>
      <c r="G240" s="13"/>
      <c r="H240" s="139">
        <f>H261+H282+H303</f>
        <v>317883</v>
      </c>
      <c r="I240" s="139"/>
      <c r="J240" s="135"/>
      <c r="K240" s="174"/>
      <c r="L240" s="13"/>
      <c r="M240" s="139"/>
    </row>
    <row r="241" spans="1:13" ht="16.5" thickBot="1">
      <c r="A241" s="176" t="s">
        <v>127</v>
      </c>
      <c r="B241" s="177"/>
      <c r="C241" s="178">
        <f t="shared" ref="C241:D241" si="54">C262+C283+C304</f>
        <v>421667461.88919133</v>
      </c>
      <c r="D241" s="178">
        <f t="shared" si="54"/>
        <v>359745086.66188765</v>
      </c>
      <c r="E241" s="178"/>
      <c r="F241" s="177"/>
      <c r="G241" s="177"/>
      <c r="H241" s="179">
        <f>SUM(H223:H240)</f>
        <v>47590807</v>
      </c>
      <c r="I241" s="179">
        <f>SUM(I223:I240)</f>
        <v>40916968</v>
      </c>
      <c r="J241" s="178"/>
      <c r="K241" s="177"/>
      <c r="L241" s="177"/>
      <c r="M241" s="179">
        <f>SUM(M223:M225,M232:M240)</f>
        <v>41909955</v>
      </c>
    </row>
    <row r="242" spans="1:13" ht="16.5" thickTop="1">
      <c r="C242" s="135"/>
      <c r="D242" s="135"/>
      <c r="E242" s="135"/>
      <c r="J242" s="135"/>
    </row>
    <row r="243" spans="1:13" hidden="1">
      <c r="A243" s="133" t="s">
        <v>460</v>
      </c>
      <c r="C243" s="135"/>
      <c r="D243" s="135"/>
      <c r="E243" s="135"/>
      <c r="F243" s="193"/>
      <c r="G243" s="193"/>
      <c r="J243" s="135"/>
      <c r="K243" s="193"/>
      <c r="L243" s="193"/>
    </row>
    <row r="244" spans="1:13" hidden="1">
      <c r="A244" s="136" t="s">
        <v>143</v>
      </c>
      <c r="C244" s="135">
        <v>28382.232452830202</v>
      </c>
      <c r="D244" s="135">
        <v>29116.912185631401</v>
      </c>
      <c r="E244" s="135"/>
      <c r="F244" s="138">
        <v>53</v>
      </c>
      <c r="G244" s="138"/>
      <c r="H244" s="139">
        <f t="shared" ref="H244:I246" si="55">ROUND($F244*C244,0)</f>
        <v>1504258</v>
      </c>
      <c r="I244" s="139">
        <f t="shared" si="55"/>
        <v>1543196</v>
      </c>
      <c r="J244" s="135"/>
      <c r="K244" s="138">
        <v>54</v>
      </c>
      <c r="L244" s="138"/>
      <c r="M244" s="139">
        <f>ROUND($K244*D244,0)</f>
        <v>1572313</v>
      </c>
    </row>
    <row r="245" spans="1:13" hidden="1">
      <c r="A245" s="136" t="s">
        <v>106</v>
      </c>
      <c r="C245" s="135">
        <v>0</v>
      </c>
      <c r="D245" s="135">
        <f>ROUND($C245*D244/$C244,0)</f>
        <v>0</v>
      </c>
      <c r="E245" s="135"/>
      <c r="F245" s="190">
        <v>2</v>
      </c>
      <c r="G245" s="190"/>
      <c r="H245" s="139">
        <f t="shared" si="55"/>
        <v>0</v>
      </c>
      <c r="I245" s="139">
        <f t="shared" si="55"/>
        <v>0</v>
      </c>
      <c r="J245" s="135"/>
      <c r="K245" s="190">
        <v>2</v>
      </c>
      <c r="L245" s="190"/>
      <c r="M245" s="139">
        <f>ROUND($K245*D245,0)</f>
        <v>0</v>
      </c>
    </row>
    <row r="246" spans="1:13" hidden="1">
      <c r="A246" s="136" t="s">
        <v>109</v>
      </c>
      <c r="C246" s="135">
        <v>20862</v>
      </c>
      <c r="D246" s="135">
        <v>20238.968134200175</v>
      </c>
      <c r="E246" s="135"/>
      <c r="F246" s="138">
        <v>-0.5</v>
      </c>
      <c r="G246" s="138"/>
      <c r="H246" s="139">
        <f t="shared" si="55"/>
        <v>-10431</v>
      </c>
      <c r="I246" s="139">
        <f t="shared" si="55"/>
        <v>-10119</v>
      </c>
      <c r="J246" s="135"/>
      <c r="K246" s="138">
        <v>-0.5</v>
      </c>
      <c r="L246" s="138"/>
      <c r="M246" s="139">
        <f>ROUND($K246*D246,0)</f>
        <v>-10119</v>
      </c>
    </row>
    <row r="247" spans="1:13" hidden="1">
      <c r="A247" s="136" t="s">
        <v>153</v>
      </c>
      <c r="C247" s="135"/>
      <c r="D247" s="135"/>
      <c r="E247" s="135"/>
      <c r="F247" s="198"/>
      <c r="G247" s="163"/>
      <c r="H247" s="139"/>
      <c r="I247" s="139"/>
      <c r="J247" s="135"/>
      <c r="K247" s="198"/>
      <c r="L247" s="163"/>
      <c r="M247" s="139"/>
    </row>
    <row r="248" spans="1:13" hidden="1">
      <c r="A248" s="136" t="s">
        <v>154</v>
      </c>
      <c r="C248" s="135"/>
      <c r="D248" s="135"/>
      <c r="E248" s="135"/>
      <c r="F248" s="198"/>
      <c r="G248" s="163"/>
      <c r="H248" s="139"/>
      <c r="I248" s="139"/>
      <c r="J248" s="135"/>
      <c r="K248" s="198"/>
      <c r="L248" s="163"/>
      <c r="M248" s="139"/>
    </row>
    <row r="249" spans="1:13" hidden="1">
      <c r="A249" s="136" t="s">
        <v>155</v>
      </c>
      <c r="C249" s="135"/>
      <c r="D249" s="135"/>
      <c r="E249" s="135"/>
      <c r="F249" s="198"/>
      <c r="G249" s="163"/>
      <c r="H249" s="139"/>
      <c r="I249" s="139"/>
      <c r="J249" s="135"/>
      <c r="K249" s="198"/>
      <c r="L249" s="163"/>
      <c r="M249" s="139"/>
    </row>
    <row r="250" spans="1:13" hidden="1">
      <c r="A250" s="136" t="s">
        <v>156</v>
      </c>
      <c r="C250" s="135"/>
      <c r="D250" s="135"/>
      <c r="E250" s="135"/>
      <c r="F250" s="198"/>
      <c r="G250" s="163"/>
      <c r="H250" s="139"/>
      <c r="I250" s="139"/>
      <c r="J250" s="135"/>
      <c r="K250" s="198"/>
      <c r="L250" s="163"/>
      <c r="M250" s="139"/>
    </row>
    <row r="251" spans="1:13" hidden="1">
      <c r="A251" s="136" t="s">
        <v>157</v>
      </c>
      <c r="C251" s="135"/>
      <c r="D251" s="135"/>
      <c r="E251" s="135"/>
      <c r="F251" s="198"/>
      <c r="G251" s="163"/>
      <c r="H251" s="139"/>
      <c r="I251" s="139"/>
      <c r="J251" s="135"/>
      <c r="K251" s="198"/>
      <c r="L251" s="163"/>
      <c r="M251" s="139"/>
    </row>
    <row r="252" spans="1:13" hidden="1">
      <c r="A252" s="136" t="s">
        <v>158</v>
      </c>
      <c r="C252" s="135"/>
      <c r="D252" s="135"/>
      <c r="E252" s="135"/>
      <c r="F252" s="198"/>
      <c r="G252" s="163"/>
      <c r="H252" s="139"/>
      <c r="I252" s="139"/>
      <c r="J252" s="135"/>
      <c r="K252" s="198"/>
      <c r="L252" s="163"/>
      <c r="M252" s="139"/>
    </row>
    <row r="253" spans="1:13" hidden="1">
      <c r="A253" s="136" t="s">
        <v>159</v>
      </c>
      <c r="C253" s="135">
        <v>37036282</v>
      </c>
      <c r="D253" s="135">
        <v>33807866.863956802</v>
      </c>
      <c r="E253" s="135"/>
      <c r="F253" s="198">
        <v>28.156199999999998</v>
      </c>
      <c r="G253" s="163" t="s">
        <v>112</v>
      </c>
      <c r="H253" s="139">
        <f t="shared" ref="H253:I258" si="56">ROUND($F253*C253/100,0)</f>
        <v>10428010</v>
      </c>
      <c r="I253" s="139">
        <f t="shared" si="56"/>
        <v>9519011</v>
      </c>
      <c r="J253" s="135"/>
      <c r="K253" s="198">
        <v>28.8721</v>
      </c>
      <c r="L253" s="163" t="s">
        <v>112</v>
      </c>
      <c r="M253" s="139">
        <f t="shared" ref="M253:M258" si="57">ROUND($K253*D253/100,0)</f>
        <v>9761041</v>
      </c>
    </row>
    <row r="254" spans="1:13" hidden="1">
      <c r="A254" s="136" t="s">
        <v>160</v>
      </c>
      <c r="C254" s="135">
        <v>68953961.528495118</v>
      </c>
      <c r="D254" s="135">
        <v>62943314.642051853</v>
      </c>
      <c r="E254" s="135"/>
      <c r="F254" s="198">
        <v>10.309899999999999</v>
      </c>
      <c r="G254" s="163" t="s">
        <v>112</v>
      </c>
      <c r="H254" s="139">
        <f t="shared" si="56"/>
        <v>7109084</v>
      </c>
      <c r="I254" s="139">
        <f t="shared" si="56"/>
        <v>6489393</v>
      </c>
      <c r="J254" s="135"/>
      <c r="K254" s="198">
        <v>10.571999999999999</v>
      </c>
      <c r="L254" s="163" t="s">
        <v>112</v>
      </c>
      <c r="M254" s="139">
        <f t="shared" si="57"/>
        <v>6654367</v>
      </c>
    </row>
    <row r="255" spans="1:13" hidden="1">
      <c r="A255" s="136" t="s">
        <v>161</v>
      </c>
      <c r="C255" s="135">
        <v>49051171</v>
      </c>
      <c r="D255" s="135">
        <f>$C255/($C253+$C254)*(D253+D254)</f>
        <v>44775430.176527396</v>
      </c>
      <c r="E255" s="135"/>
      <c r="F255" s="198">
        <v>-8.335799999999999</v>
      </c>
      <c r="G255" s="163" t="s">
        <v>112</v>
      </c>
      <c r="H255" s="139">
        <f t="shared" si="56"/>
        <v>-4088808</v>
      </c>
      <c r="I255" s="139">
        <f t="shared" si="56"/>
        <v>-3732390</v>
      </c>
      <c r="J255" s="135"/>
      <c r="K255" s="198">
        <v>-8.5477000000000007</v>
      </c>
      <c r="L255" s="163" t="s">
        <v>112</v>
      </c>
      <c r="M255" s="139">
        <f t="shared" si="57"/>
        <v>-3827269</v>
      </c>
    </row>
    <row r="256" spans="1:13" hidden="1">
      <c r="A256" s="136" t="s">
        <v>163</v>
      </c>
      <c r="C256" s="135">
        <v>64262364</v>
      </c>
      <c r="D256" s="135">
        <v>54729635.210949637</v>
      </c>
      <c r="E256" s="135"/>
      <c r="F256" s="198">
        <v>24.916999999999998</v>
      </c>
      <c r="G256" s="163" t="s">
        <v>112</v>
      </c>
      <c r="H256" s="139">
        <f t="shared" si="56"/>
        <v>16012253</v>
      </c>
      <c r="I256" s="139">
        <f t="shared" si="56"/>
        <v>13636983</v>
      </c>
      <c r="J256" s="135"/>
      <c r="K256" s="198">
        <v>25.5505</v>
      </c>
      <c r="L256" s="163" t="s">
        <v>112</v>
      </c>
      <c r="M256" s="139">
        <f t="shared" si="57"/>
        <v>13983695</v>
      </c>
    </row>
    <row r="257" spans="1:13" hidden="1">
      <c r="A257" s="136" t="s">
        <v>165</v>
      </c>
      <c r="C257" s="135">
        <v>151018436.3606962</v>
      </c>
      <c r="D257" s="135">
        <f>D262-D260-D253-D254-D256</f>
        <v>128616244.68326306</v>
      </c>
      <c r="E257" s="135"/>
      <c r="F257" s="198">
        <v>9.1237999999999992</v>
      </c>
      <c r="G257" s="163" t="s">
        <v>112</v>
      </c>
      <c r="H257" s="139">
        <f t="shared" si="56"/>
        <v>13778620</v>
      </c>
      <c r="I257" s="139">
        <f t="shared" si="56"/>
        <v>11734689</v>
      </c>
      <c r="J257" s="135"/>
      <c r="K257" s="198">
        <v>9.3558000000000003</v>
      </c>
      <c r="L257" s="163" t="s">
        <v>112</v>
      </c>
      <c r="M257" s="139">
        <f t="shared" si="57"/>
        <v>12033079</v>
      </c>
    </row>
    <row r="258" spans="1:13" hidden="1">
      <c r="A258" s="136" t="s">
        <v>167</v>
      </c>
      <c r="C258" s="135">
        <v>96197468</v>
      </c>
      <c r="D258" s="135">
        <f>$C258/($C256+$C257)*(D256+D257)</f>
        <v>81927461.178630173</v>
      </c>
      <c r="E258" s="135"/>
      <c r="F258" s="198">
        <v>-7.3768000000000002</v>
      </c>
      <c r="G258" s="163" t="s">
        <v>112</v>
      </c>
      <c r="H258" s="139">
        <f t="shared" si="56"/>
        <v>-7096295</v>
      </c>
      <c r="I258" s="139">
        <f t="shared" si="56"/>
        <v>-6043625</v>
      </c>
      <c r="J258" s="135"/>
      <c r="K258" s="198">
        <v>-7.5644</v>
      </c>
      <c r="L258" s="163" t="s">
        <v>112</v>
      </c>
      <c r="M258" s="139">
        <f t="shared" si="57"/>
        <v>-6197321</v>
      </c>
    </row>
    <row r="259" spans="1:13" hidden="1">
      <c r="A259" s="136" t="s">
        <v>150</v>
      </c>
      <c r="C259" s="135">
        <v>163191.29508196699</v>
      </c>
      <c r="D259" s="135">
        <f>ROUND($C259*D262/$C262,0)</f>
        <v>141130</v>
      </c>
      <c r="E259" s="135"/>
      <c r="F259" s="138">
        <v>-0.61</v>
      </c>
      <c r="G259" s="138"/>
      <c r="H259" s="139">
        <f>ROUND($F259*C259,0)</f>
        <v>-99547</v>
      </c>
      <c r="I259" s="139">
        <f>ROUND($F259*D259,0)</f>
        <v>-86089</v>
      </c>
      <c r="J259" s="135"/>
      <c r="K259" s="138">
        <v>-0.61</v>
      </c>
      <c r="L259" s="138"/>
      <c r="M259" s="139">
        <f>ROUND($K259*D259,0)</f>
        <v>-86089</v>
      </c>
    </row>
    <row r="260" spans="1:13" hidden="1">
      <c r="A260" s="172" t="s">
        <v>123</v>
      </c>
      <c r="C260" s="135">
        <v>21635600</v>
      </c>
      <c r="D260" s="135">
        <f>ROUND($C260*D262/$C262,0)</f>
        <v>18710774</v>
      </c>
      <c r="E260" s="135"/>
      <c r="F260" s="193">
        <v>7.125</v>
      </c>
      <c r="G260" s="199" t="s">
        <v>112</v>
      </c>
      <c r="H260" s="139">
        <f>ROUND($F260*C260/100,0)</f>
        <v>1541537</v>
      </c>
      <c r="I260" s="139">
        <f>ROUND($F260*D260/100,0)</f>
        <v>1333143</v>
      </c>
      <c r="J260" s="135"/>
      <c r="K260" s="193">
        <v>7.125</v>
      </c>
      <c r="L260" s="199" t="s">
        <v>112</v>
      </c>
      <c r="M260" s="139">
        <f>ROUND($K260*D260/100,0)</f>
        <v>1333143</v>
      </c>
    </row>
    <row r="261" spans="1:13" hidden="1">
      <c r="A261" s="172" t="s">
        <v>125</v>
      </c>
      <c r="B261" s="173"/>
      <c r="C261" s="135">
        <v>2610155</v>
      </c>
      <c r="D261" s="135"/>
      <c r="E261" s="135"/>
      <c r="F261" s="174"/>
      <c r="G261" s="13"/>
      <c r="H261" s="139">
        <v>298629</v>
      </c>
      <c r="I261" s="139"/>
      <c r="J261" s="135"/>
      <c r="K261" s="174"/>
      <c r="L261" s="13"/>
      <c r="M261" s="139"/>
    </row>
    <row r="262" spans="1:13" ht="16.5" hidden="1" thickBot="1">
      <c r="A262" s="176" t="s">
        <v>127</v>
      </c>
      <c r="B262" s="177"/>
      <c r="C262" s="178">
        <f>SUM(C253:C254,C256:C257,C260:C261)</f>
        <v>345516798.88919133</v>
      </c>
      <c r="D262" s="178">
        <v>298807835.40022135</v>
      </c>
      <c r="E262" s="178"/>
      <c r="F262" s="177"/>
      <c r="G262" s="177"/>
      <c r="H262" s="179">
        <f>SUM(H244:H261)</f>
        <v>39377310</v>
      </c>
      <c r="I262" s="179">
        <f>SUM(I244:I261)</f>
        <v>34384192</v>
      </c>
      <c r="J262" s="178"/>
      <c r="K262" s="177"/>
      <c r="L262" s="177"/>
      <c r="M262" s="179">
        <f>SUM(M244:M246,M253:M261)</f>
        <v>35216840</v>
      </c>
    </row>
    <row r="263" spans="1:13" hidden="1">
      <c r="C263" s="135"/>
      <c r="D263" s="135"/>
      <c r="E263" s="135"/>
      <c r="J263" s="135"/>
    </row>
    <row r="264" spans="1:13" hidden="1">
      <c r="A264" s="133" t="s">
        <v>461</v>
      </c>
      <c r="C264" s="135"/>
      <c r="D264" s="135"/>
      <c r="E264" s="135"/>
      <c r="F264" s="193"/>
      <c r="G264" s="193"/>
      <c r="J264" s="135"/>
      <c r="K264" s="193"/>
      <c r="L264" s="193"/>
    </row>
    <row r="265" spans="1:13" hidden="1">
      <c r="A265" s="136" t="s">
        <v>143</v>
      </c>
      <c r="C265" s="135">
        <v>3148.6667924528301</v>
      </c>
      <c r="D265" s="135">
        <v>3168</v>
      </c>
      <c r="E265" s="135"/>
      <c r="F265" s="138">
        <v>53</v>
      </c>
      <c r="G265" s="138"/>
      <c r="H265" s="139">
        <f t="shared" ref="H265:I267" si="58">ROUND($F265*C265,0)</f>
        <v>166879</v>
      </c>
      <c r="I265" s="139">
        <f t="shared" si="58"/>
        <v>167904</v>
      </c>
      <c r="J265" s="135"/>
      <c r="K265" s="138">
        <v>54</v>
      </c>
      <c r="L265" s="138"/>
      <c r="M265" s="139">
        <f>ROUND($K265*D265,0)</f>
        <v>171072</v>
      </c>
    </row>
    <row r="266" spans="1:13" hidden="1">
      <c r="A266" s="136" t="s">
        <v>106</v>
      </c>
      <c r="C266" s="135">
        <v>0</v>
      </c>
      <c r="D266" s="135">
        <f>ROUND($C266*D265/$C265,0)</f>
        <v>0</v>
      </c>
      <c r="E266" s="135"/>
      <c r="F266" s="190">
        <v>2</v>
      </c>
      <c r="G266" s="190"/>
      <c r="H266" s="139">
        <f t="shared" si="58"/>
        <v>0</v>
      </c>
      <c r="I266" s="139">
        <f t="shared" si="58"/>
        <v>0</v>
      </c>
      <c r="J266" s="135"/>
      <c r="K266" s="190">
        <v>2</v>
      </c>
      <c r="L266" s="190"/>
      <c r="M266" s="139">
        <f>ROUND($K266*D266,0)</f>
        <v>0</v>
      </c>
    </row>
    <row r="267" spans="1:13" hidden="1">
      <c r="A267" s="136" t="s">
        <v>109</v>
      </c>
      <c r="C267" s="135">
        <v>1123</v>
      </c>
      <c r="D267" s="135">
        <v>2202.0553086252944</v>
      </c>
      <c r="E267" s="135"/>
      <c r="F267" s="138">
        <v>-0.5</v>
      </c>
      <c r="G267" s="138"/>
      <c r="H267" s="139">
        <f t="shared" si="58"/>
        <v>-562</v>
      </c>
      <c r="I267" s="139">
        <f t="shared" si="58"/>
        <v>-1101</v>
      </c>
      <c r="J267" s="135"/>
      <c r="K267" s="138">
        <v>-0.5</v>
      </c>
      <c r="L267" s="138"/>
      <c r="M267" s="139">
        <f>ROUND($K267*D267,0)</f>
        <v>-1101</v>
      </c>
    </row>
    <row r="268" spans="1:13" hidden="1">
      <c r="A268" s="136" t="s">
        <v>153</v>
      </c>
      <c r="C268" s="135"/>
      <c r="D268" s="135"/>
      <c r="E268" s="135"/>
      <c r="F268" s="198"/>
      <c r="G268" s="163"/>
      <c r="H268" s="139"/>
      <c r="I268" s="139"/>
      <c r="J268" s="135"/>
      <c r="K268" s="198"/>
      <c r="L268" s="163"/>
      <c r="M268" s="139"/>
    </row>
    <row r="269" spans="1:13" hidden="1">
      <c r="A269" s="136" t="s">
        <v>154</v>
      </c>
      <c r="C269" s="135"/>
      <c r="D269" s="135"/>
      <c r="E269" s="135"/>
      <c r="F269" s="198"/>
      <c r="G269" s="163"/>
      <c r="H269" s="139"/>
      <c r="I269" s="139"/>
      <c r="J269" s="135"/>
      <c r="K269" s="198"/>
      <c r="L269" s="163"/>
      <c r="M269" s="139"/>
    </row>
    <row r="270" spans="1:13" hidden="1">
      <c r="A270" s="136" t="s">
        <v>155</v>
      </c>
      <c r="C270" s="135"/>
      <c r="D270" s="135"/>
      <c r="E270" s="135"/>
      <c r="F270" s="198"/>
      <c r="G270" s="163"/>
      <c r="H270" s="139"/>
      <c r="I270" s="139"/>
      <c r="J270" s="135"/>
      <c r="K270" s="198"/>
      <c r="L270" s="163"/>
      <c r="M270" s="139"/>
    </row>
    <row r="271" spans="1:13" hidden="1">
      <c r="A271" s="136" t="s">
        <v>156</v>
      </c>
      <c r="C271" s="135"/>
      <c r="D271" s="135"/>
      <c r="E271" s="135"/>
      <c r="F271" s="198"/>
      <c r="G271" s="163"/>
      <c r="H271" s="139"/>
      <c r="I271" s="139"/>
      <c r="J271" s="135"/>
      <c r="K271" s="198"/>
      <c r="L271" s="163"/>
      <c r="M271" s="139"/>
    </row>
    <row r="272" spans="1:13" hidden="1">
      <c r="A272" s="136" t="s">
        <v>157</v>
      </c>
      <c r="C272" s="135"/>
      <c r="D272" s="135"/>
      <c r="E272" s="135"/>
      <c r="F272" s="198"/>
      <c r="G272" s="163"/>
      <c r="H272" s="139"/>
      <c r="I272" s="139"/>
      <c r="J272" s="135"/>
      <c r="K272" s="198"/>
      <c r="L272" s="163"/>
      <c r="M272" s="139"/>
    </row>
    <row r="273" spans="1:13" hidden="1">
      <c r="A273" s="136" t="s">
        <v>158</v>
      </c>
      <c r="C273" s="135"/>
      <c r="D273" s="135"/>
      <c r="E273" s="135"/>
      <c r="F273" s="198"/>
      <c r="G273" s="163"/>
      <c r="H273" s="139"/>
      <c r="I273" s="139"/>
      <c r="J273" s="135"/>
      <c r="K273" s="198"/>
      <c r="L273" s="163"/>
      <c r="M273" s="139"/>
    </row>
    <row r="274" spans="1:13" hidden="1">
      <c r="A274" s="136" t="s">
        <v>159</v>
      </c>
      <c r="C274" s="135">
        <v>6925513</v>
      </c>
      <c r="D274" s="135">
        <v>4865858.7102066642</v>
      </c>
      <c r="E274" s="135"/>
      <c r="F274" s="198">
        <v>28.156199999999998</v>
      </c>
      <c r="G274" s="163" t="s">
        <v>112</v>
      </c>
      <c r="H274" s="139">
        <f t="shared" ref="H274:I279" si="59">ROUND($F274*C274/100,0)</f>
        <v>1949961</v>
      </c>
      <c r="I274" s="139">
        <f t="shared" si="59"/>
        <v>1370041</v>
      </c>
      <c r="J274" s="135"/>
      <c r="K274" s="198">
        <v>28.8721</v>
      </c>
      <c r="L274" s="163" t="s">
        <v>112</v>
      </c>
      <c r="M274" s="139">
        <f t="shared" ref="M274:M279" si="60">ROUND($K274*D274/100,0)</f>
        <v>1404876</v>
      </c>
    </row>
    <row r="275" spans="1:13" hidden="1">
      <c r="A275" s="136" t="s">
        <v>160</v>
      </c>
      <c r="C275" s="135">
        <v>18558712</v>
      </c>
      <c r="D275" s="135">
        <v>13039333.033584218</v>
      </c>
      <c r="E275" s="135"/>
      <c r="F275" s="198">
        <v>10.309899999999999</v>
      </c>
      <c r="G275" s="163" t="s">
        <v>112</v>
      </c>
      <c r="H275" s="139">
        <f t="shared" si="59"/>
        <v>1913385</v>
      </c>
      <c r="I275" s="139">
        <f t="shared" si="59"/>
        <v>1344342</v>
      </c>
      <c r="J275" s="135"/>
      <c r="K275" s="198">
        <v>10.571999999999999</v>
      </c>
      <c r="L275" s="163" t="s">
        <v>112</v>
      </c>
      <c r="M275" s="139">
        <f t="shared" si="60"/>
        <v>1378518</v>
      </c>
    </row>
    <row r="276" spans="1:13" hidden="1">
      <c r="A276" s="136" t="s">
        <v>161</v>
      </c>
      <c r="C276" s="135">
        <v>11712071</v>
      </c>
      <c r="D276" s="135">
        <f>$C276/($C274+$C275)*(D274+D275)</f>
        <v>8228889.7140051397</v>
      </c>
      <c r="E276" s="135"/>
      <c r="F276" s="198">
        <v>-8.335799999999999</v>
      </c>
      <c r="G276" s="163" t="s">
        <v>112</v>
      </c>
      <c r="H276" s="139">
        <f t="shared" si="59"/>
        <v>-976295</v>
      </c>
      <c r="I276" s="139">
        <f t="shared" si="59"/>
        <v>-685944</v>
      </c>
      <c r="J276" s="135"/>
      <c r="K276" s="198">
        <v>-8.5477000000000007</v>
      </c>
      <c r="L276" s="163" t="s">
        <v>112</v>
      </c>
      <c r="M276" s="139">
        <f t="shared" si="60"/>
        <v>-703381</v>
      </c>
    </row>
    <row r="277" spans="1:13" hidden="1">
      <c r="A277" s="136" t="s">
        <v>163</v>
      </c>
      <c r="C277" s="135">
        <v>11842707</v>
      </c>
      <c r="D277" s="135">
        <v>9694526.6132431161</v>
      </c>
      <c r="E277" s="135"/>
      <c r="F277" s="198">
        <v>24.916999999999998</v>
      </c>
      <c r="G277" s="163" t="s">
        <v>112</v>
      </c>
      <c r="H277" s="139">
        <f t="shared" si="59"/>
        <v>2950847</v>
      </c>
      <c r="I277" s="139">
        <f t="shared" si="59"/>
        <v>2415585</v>
      </c>
      <c r="J277" s="135"/>
      <c r="K277" s="198">
        <v>25.5505</v>
      </c>
      <c r="L277" s="163" t="s">
        <v>112</v>
      </c>
      <c r="M277" s="139">
        <f t="shared" si="60"/>
        <v>2477000</v>
      </c>
    </row>
    <row r="278" spans="1:13" hidden="1">
      <c r="A278" s="136" t="s">
        <v>165</v>
      </c>
      <c r="C278" s="135">
        <v>27075751</v>
      </c>
      <c r="D278" s="135">
        <f>D283-D281-D274-D275-D277</f>
        <v>22164407.90463227</v>
      </c>
      <c r="E278" s="135"/>
      <c r="F278" s="198">
        <v>9.1237999999999992</v>
      </c>
      <c r="G278" s="163" t="s">
        <v>112</v>
      </c>
      <c r="H278" s="139">
        <f t="shared" si="59"/>
        <v>2470337</v>
      </c>
      <c r="I278" s="139">
        <f t="shared" si="59"/>
        <v>2022236</v>
      </c>
      <c r="J278" s="135"/>
      <c r="K278" s="198">
        <v>9.3558000000000003</v>
      </c>
      <c r="L278" s="163" t="s">
        <v>112</v>
      </c>
      <c r="M278" s="139">
        <f t="shared" si="60"/>
        <v>2073658</v>
      </c>
    </row>
    <row r="279" spans="1:13" hidden="1">
      <c r="A279" s="136" t="s">
        <v>167</v>
      </c>
      <c r="C279" s="135">
        <v>15852468</v>
      </c>
      <c r="D279" s="135">
        <f>$C279/($C277+$C278)*(D277+D278)</f>
        <v>12976946.310635304</v>
      </c>
      <c r="E279" s="135"/>
      <c r="F279" s="198">
        <v>-7.3768000000000002</v>
      </c>
      <c r="G279" s="163" t="s">
        <v>112</v>
      </c>
      <c r="H279" s="139">
        <f t="shared" si="59"/>
        <v>-1169405</v>
      </c>
      <c r="I279" s="139">
        <f t="shared" si="59"/>
        <v>-957283</v>
      </c>
      <c r="J279" s="135"/>
      <c r="K279" s="198">
        <v>-7.5644</v>
      </c>
      <c r="L279" s="163" t="s">
        <v>112</v>
      </c>
      <c r="M279" s="139">
        <f t="shared" si="60"/>
        <v>-981628</v>
      </c>
    </row>
    <row r="280" spans="1:13" hidden="1">
      <c r="A280" s="136" t="s">
        <v>150</v>
      </c>
      <c r="C280" s="135">
        <v>25902.426229508201</v>
      </c>
      <c r="D280" s="135">
        <f>ROUND($C280*D283/$C283,0)</f>
        <v>20010</v>
      </c>
      <c r="E280" s="135"/>
      <c r="F280" s="138">
        <v>-0.61</v>
      </c>
      <c r="G280" s="138"/>
      <c r="H280" s="139">
        <f>ROUND($F280*C280,0)</f>
        <v>-15800</v>
      </c>
      <c r="I280" s="139">
        <f>ROUND($F280*D280,0)</f>
        <v>-12206</v>
      </c>
      <c r="J280" s="135"/>
      <c r="K280" s="138">
        <v>-0.61</v>
      </c>
      <c r="L280" s="138"/>
      <c r="M280" s="139">
        <f>ROUND($K280*D280,0)</f>
        <v>-12206</v>
      </c>
    </row>
    <row r="281" spans="1:13" hidden="1">
      <c r="A281" s="172" t="s">
        <v>123</v>
      </c>
      <c r="C281" s="135">
        <v>3482800</v>
      </c>
      <c r="D281" s="135">
        <f>ROUND($C281*D283/$C283,0)</f>
        <v>2690484</v>
      </c>
      <c r="E281" s="135"/>
      <c r="F281" s="193">
        <v>7.125</v>
      </c>
      <c r="G281" s="199" t="s">
        <v>112</v>
      </c>
      <c r="H281" s="139">
        <f>ROUND($F281*C281/100,0)</f>
        <v>248150</v>
      </c>
      <c r="I281" s="139">
        <f>ROUND($F281*D281/100,0)</f>
        <v>191697</v>
      </c>
      <c r="J281" s="135"/>
      <c r="K281" s="193">
        <v>7.125</v>
      </c>
      <c r="L281" s="199" t="s">
        <v>112</v>
      </c>
      <c r="M281" s="139">
        <f>ROUND($K281*D281/100,0)</f>
        <v>191697</v>
      </c>
    </row>
    <row r="282" spans="1:13" hidden="1">
      <c r="A282" s="172" t="s">
        <v>125</v>
      </c>
      <c r="B282" s="173"/>
      <c r="C282" s="135">
        <v>16388</v>
      </c>
      <c r="D282" s="135"/>
      <c r="E282" s="135"/>
      <c r="F282" s="174"/>
      <c r="G282" s="13"/>
      <c r="H282" s="139">
        <v>17058</v>
      </c>
      <c r="I282" s="139"/>
      <c r="J282" s="135"/>
      <c r="K282" s="174"/>
      <c r="L282" s="13"/>
      <c r="M282" s="139"/>
    </row>
    <row r="283" spans="1:13" ht="16.5" hidden="1" thickBot="1">
      <c r="A283" s="176" t="s">
        <v>127</v>
      </c>
      <c r="B283" s="177"/>
      <c r="C283" s="178">
        <f>SUM(C274:C275,C277:C278,C281:C282)</f>
        <v>67901871</v>
      </c>
      <c r="D283" s="178">
        <v>52454610.261666268</v>
      </c>
      <c r="E283" s="178"/>
      <c r="F283" s="177"/>
      <c r="G283" s="177"/>
      <c r="H283" s="179">
        <f>SUM(H265:H282)</f>
        <v>7554555</v>
      </c>
      <c r="I283" s="179">
        <f>SUM(I265:I282)</f>
        <v>5855271</v>
      </c>
      <c r="J283" s="178"/>
      <c r="K283" s="177"/>
      <c r="L283" s="177"/>
      <c r="M283" s="179">
        <f>SUM(M265:M267,M274:M282)</f>
        <v>5998505</v>
      </c>
    </row>
    <row r="284" spans="1:13" hidden="1"/>
    <row r="285" spans="1:13" hidden="1">
      <c r="A285" s="133" t="s">
        <v>462</v>
      </c>
      <c r="C285" s="135"/>
      <c r="D285" s="135"/>
      <c r="E285" s="135"/>
      <c r="F285" s="193"/>
      <c r="G285" s="193"/>
      <c r="J285" s="135"/>
      <c r="K285" s="193"/>
      <c r="L285" s="193"/>
    </row>
    <row r="286" spans="1:13" hidden="1">
      <c r="A286" s="136" t="s">
        <v>143</v>
      </c>
      <c r="C286" s="135">
        <v>359.86679245283</v>
      </c>
      <c r="D286" s="135">
        <v>360</v>
      </c>
      <c r="E286" s="135"/>
      <c r="F286" s="138">
        <v>53</v>
      </c>
      <c r="G286" s="138"/>
      <c r="H286" s="139">
        <f t="shared" ref="H286:I288" si="61">ROUND($F286*C286,0)</f>
        <v>19073</v>
      </c>
      <c r="I286" s="139">
        <f t="shared" si="61"/>
        <v>19080</v>
      </c>
      <c r="J286" s="135"/>
      <c r="K286" s="138">
        <v>54</v>
      </c>
      <c r="L286" s="138"/>
      <c r="M286" s="139">
        <f>ROUND($K286*D286,0)</f>
        <v>19440</v>
      </c>
    </row>
    <row r="287" spans="1:13" hidden="1">
      <c r="A287" s="136" t="s">
        <v>106</v>
      </c>
      <c r="C287" s="135">
        <v>0</v>
      </c>
      <c r="D287" s="135">
        <f>ROUND($C287*D286/$C286,0)</f>
        <v>0</v>
      </c>
      <c r="E287" s="135"/>
      <c r="F287" s="190">
        <v>2</v>
      </c>
      <c r="G287" s="190"/>
      <c r="H287" s="139">
        <f t="shared" si="61"/>
        <v>0</v>
      </c>
      <c r="I287" s="139">
        <f t="shared" si="61"/>
        <v>0</v>
      </c>
      <c r="J287" s="135"/>
      <c r="K287" s="190">
        <v>2</v>
      </c>
      <c r="L287" s="190"/>
      <c r="M287" s="139">
        <f>ROUND($K287*D287,0)</f>
        <v>0</v>
      </c>
    </row>
    <row r="288" spans="1:13" hidden="1">
      <c r="A288" s="136" t="s">
        <v>109</v>
      </c>
      <c r="C288" s="135">
        <v>233</v>
      </c>
      <c r="D288" s="135">
        <v>250.23355779832892</v>
      </c>
      <c r="E288" s="135"/>
      <c r="F288" s="138">
        <v>-0.5</v>
      </c>
      <c r="G288" s="138"/>
      <c r="H288" s="139">
        <f t="shared" si="61"/>
        <v>-117</v>
      </c>
      <c r="I288" s="139">
        <f t="shared" si="61"/>
        <v>-125</v>
      </c>
      <c r="J288" s="135"/>
      <c r="K288" s="138">
        <v>-0.5</v>
      </c>
      <c r="L288" s="138"/>
      <c r="M288" s="139">
        <f>ROUND($K288*D288,0)</f>
        <v>-125</v>
      </c>
    </row>
    <row r="289" spans="1:13" hidden="1">
      <c r="A289" s="136" t="s">
        <v>153</v>
      </c>
      <c r="C289" s="135"/>
      <c r="D289" s="135"/>
      <c r="E289" s="135"/>
      <c r="F289" s="198"/>
      <c r="G289" s="163"/>
      <c r="H289" s="139"/>
      <c r="I289" s="139"/>
      <c r="J289" s="135"/>
      <c r="K289" s="198"/>
      <c r="L289" s="163"/>
      <c r="M289" s="139"/>
    </row>
    <row r="290" spans="1:13" hidden="1">
      <c r="A290" s="136" t="s">
        <v>154</v>
      </c>
      <c r="C290" s="135"/>
      <c r="D290" s="135"/>
      <c r="E290" s="135"/>
      <c r="F290" s="198"/>
      <c r="G290" s="163"/>
      <c r="H290" s="139"/>
      <c r="I290" s="139"/>
      <c r="J290" s="135"/>
      <c r="K290" s="198"/>
      <c r="L290" s="163"/>
      <c r="M290" s="139"/>
    </row>
    <row r="291" spans="1:13" hidden="1">
      <c r="A291" s="136" t="s">
        <v>155</v>
      </c>
      <c r="C291" s="135"/>
      <c r="D291" s="135"/>
      <c r="E291" s="135"/>
      <c r="F291" s="198"/>
      <c r="G291" s="163"/>
      <c r="H291" s="139"/>
      <c r="I291" s="139"/>
      <c r="J291" s="135"/>
      <c r="K291" s="198"/>
      <c r="L291" s="163"/>
      <c r="M291" s="139"/>
    </row>
    <row r="292" spans="1:13" hidden="1">
      <c r="A292" s="136" t="s">
        <v>156</v>
      </c>
      <c r="C292" s="135"/>
      <c r="D292" s="135"/>
      <c r="E292" s="135"/>
      <c r="F292" s="198"/>
      <c r="G292" s="163"/>
      <c r="H292" s="139"/>
      <c r="I292" s="139"/>
      <c r="J292" s="135"/>
      <c r="K292" s="198"/>
      <c r="L292" s="163"/>
      <c r="M292" s="139"/>
    </row>
    <row r="293" spans="1:13" hidden="1">
      <c r="A293" s="136" t="s">
        <v>157</v>
      </c>
      <c r="C293" s="135"/>
      <c r="D293" s="135"/>
      <c r="E293" s="135"/>
      <c r="F293" s="198"/>
      <c r="G293" s="163"/>
      <c r="H293" s="139"/>
      <c r="I293" s="139"/>
      <c r="J293" s="135"/>
      <c r="K293" s="198"/>
      <c r="L293" s="163"/>
      <c r="M293" s="139"/>
    </row>
    <row r="294" spans="1:13" hidden="1">
      <c r="A294" s="136" t="s">
        <v>158</v>
      </c>
      <c r="C294" s="135"/>
      <c r="D294" s="135"/>
      <c r="E294" s="135"/>
      <c r="F294" s="198"/>
      <c r="G294" s="163"/>
      <c r="H294" s="139"/>
      <c r="I294" s="139"/>
      <c r="J294" s="135"/>
      <c r="K294" s="198"/>
      <c r="L294" s="163"/>
      <c r="M294" s="139"/>
    </row>
    <row r="295" spans="1:13" hidden="1">
      <c r="A295" s="136" t="s">
        <v>159</v>
      </c>
      <c r="C295" s="135">
        <v>371181</v>
      </c>
      <c r="D295" s="135">
        <v>390966.59557579551</v>
      </c>
      <c r="E295" s="135"/>
      <c r="F295" s="198">
        <v>28.156199999999998</v>
      </c>
      <c r="G295" s="163" t="s">
        <v>112</v>
      </c>
      <c r="H295" s="139">
        <f t="shared" ref="H295:I300" si="62">ROUND($F295*C295/100,0)</f>
        <v>104510</v>
      </c>
      <c r="I295" s="139">
        <f t="shared" si="62"/>
        <v>110081</v>
      </c>
      <c r="J295" s="135"/>
      <c r="K295" s="198">
        <v>28.8721</v>
      </c>
      <c r="L295" s="163" t="s">
        <v>112</v>
      </c>
      <c r="M295" s="139">
        <f t="shared" ref="M295:M300" si="63">ROUND($K295*D295/100,0)</f>
        <v>112880</v>
      </c>
    </row>
    <row r="296" spans="1:13" hidden="1">
      <c r="A296" s="136" t="s">
        <v>160</v>
      </c>
      <c r="C296" s="135">
        <v>2545818</v>
      </c>
      <c r="D296" s="135">
        <v>2681521.4044242045</v>
      </c>
      <c r="E296" s="135"/>
      <c r="F296" s="198">
        <v>10.309899999999999</v>
      </c>
      <c r="G296" s="163" t="s">
        <v>112</v>
      </c>
      <c r="H296" s="139">
        <f t="shared" si="62"/>
        <v>262471</v>
      </c>
      <c r="I296" s="139">
        <f t="shared" si="62"/>
        <v>276462</v>
      </c>
      <c r="J296" s="135"/>
      <c r="K296" s="198">
        <v>10.571999999999999</v>
      </c>
      <c r="L296" s="163" t="s">
        <v>112</v>
      </c>
      <c r="M296" s="139">
        <f t="shared" si="63"/>
        <v>283490</v>
      </c>
    </row>
    <row r="297" spans="1:13" hidden="1">
      <c r="A297" s="136" t="s">
        <v>161</v>
      </c>
      <c r="C297" s="135">
        <v>1395465</v>
      </c>
      <c r="D297" s="135">
        <f>$C297/($C295+$C296)*(D295+D296)</f>
        <v>1469849.481237395</v>
      </c>
      <c r="E297" s="135"/>
      <c r="F297" s="198">
        <v>-8.335799999999999</v>
      </c>
      <c r="G297" s="163" t="s">
        <v>112</v>
      </c>
      <c r="H297" s="139">
        <f t="shared" si="62"/>
        <v>-116323</v>
      </c>
      <c r="I297" s="139">
        <f t="shared" si="62"/>
        <v>-122524</v>
      </c>
      <c r="J297" s="135"/>
      <c r="K297" s="198">
        <v>-8.5477000000000007</v>
      </c>
      <c r="L297" s="163" t="s">
        <v>112</v>
      </c>
      <c r="M297" s="139">
        <f t="shared" si="63"/>
        <v>-125638</v>
      </c>
    </row>
    <row r="298" spans="1:13" hidden="1">
      <c r="A298" s="136" t="s">
        <v>163</v>
      </c>
      <c r="C298" s="135">
        <v>626715</v>
      </c>
      <c r="D298" s="135">
        <v>638700.50768192695</v>
      </c>
      <c r="E298" s="135"/>
      <c r="F298" s="198">
        <v>24.916999999999998</v>
      </c>
      <c r="G298" s="163" t="s">
        <v>112</v>
      </c>
      <c r="H298" s="139">
        <f t="shared" si="62"/>
        <v>156159</v>
      </c>
      <c r="I298" s="139">
        <f t="shared" si="62"/>
        <v>159145</v>
      </c>
      <c r="J298" s="135"/>
      <c r="K298" s="198">
        <v>25.5505</v>
      </c>
      <c r="L298" s="163" t="s">
        <v>112</v>
      </c>
      <c r="M298" s="139">
        <f t="shared" si="63"/>
        <v>163191</v>
      </c>
    </row>
    <row r="299" spans="1:13" hidden="1">
      <c r="A299" s="136" t="s">
        <v>165</v>
      </c>
      <c r="C299" s="135">
        <v>4681914</v>
      </c>
      <c r="D299" s="135">
        <f>D304-D302-D295-D296-D298</f>
        <v>4771452.4923180733</v>
      </c>
      <c r="E299" s="135"/>
      <c r="F299" s="198">
        <v>9.1237999999999992</v>
      </c>
      <c r="G299" s="163" t="s">
        <v>112</v>
      </c>
      <c r="H299" s="139">
        <f t="shared" si="62"/>
        <v>427168</v>
      </c>
      <c r="I299" s="139">
        <f t="shared" si="62"/>
        <v>435338</v>
      </c>
      <c r="J299" s="135"/>
      <c r="K299" s="198">
        <v>9.3558000000000003</v>
      </c>
      <c r="L299" s="163" t="s">
        <v>112</v>
      </c>
      <c r="M299" s="139">
        <f t="shared" si="63"/>
        <v>446408</v>
      </c>
    </row>
    <row r="300" spans="1:13" hidden="1">
      <c r="A300" s="136" t="s">
        <v>167</v>
      </c>
      <c r="C300" s="135">
        <v>2659663</v>
      </c>
      <c r="D300" s="135">
        <f>$C300/($C298+$C299)*(D298+D299)</f>
        <v>2710527.2865063655</v>
      </c>
      <c r="E300" s="135"/>
      <c r="F300" s="198">
        <v>-7.3768000000000002</v>
      </c>
      <c r="G300" s="163" t="s">
        <v>112</v>
      </c>
      <c r="H300" s="139">
        <f t="shared" si="62"/>
        <v>-196198</v>
      </c>
      <c r="I300" s="139">
        <f t="shared" si="62"/>
        <v>-199950</v>
      </c>
      <c r="J300" s="135"/>
      <c r="K300" s="198">
        <v>-7.5644</v>
      </c>
      <c r="L300" s="163" t="s">
        <v>112</v>
      </c>
      <c r="M300" s="139">
        <f t="shared" si="63"/>
        <v>-205035</v>
      </c>
    </row>
    <row r="301" spans="1:13" hidden="1">
      <c r="A301" s="136" t="s">
        <v>150</v>
      </c>
      <c r="C301" s="135">
        <v>0</v>
      </c>
      <c r="D301" s="135">
        <f>ROUND($C301*D304/$C304,0)</f>
        <v>0</v>
      </c>
      <c r="E301" s="135"/>
      <c r="F301" s="138">
        <v>-0.61</v>
      </c>
      <c r="G301" s="138"/>
      <c r="H301" s="139">
        <f>ROUND($F301*C301,0)</f>
        <v>0</v>
      </c>
      <c r="I301" s="139">
        <f>ROUND($F301*D301,0)</f>
        <v>0</v>
      </c>
      <c r="J301" s="135"/>
      <c r="K301" s="138">
        <v>-0.61</v>
      </c>
      <c r="L301" s="138"/>
      <c r="M301" s="139">
        <f>ROUND($K301*D301,0)</f>
        <v>0</v>
      </c>
    </row>
    <row r="302" spans="1:13" hidden="1">
      <c r="A302" s="172" t="s">
        <v>123</v>
      </c>
      <c r="C302" s="135">
        <v>0</v>
      </c>
      <c r="D302" s="135">
        <f>ROUND($C302*D304/$C304,0)</f>
        <v>0</v>
      </c>
      <c r="E302" s="135"/>
      <c r="F302" s="193">
        <v>7.125</v>
      </c>
      <c r="G302" s="199" t="s">
        <v>112</v>
      </c>
      <c r="H302" s="139">
        <f>ROUND($F302*C302/100,0)</f>
        <v>0</v>
      </c>
      <c r="I302" s="139">
        <f>ROUND($F302*D302/100,0)</f>
        <v>0</v>
      </c>
      <c r="J302" s="135"/>
      <c r="K302" s="193">
        <v>7.125</v>
      </c>
      <c r="L302" s="199" t="s">
        <v>112</v>
      </c>
      <c r="M302" s="139">
        <f>ROUND($K302*D302/100,0)</f>
        <v>0</v>
      </c>
    </row>
    <row r="303" spans="1:13" hidden="1">
      <c r="A303" s="172" t="s">
        <v>125</v>
      </c>
      <c r="B303" s="173"/>
      <c r="C303" s="135">
        <v>23164</v>
      </c>
      <c r="D303" s="135"/>
      <c r="E303" s="135"/>
      <c r="F303" s="174"/>
      <c r="G303" s="13"/>
      <c r="H303" s="139">
        <v>2196</v>
      </c>
      <c r="I303" s="139"/>
      <c r="J303" s="135"/>
      <c r="K303" s="174"/>
      <c r="L303" s="13"/>
      <c r="M303" s="139"/>
    </row>
    <row r="304" spans="1:13" ht="16.5" hidden="1" thickBot="1">
      <c r="A304" s="176" t="s">
        <v>127</v>
      </c>
      <c r="B304" s="177"/>
      <c r="C304" s="178">
        <f>SUM(C295:C296,C298:C299,C302:C303)</f>
        <v>8248792</v>
      </c>
      <c r="D304" s="178">
        <v>8482641</v>
      </c>
      <c r="E304" s="178"/>
      <c r="F304" s="177"/>
      <c r="G304" s="177"/>
      <c r="H304" s="179">
        <f>SUM(H286:H303)</f>
        <v>658939</v>
      </c>
      <c r="I304" s="179">
        <f>SUM(I286:I303)</f>
        <v>677507</v>
      </c>
      <c r="J304" s="178"/>
      <c r="K304" s="177"/>
      <c r="L304" s="177"/>
      <c r="M304" s="179">
        <f>SUM(M286:M288,M295:M303)</f>
        <v>694611</v>
      </c>
    </row>
    <row r="305" spans="1:13" hidden="1">
      <c r="C305" s="135"/>
      <c r="D305" s="135"/>
      <c r="E305" s="135"/>
      <c r="J305" s="135"/>
    </row>
    <row r="306" spans="1:13">
      <c r="A306" s="133" t="s">
        <v>171</v>
      </c>
      <c r="C306" s="135"/>
      <c r="D306" s="135"/>
      <c r="E306" s="135"/>
      <c r="F306" s="193"/>
      <c r="G306" s="193"/>
      <c r="J306" s="135"/>
      <c r="K306" s="193"/>
      <c r="L306" s="193"/>
    </row>
    <row r="307" spans="1:13">
      <c r="A307" s="136" t="s">
        <v>143</v>
      </c>
      <c r="C307" s="135">
        <f t="shared" ref="C307:D315" si="64">C328+C349+C370</f>
        <v>1628.2994339622599</v>
      </c>
      <c r="D307" s="135">
        <f t="shared" si="64"/>
        <v>1284</v>
      </c>
      <c r="E307" s="135"/>
      <c r="F307" s="138">
        <v>53</v>
      </c>
      <c r="G307" s="138"/>
      <c r="H307" s="139">
        <f t="shared" ref="H307:I309" si="65">ROUND($F307*C307,0)</f>
        <v>86300</v>
      </c>
      <c r="I307" s="139">
        <f t="shared" si="65"/>
        <v>68052</v>
      </c>
      <c r="J307" s="135"/>
      <c r="K307" s="138">
        <v>54</v>
      </c>
      <c r="L307" s="138"/>
      <c r="M307" s="139">
        <f>ROUND($K307*D307,0)</f>
        <v>69336</v>
      </c>
    </row>
    <row r="308" spans="1:13">
      <c r="A308" s="136" t="s">
        <v>106</v>
      </c>
      <c r="C308" s="135">
        <f t="shared" si="64"/>
        <v>4</v>
      </c>
      <c r="D308" s="135">
        <f t="shared" si="64"/>
        <v>3</v>
      </c>
      <c r="E308" s="135"/>
      <c r="F308" s="190">
        <v>2</v>
      </c>
      <c r="G308" s="190"/>
      <c r="H308" s="139">
        <f t="shared" si="65"/>
        <v>8</v>
      </c>
      <c r="I308" s="139">
        <f t="shared" si="65"/>
        <v>6</v>
      </c>
      <c r="J308" s="135"/>
      <c r="K308" s="190">
        <v>2</v>
      </c>
      <c r="L308" s="190"/>
      <c r="M308" s="139">
        <f>ROUND($K308*D308,0)</f>
        <v>6</v>
      </c>
    </row>
    <row r="309" spans="1:13">
      <c r="A309" s="136" t="s">
        <v>109</v>
      </c>
      <c r="C309" s="135">
        <f t="shared" si="64"/>
        <v>640</v>
      </c>
      <c r="D309" s="135">
        <f t="shared" si="64"/>
        <v>892.49968948070659</v>
      </c>
      <c r="E309" s="135"/>
      <c r="F309" s="138">
        <v>-0.5</v>
      </c>
      <c r="G309" s="138"/>
      <c r="H309" s="139">
        <f t="shared" si="65"/>
        <v>-320</v>
      </c>
      <c r="I309" s="139">
        <f t="shared" si="65"/>
        <v>-446</v>
      </c>
      <c r="J309" s="135"/>
      <c r="K309" s="138">
        <v>-0.5</v>
      </c>
      <c r="L309" s="138"/>
      <c r="M309" s="139">
        <f>ROUND($K309*D309,0)</f>
        <v>-446</v>
      </c>
    </row>
    <row r="310" spans="1:13">
      <c r="A310" s="136" t="s">
        <v>153</v>
      </c>
      <c r="C310" s="135"/>
      <c r="D310" s="135">
        <f t="shared" si="64"/>
        <v>0</v>
      </c>
      <c r="E310" s="135"/>
      <c r="F310" s="198"/>
      <c r="G310" s="163"/>
      <c r="H310" s="139"/>
      <c r="I310" s="139"/>
      <c r="J310" s="135"/>
      <c r="K310" s="198"/>
      <c r="L310" s="163"/>
      <c r="M310" s="139"/>
    </row>
    <row r="311" spans="1:13">
      <c r="A311" s="136" t="s">
        <v>154</v>
      </c>
      <c r="C311" s="135"/>
      <c r="D311" s="135">
        <f t="shared" si="64"/>
        <v>0</v>
      </c>
      <c r="E311" s="135"/>
      <c r="F311" s="198"/>
      <c r="G311" s="163"/>
      <c r="H311" s="139"/>
      <c r="I311" s="139"/>
      <c r="J311" s="135"/>
      <c r="K311" s="198"/>
      <c r="L311" s="163"/>
      <c r="M311" s="139"/>
    </row>
    <row r="312" spans="1:13">
      <c r="A312" s="136" t="s">
        <v>155</v>
      </c>
      <c r="C312" s="135"/>
      <c r="D312" s="135">
        <f t="shared" si="64"/>
        <v>0</v>
      </c>
      <c r="E312" s="135"/>
      <c r="F312" s="198"/>
      <c r="G312" s="163"/>
      <c r="H312" s="139"/>
      <c r="I312" s="139"/>
      <c r="J312" s="135"/>
      <c r="K312" s="198"/>
      <c r="L312" s="163"/>
      <c r="M312" s="139"/>
    </row>
    <row r="313" spans="1:13">
      <c r="A313" s="136" t="s">
        <v>156</v>
      </c>
      <c r="C313" s="135"/>
      <c r="D313" s="135">
        <f t="shared" si="64"/>
        <v>0</v>
      </c>
      <c r="E313" s="135"/>
      <c r="F313" s="198"/>
      <c r="G313" s="163"/>
      <c r="H313" s="139"/>
      <c r="I313" s="139"/>
      <c r="J313" s="135"/>
      <c r="K313" s="198"/>
      <c r="L313" s="163"/>
      <c r="M313" s="139"/>
    </row>
    <row r="314" spans="1:13">
      <c r="A314" s="136" t="s">
        <v>157</v>
      </c>
      <c r="C314" s="135"/>
      <c r="D314" s="135">
        <f t="shared" si="64"/>
        <v>0</v>
      </c>
      <c r="E314" s="135"/>
      <c r="F314" s="198"/>
      <c r="G314" s="163"/>
      <c r="H314" s="139"/>
      <c r="I314" s="139"/>
      <c r="J314" s="135"/>
      <c r="K314" s="198"/>
      <c r="L314" s="163"/>
      <c r="M314" s="139"/>
    </row>
    <row r="315" spans="1:13">
      <c r="A315" s="136" t="s">
        <v>158</v>
      </c>
      <c r="C315" s="135"/>
      <c r="D315" s="135">
        <f t="shared" si="64"/>
        <v>0</v>
      </c>
      <c r="E315" s="135"/>
      <c r="F315" s="198"/>
      <c r="G315" s="163"/>
      <c r="H315" s="139"/>
      <c r="I315" s="139"/>
      <c r="J315" s="135"/>
      <c r="K315" s="198"/>
      <c r="L315" s="163"/>
      <c r="M315" s="139"/>
    </row>
    <row r="316" spans="1:13">
      <c r="A316" s="136" t="s">
        <v>159</v>
      </c>
      <c r="C316" s="135">
        <f t="shared" ref="C316:D323" si="66">C337+C358+C379</f>
        <v>1961391</v>
      </c>
      <c r="D316" s="135">
        <f t="shared" si="66"/>
        <v>1453928.0313250141</v>
      </c>
      <c r="E316" s="135"/>
      <c r="F316" s="198">
        <v>28.156199999999998</v>
      </c>
      <c r="G316" s="163" t="s">
        <v>112</v>
      </c>
      <c r="H316" s="139">
        <f t="shared" ref="H316:I321" si="67">ROUND($F316*C316/100,0)</f>
        <v>552253</v>
      </c>
      <c r="I316" s="139">
        <f t="shared" si="67"/>
        <v>409371</v>
      </c>
      <c r="J316" s="135"/>
      <c r="K316" s="198">
        <v>28.8721</v>
      </c>
      <c r="L316" s="163" t="s">
        <v>112</v>
      </c>
      <c r="M316" s="139">
        <f t="shared" ref="M316:M321" si="68">ROUND($K316*D316/100,0)</f>
        <v>419780</v>
      </c>
    </row>
    <row r="317" spans="1:13">
      <c r="A317" s="136" t="s">
        <v>160</v>
      </c>
      <c r="C317" s="135">
        <f t="shared" si="66"/>
        <v>4899030</v>
      </c>
      <c r="D317" s="135">
        <f t="shared" si="66"/>
        <v>3467623.6666006553</v>
      </c>
      <c r="E317" s="135"/>
      <c r="F317" s="198">
        <v>10.309899999999999</v>
      </c>
      <c r="G317" s="163" t="s">
        <v>112</v>
      </c>
      <c r="H317" s="139">
        <f t="shared" si="67"/>
        <v>505085</v>
      </c>
      <c r="I317" s="139">
        <f t="shared" si="67"/>
        <v>357509</v>
      </c>
      <c r="J317" s="135"/>
      <c r="K317" s="198">
        <v>10.571999999999999</v>
      </c>
      <c r="L317" s="163" t="s">
        <v>112</v>
      </c>
      <c r="M317" s="139">
        <f t="shared" si="68"/>
        <v>366597</v>
      </c>
    </row>
    <row r="318" spans="1:13">
      <c r="A318" s="136" t="s">
        <v>161</v>
      </c>
      <c r="C318" s="135">
        <f t="shared" si="66"/>
        <v>3456355</v>
      </c>
      <c r="D318" s="135">
        <f t="shared" si="66"/>
        <v>2361558.7599450094</v>
      </c>
      <c r="E318" s="135"/>
      <c r="F318" s="198">
        <v>-8.335799999999999</v>
      </c>
      <c r="G318" s="163" t="s">
        <v>112</v>
      </c>
      <c r="H318" s="139">
        <f t="shared" si="67"/>
        <v>-288115</v>
      </c>
      <c r="I318" s="139">
        <f t="shared" si="67"/>
        <v>-196855</v>
      </c>
      <c r="J318" s="135"/>
      <c r="K318" s="198">
        <v>-8.5477000000000007</v>
      </c>
      <c r="L318" s="163" t="s">
        <v>112</v>
      </c>
      <c r="M318" s="139">
        <f t="shared" si="68"/>
        <v>-201859</v>
      </c>
    </row>
    <row r="319" spans="1:13">
      <c r="A319" s="136" t="s">
        <v>163</v>
      </c>
      <c r="C319" s="135">
        <f t="shared" si="66"/>
        <v>4813104</v>
      </c>
      <c r="D319" s="135">
        <f t="shared" si="66"/>
        <v>3700923.7553738314</v>
      </c>
      <c r="E319" s="135"/>
      <c r="F319" s="198">
        <v>24.916999999999998</v>
      </c>
      <c r="G319" s="163" t="s">
        <v>112</v>
      </c>
      <c r="H319" s="139">
        <f t="shared" si="67"/>
        <v>1199281</v>
      </c>
      <c r="I319" s="139">
        <f t="shared" si="67"/>
        <v>922159</v>
      </c>
      <c r="J319" s="135"/>
      <c r="K319" s="198">
        <v>25.5505</v>
      </c>
      <c r="L319" s="163" t="s">
        <v>112</v>
      </c>
      <c r="M319" s="139">
        <f t="shared" si="68"/>
        <v>945605</v>
      </c>
    </row>
    <row r="320" spans="1:13">
      <c r="A320" s="136" t="s">
        <v>165</v>
      </c>
      <c r="C320" s="135">
        <f t="shared" si="66"/>
        <v>15614777</v>
      </c>
      <c r="D320" s="135">
        <f t="shared" si="66"/>
        <v>11696751.274406252</v>
      </c>
      <c r="E320" s="135"/>
      <c r="F320" s="198">
        <v>9.1237999999999992</v>
      </c>
      <c r="G320" s="163" t="s">
        <v>112</v>
      </c>
      <c r="H320" s="139">
        <f t="shared" si="67"/>
        <v>1424661</v>
      </c>
      <c r="I320" s="139">
        <f t="shared" si="67"/>
        <v>1067188</v>
      </c>
      <c r="J320" s="135"/>
      <c r="K320" s="198">
        <v>9.3558000000000003</v>
      </c>
      <c r="L320" s="163" t="s">
        <v>112</v>
      </c>
      <c r="M320" s="139">
        <f t="shared" si="68"/>
        <v>1094325</v>
      </c>
    </row>
    <row r="321" spans="1:13">
      <c r="A321" s="136" t="s">
        <v>167</v>
      </c>
      <c r="C321" s="135">
        <f t="shared" si="66"/>
        <v>9595873</v>
      </c>
      <c r="D321" s="135">
        <f t="shared" si="66"/>
        <v>7080778.5879569454</v>
      </c>
      <c r="E321" s="135"/>
      <c r="F321" s="198">
        <v>-7.3768000000000002</v>
      </c>
      <c r="G321" s="163" t="s">
        <v>112</v>
      </c>
      <c r="H321" s="139">
        <f t="shared" si="67"/>
        <v>-707868</v>
      </c>
      <c r="I321" s="139">
        <f t="shared" si="67"/>
        <v>-522335</v>
      </c>
      <c r="J321" s="135"/>
      <c r="K321" s="198">
        <v>-7.5644</v>
      </c>
      <c r="L321" s="163" t="s">
        <v>112</v>
      </c>
      <c r="M321" s="139">
        <f t="shared" si="68"/>
        <v>-535618</v>
      </c>
    </row>
    <row r="322" spans="1:13">
      <c r="A322" s="136" t="s">
        <v>150</v>
      </c>
      <c r="C322" s="135">
        <f t="shared" si="66"/>
        <v>6017</v>
      </c>
      <c r="D322" s="135">
        <f t="shared" si="66"/>
        <v>6475</v>
      </c>
      <c r="E322" s="135"/>
      <c r="F322" s="138">
        <v>-0.61</v>
      </c>
      <c r="G322" s="138"/>
      <c r="H322" s="139">
        <f>ROUND($F322*C322,0)</f>
        <v>-3670</v>
      </c>
      <c r="I322" s="139">
        <f>ROUND($F322*D322,0)</f>
        <v>-3950</v>
      </c>
      <c r="J322" s="135"/>
      <c r="K322" s="138">
        <v>-0.61</v>
      </c>
      <c r="L322" s="138"/>
      <c r="M322" s="139">
        <f>ROUND($K322*D322,0)</f>
        <v>-3950</v>
      </c>
    </row>
    <row r="323" spans="1:13">
      <c r="A323" s="172" t="s">
        <v>123</v>
      </c>
      <c r="C323" s="135">
        <f t="shared" si="66"/>
        <v>0</v>
      </c>
      <c r="D323" s="135">
        <f t="shared" si="66"/>
        <v>0</v>
      </c>
      <c r="E323" s="135"/>
      <c r="F323" s="193">
        <v>7.125</v>
      </c>
      <c r="G323" s="199" t="s">
        <v>112</v>
      </c>
      <c r="H323" s="139">
        <f>ROUND($F323*C323/100,0)</f>
        <v>0</v>
      </c>
      <c r="I323" s="139">
        <f>ROUND($F323*D323/100,0)</f>
        <v>0</v>
      </c>
      <c r="J323" s="135"/>
      <c r="K323" s="193">
        <v>7.125</v>
      </c>
      <c r="L323" s="199" t="s">
        <v>112</v>
      </c>
      <c r="M323" s="139">
        <f>ROUND($K323*D323/100,0)</f>
        <v>0</v>
      </c>
    </row>
    <row r="324" spans="1:13">
      <c r="A324" s="172" t="s">
        <v>125</v>
      </c>
      <c r="B324" s="173"/>
      <c r="C324" s="135">
        <f>C345+C366+C387</f>
        <v>166112</v>
      </c>
      <c r="D324" s="135"/>
      <c r="E324" s="135"/>
      <c r="F324" s="174"/>
      <c r="G324" s="13"/>
      <c r="H324" s="139">
        <f>H345+H366+H387</f>
        <v>17473</v>
      </c>
      <c r="I324" s="139"/>
      <c r="J324" s="135"/>
      <c r="K324" s="174"/>
      <c r="L324" s="13"/>
      <c r="M324" s="139"/>
    </row>
    <row r="325" spans="1:13" ht="16.5" thickBot="1">
      <c r="A325" s="176" t="s">
        <v>127</v>
      </c>
      <c r="B325" s="177"/>
      <c r="C325" s="178">
        <f t="shared" ref="C325:D325" si="69">C346+C367+C388</f>
        <v>27454414</v>
      </c>
      <c r="D325" s="178">
        <f t="shared" si="69"/>
        <v>20319226.727705751</v>
      </c>
      <c r="E325" s="178"/>
      <c r="F325" s="177"/>
      <c r="G325" s="177"/>
      <c r="H325" s="179">
        <f>SUM(H307:H324)</f>
        <v>2785088</v>
      </c>
      <c r="I325" s="179">
        <f>SUM(I307:I324)</f>
        <v>2100699</v>
      </c>
      <c r="J325" s="178"/>
      <c r="K325" s="177"/>
      <c r="L325" s="177"/>
      <c r="M325" s="179">
        <f>SUM(M307:M309,M316:M324)</f>
        <v>2153776</v>
      </c>
    </row>
    <row r="326" spans="1:13" ht="16.5" thickTop="1">
      <c r="C326" s="135"/>
      <c r="D326" s="135"/>
      <c r="E326" s="135"/>
      <c r="J326" s="135"/>
    </row>
    <row r="327" spans="1:13" hidden="1">
      <c r="A327" s="133" t="s">
        <v>463</v>
      </c>
      <c r="C327" s="135"/>
      <c r="D327" s="135"/>
      <c r="E327" s="135"/>
      <c r="F327" s="193"/>
      <c r="G327" s="193"/>
      <c r="J327" s="135"/>
      <c r="K327" s="193"/>
      <c r="L327" s="193"/>
    </row>
    <row r="328" spans="1:13" hidden="1">
      <c r="A328" s="136" t="s">
        <v>143</v>
      </c>
      <c r="C328" s="135">
        <v>1426.6994339622599</v>
      </c>
      <c r="D328" s="135">
        <v>1092</v>
      </c>
      <c r="E328" s="135"/>
      <c r="F328" s="138">
        <v>53</v>
      </c>
      <c r="G328" s="138"/>
      <c r="H328" s="139">
        <f t="shared" ref="H328:I330" si="70">ROUND($F328*C328,0)</f>
        <v>75615</v>
      </c>
      <c r="I328" s="139">
        <f t="shared" si="70"/>
        <v>57876</v>
      </c>
      <c r="J328" s="135"/>
      <c r="K328" s="138">
        <v>54</v>
      </c>
      <c r="L328" s="138"/>
      <c r="M328" s="139">
        <f>ROUND($K328*D328,0)</f>
        <v>58968</v>
      </c>
    </row>
    <row r="329" spans="1:13" hidden="1">
      <c r="A329" s="136" t="s">
        <v>106</v>
      </c>
      <c r="C329" s="135">
        <v>4</v>
      </c>
      <c r="D329" s="135">
        <f>ROUND($C329*D328/$C328,0)</f>
        <v>3</v>
      </c>
      <c r="E329" s="135"/>
      <c r="F329" s="190">
        <v>2</v>
      </c>
      <c r="G329" s="190"/>
      <c r="H329" s="139">
        <f t="shared" si="70"/>
        <v>8</v>
      </c>
      <c r="I329" s="139">
        <f t="shared" si="70"/>
        <v>6</v>
      </c>
      <c r="J329" s="135"/>
      <c r="K329" s="190">
        <v>2</v>
      </c>
      <c r="L329" s="190"/>
      <c r="M329" s="139">
        <f>ROUND($K329*D329,0)</f>
        <v>6</v>
      </c>
    </row>
    <row r="330" spans="1:13" hidden="1">
      <c r="A330" s="136" t="s">
        <v>109</v>
      </c>
      <c r="C330" s="135">
        <v>568</v>
      </c>
      <c r="D330" s="135">
        <v>759.04179198826444</v>
      </c>
      <c r="E330" s="135"/>
      <c r="F330" s="138">
        <v>-0.5</v>
      </c>
      <c r="G330" s="138"/>
      <c r="H330" s="139">
        <f t="shared" si="70"/>
        <v>-284</v>
      </c>
      <c r="I330" s="139">
        <f t="shared" si="70"/>
        <v>-380</v>
      </c>
      <c r="J330" s="135"/>
      <c r="K330" s="138">
        <v>-0.5</v>
      </c>
      <c r="L330" s="138"/>
      <c r="M330" s="139">
        <f>ROUND($K330*D330,0)</f>
        <v>-380</v>
      </c>
    </row>
    <row r="331" spans="1:13" hidden="1">
      <c r="A331" s="136" t="s">
        <v>153</v>
      </c>
      <c r="C331" s="135"/>
      <c r="D331" s="135"/>
      <c r="E331" s="135"/>
      <c r="F331" s="198"/>
      <c r="G331" s="163"/>
      <c r="H331" s="139"/>
      <c r="I331" s="139"/>
      <c r="J331" s="135"/>
      <c r="K331" s="198"/>
      <c r="L331" s="163"/>
      <c r="M331" s="139"/>
    </row>
    <row r="332" spans="1:13" hidden="1">
      <c r="A332" s="136" t="s">
        <v>154</v>
      </c>
      <c r="C332" s="135"/>
      <c r="D332" s="135"/>
      <c r="E332" s="135"/>
      <c r="F332" s="198"/>
      <c r="G332" s="163"/>
      <c r="H332" s="139"/>
      <c r="I332" s="139"/>
      <c r="J332" s="135"/>
      <c r="K332" s="198"/>
      <c r="L332" s="163"/>
      <c r="M332" s="139"/>
    </row>
    <row r="333" spans="1:13" hidden="1">
      <c r="A333" s="136" t="s">
        <v>155</v>
      </c>
      <c r="C333" s="135"/>
      <c r="D333" s="135"/>
      <c r="E333" s="135"/>
      <c r="F333" s="198"/>
      <c r="G333" s="163"/>
      <c r="H333" s="139"/>
      <c r="I333" s="139"/>
      <c r="J333" s="135"/>
      <c r="K333" s="198"/>
      <c r="L333" s="163"/>
      <c r="M333" s="139"/>
    </row>
    <row r="334" spans="1:13" hidden="1">
      <c r="A334" s="136" t="s">
        <v>156</v>
      </c>
      <c r="C334" s="135"/>
      <c r="D334" s="135"/>
      <c r="E334" s="135"/>
      <c r="F334" s="198"/>
      <c r="G334" s="163"/>
      <c r="H334" s="139"/>
      <c r="I334" s="139"/>
      <c r="J334" s="135"/>
      <c r="K334" s="198"/>
      <c r="L334" s="163"/>
      <c r="M334" s="139"/>
    </row>
    <row r="335" spans="1:13" hidden="1">
      <c r="A335" s="136" t="s">
        <v>157</v>
      </c>
      <c r="C335" s="135"/>
      <c r="D335" s="135"/>
      <c r="E335" s="135"/>
      <c r="F335" s="198"/>
      <c r="G335" s="163"/>
      <c r="H335" s="139"/>
      <c r="I335" s="139"/>
      <c r="J335" s="135"/>
      <c r="K335" s="198"/>
      <c r="L335" s="163"/>
      <c r="M335" s="139"/>
    </row>
    <row r="336" spans="1:13" hidden="1">
      <c r="A336" s="136" t="s">
        <v>158</v>
      </c>
      <c r="C336" s="135"/>
      <c r="D336" s="135"/>
      <c r="E336" s="135"/>
      <c r="F336" s="198"/>
      <c r="G336" s="163"/>
      <c r="H336" s="139"/>
      <c r="I336" s="139"/>
      <c r="J336" s="135"/>
      <c r="K336" s="198"/>
      <c r="L336" s="163"/>
      <c r="M336" s="139"/>
    </row>
    <row r="337" spans="1:13" hidden="1">
      <c r="A337" s="136" t="s">
        <v>159</v>
      </c>
      <c r="C337" s="135">
        <v>1415137</v>
      </c>
      <c r="D337" s="135">
        <v>803940.38215545681</v>
      </c>
      <c r="E337" s="135"/>
      <c r="F337" s="198">
        <v>28.156199999999998</v>
      </c>
      <c r="G337" s="163" t="s">
        <v>112</v>
      </c>
      <c r="H337" s="139">
        <f t="shared" ref="H337:I342" si="71">ROUND($F337*C337/100,0)</f>
        <v>398449</v>
      </c>
      <c r="I337" s="139">
        <f t="shared" si="71"/>
        <v>226359</v>
      </c>
      <c r="J337" s="135"/>
      <c r="K337" s="198">
        <v>28.8721</v>
      </c>
      <c r="L337" s="163" t="s">
        <v>112</v>
      </c>
      <c r="M337" s="139">
        <f t="shared" ref="M337:M342" si="72">ROUND($K337*D337/100,0)</f>
        <v>232114</v>
      </c>
    </row>
    <row r="338" spans="1:13" hidden="1">
      <c r="A338" s="136" t="s">
        <v>160</v>
      </c>
      <c r="C338" s="135">
        <v>3808947</v>
      </c>
      <c r="D338" s="135">
        <v>2163865.6234625205</v>
      </c>
      <c r="E338" s="135"/>
      <c r="F338" s="198">
        <v>10.309899999999999</v>
      </c>
      <c r="G338" s="163" t="s">
        <v>112</v>
      </c>
      <c r="H338" s="139">
        <f t="shared" si="71"/>
        <v>392699</v>
      </c>
      <c r="I338" s="139">
        <f t="shared" si="71"/>
        <v>223092</v>
      </c>
      <c r="J338" s="135"/>
      <c r="K338" s="198">
        <v>10.571999999999999</v>
      </c>
      <c r="L338" s="163" t="s">
        <v>112</v>
      </c>
      <c r="M338" s="139">
        <f t="shared" si="72"/>
        <v>228764</v>
      </c>
    </row>
    <row r="339" spans="1:13" hidden="1">
      <c r="A339" s="136" t="s">
        <v>161</v>
      </c>
      <c r="C339" s="135">
        <v>2796163</v>
      </c>
      <c r="D339" s="135">
        <f>$C339/($C337+$C338)*(D337+D338)</f>
        <v>1588502.2798421273</v>
      </c>
      <c r="E339" s="135"/>
      <c r="F339" s="198">
        <v>-8.335799999999999</v>
      </c>
      <c r="G339" s="163" t="s">
        <v>112</v>
      </c>
      <c r="H339" s="139">
        <f t="shared" si="71"/>
        <v>-233083</v>
      </c>
      <c r="I339" s="139">
        <f t="shared" si="71"/>
        <v>-132414</v>
      </c>
      <c r="J339" s="135"/>
      <c r="K339" s="198">
        <v>-8.5477000000000007</v>
      </c>
      <c r="L339" s="163" t="s">
        <v>112</v>
      </c>
      <c r="M339" s="139">
        <f t="shared" si="72"/>
        <v>-135780</v>
      </c>
    </row>
    <row r="340" spans="1:13" hidden="1">
      <c r="A340" s="136" t="s">
        <v>163</v>
      </c>
      <c r="C340" s="135">
        <v>3658843</v>
      </c>
      <c r="D340" s="135">
        <v>2495960.5428739255</v>
      </c>
      <c r="E340" s="135"/>
      <c r="F340" s="198">
        <v>24.916999999999998</v>
      </c>
      <c r="G340" s="163" t="s">
        <v>112</v>
      </c>
      <c r="H340" s="139">
        <f t="shared" si="71"/>
        <v>911674</v>
      </c>
      <c r="I340" s="139">
        <f t="shared" si="71"/>
        <v>621918</v>
      </c>
      <c r="J340" s="135"/>
      <c r="K340" s="198">
        <v>25.5505</v>
      </c>
      <c r="L340" s="163" t="s">
        <v>112</v>
      </c>
      <c r="M340" s="139">
        <f t="shared" si="72"/>
        <v>637730</v>
      </c>
    </row>
    <row r="341" spans="1:13" hidden="1">
      <c r="A341" s="136" t="s">
        <v>165</v>
      </c>
      <c r="C341" s="135">
        <v>12672265</v>
      </c>
      <c r="D341" s="135">
        <f>D346-D344-D337-D338-D340</f>
        <v>8644665.3843420558</v>
      </c>
      <c r="E341" s="135"/>
      <c r="F341" s="198">
        <v>9.1237999999999992</v>
      </c>
      <c r="G341" s="163" t="s">
        <v>112</v>
      </c>
      <c r="H341" s="139">
        <f t="shared" si="71"/>
        <v>1156192</v>
      </c>
      <c r="I341" s="139">
        <f t="shared" si="71"/>
        <v>788722</v>
      </c>
      <c r="J341" s="135"/>
      <c r="K341" s="198">
        <v>9.3558000000000003</v>
      </c>
      <c r="L341" s="163" t="s">
        <v>112</v>
      </c>
      <c r="M341" s="139">
        <f t="shared" si="72"/>
        <v>808778</v>
      </c>
    </row>
    <row r="342" spans="1:13" hidden="1">
      <c r="A342" s="136" t="s">
        <v>167</v>
      </c>
      <c r="C342" s="135">
        <v>8046778</v>
      </c>
      <c r="D342" s="135">
        <f>$C342/($C340+$C341)*(D340+D341)</f>
        <v>5489287.2925309883</v>
      </c>
      <c r="E342" s="135"/>
      <c r="F342" s="198">
        <v>-7.3768000000000002</v>
      </c>
      <c r="G342" s="163" t="s">
        <v>112</v>
      </c>
      <c r="H342" s="139">
        <f t="shared" si="71"/>
        <v>-593595</v>
      </c>
      <c r="I342" s="139">
        <f t="shared" si="71"/>
        <v>-404934</v>
      </c>
      <c r="J342" s="135"/>
      <c r="K342" s="198">
        <v>-7.5644</v>
      </c>
      <c r="L342" s="163" t="s">
        <v>112</v>
      </c>
      <c r="M342" s="139">
        <f t="shared" si="72"/>
        <v>-415232</v>
      </c>
    </row>
    <row r="343" spans="1:13" hidden="1">
      <c r="A343" s="136" t="s">
        <v>150</v>
      </c>
      <c r="C343" s="135">
        <v>329</v>
      </c>
      <c r="D343" s="135">
        <f>ROUND($C343*D346/$C346,0)</f>
        <v>214</v>
      </c>
      <c r="E343" s="135"/>
      <c r="F343" s="138">
        <v>-0.61</v>
      </c>
      <c r="G343" s="138"/>
      <c r="H343" s="139">
        <f>ROUND($F343*C343,0)</f>
        <v>-201</v>
      </c>
      <c r="I343" s="139">
        <f>ROUND($F343*D343,0)</f>
        <v>-131</v>
      </c>
      <c r="J343" s="135"/>
      <c r="K343" s="138">
        <v>-0.61</v>
      </c>
      <c r="L343" s="138"/>
      <c r="M343" s="139">
        <f>ROUND($K343*D343,0)</f>
        <v>-131</v>
      </c>
    </row>
    <row r="344" spans="1:13" hidden="1">
      <c r="A344" s="172" t="s">
        <v>123</v>
      </c>
      <c r="C344" s="135">
        <v>0</v>
      </c>
      <c r="D344" s="135">
        <f>ROUND($C344*D346/$C346,0)</f>
        <v>0</v>
      </c>
      <c r="E344" s="135"/>
      <c r="F344" s="193">
        <v>7.125</v>
      </c>
      <c r="G344" s="199" t="s">
        <v>112</v>
      </c>
      <c r="H344" s="139">
        <f>ROUND($F344*C344/100,0)</f>
        <v>0</v>
      </c>
      <c r="I344" s="139">
        <f>ROUND($F344*D344/100,0)</f>
        <v>0</v>
      </c>
      <c r="J344" s="135"/>
      <c r="K344" s="193">
        <v>7.125</v>
      </c>
      <c r="L344" s="199" t="s">
        <v>112</v>
      </c>
      <c r="M344" s="139">
        <f>ROUND($K344*D344/100,0)</f>
        <v>0</v>
      </c>
    </row>
    <row r="345" spans="1:13" hidden="1">
      <c r="A345" s="172" t="s">
        <v>125</v>
      </c>
      <c r="B345" s="173"/>
      <c r="C345" s="135">
        <v>164364</v>
      </c>
      <c r="D345" s="135"/>
      <c r="E345" s="135"/>
      <c r="F345" s="174"/>
      <c r="G345" s="13"/>
      <c r="H345" s="139">
        <v>15965</v>
      </c>
      <c r="I345" s="139"/>
      <c r="J345" s="135"/>
      <c r="K345" s="174"/>
      <c r="L345" s="13"/>
      <c r="M345" s="139"/>
    </row>
    <row r="346" spans="1:13" ht="16.5" hidden="1" thickBot="1">
      <c r="A346" s="176" t="s">
        <v>127</v>
      </c>
      <c r="B346" s="177"/>
      <c r="C346" s="178">
        <f>SUM(C337:C338,C340:C341,C344:C345)</f>
        <v>21719556</v>
      </c>
      <c r="D346" s="178">
        <v>14108431.932833958</v>
      </c>
      <c r="E346" s="178"/>
      <c r="F346" s="177"/>
      <c r="G346" s="177"/>
      <c r="H346" s="179">
        <f>SUM(H328:H345)</f>
        <v>2123439</v>
      </c>
      <c r="I346" s="179">
        <f>SUM(I328:I345)</f>
        <v>1380114</v>
      </c>
      <c r="J346" s="178"/>
      <c r="K346" s="177"/>
      <c r="L346" s="177"/>
      <c r="M346" s="179">
        <f>SUM(M328:M330,M337:M345)</f>
        <v>1414837</v>
      </c>
    </row>
    <row r="347" spans="1:13" hidden="1">
      <c r="C347" s="135"/>
      <c r="D347" s="135"/>
      <c r="E347" s="135"/>
      <c r="J347" s="135"/>
    </row>
    <row r="348" spans="1:13" hidden="1">
      <c r="A348" s="133" t="s">
        <v>464</v>
      </c>
      <c r="C348" s="135"/>
      <c r="D348" s="135"/>
      <c r="E348" s="135"/>
      <c r="F348" s="193"/>
      <c r="G348" s="193"/>
      <c r="J348" s="135"/>
      <c r="K348" s="193"/>
      <c r="L348" s="193"/>
    </row>
    <row r="349" spans="1:13" hidden="1">
      <c r="A349" s="136" t="s">
        <v>143</v>
      </c>
      <c r="C349" s="135">
        <v>168</v>
      </c>
      <c r="D349" s="135">
        <v>168</v>
      </c>
      <c r="E349" s="135"/>
      <c r="F349" s="138">
        <v>53</v>
      </c>
      <c r="G349" s="138"/>
      <c r="H349" s="139">
        <f t="shared" ref="H349:I351" si="73">ROUND($F349*C349,0)</f>
        <v>8904</v>
      </c>
      <c r="I349" s="139">
        <f t="shared" si="73"/>
        <v>8904</v>
      </c>
      <c r="J349" s="135"/>
      <c r="K349" s="138">
        <v>54</v>
      </c>
      <c r="L349" s="138"/>
      <c r="M349" s="139">
        <f>ROUND($K349*D349,0)</f>
        <v>9072</v>
      </c>
    </row>
    <row r="350" spans="1:13" hidden="1">
      <c r="A350" s="136" t="s">
        <v>106</v>
      </c>
      <c r="C350" s="135">
        <v>0</v>
      </c>
      <c r="D350" s="135">
        <f>ROUND($C350*D349/$C349,0)</f>
        <v>0</v>
      </c>
      <c r="E350" s="135"/>
      <c r="F350" s="190">
        <v>2</v>
      </c>
      <c r="G350" s="190"/>
      <c r="H350" s="139">
        <f t="shared" si="73"/>
        <v>0</v>
      </c>
      <c r="I350" s="139">
        <f t="shared" si="73"/>
        <v>0</v>
      </c>
      <c r="J350" s="135"/>
      <c r="K350" s="190">
        <v>2</v>
      </c>
      <c r="L350" s="190"/>
      <c r="M350" s="139">
        <f>ROUND($K350*D350,0)</f>
        <v>0</v>
      </c>
    </row>
    <row r="351" spans="1:13" hidden="1">
      <c r="A351" s="136" t="s">
        <v>109</v>
      </c>
      <c r="C351" s="135">
        <v>60</v>
      </c>
      <c r="D351" s="135">
        <v>116.77566030588683</v>
      </c>
      <c r="E351" s="135"/>
      <c r="F351" s="138">
        <v>-0.5</v>
      </c>
      <c r="G351" s="138"/>
      <c r="H351" s="139">
        <f t="shared" si="73"/>
        <v>-30</v>
      </c>
      <c r="I351" s="139">
        <f t="shared" si="73"/>
        <v>-58</v>
      </c>
      <c r="J351" s="135"/>
      <c r="K351" s="138">
        <v>-0.5</v>
      </c>
      <c r="L351" s="138"/>
      <c r="M351" s="139">
        <f>ROUND($K351*D351,0)</f>
        <v>-58</v>
      </c>
    </row>
    <row r="352" spans="1:13" hidden="1">
      <c r="A352" s="136" t="s">
        <v>153</v>
      </c>
      <c r="C352" s="135"/>
      <c r="D352" s="135"/>
      <c r="E352" s="135"/>
      <c r="F352" s="198"/>
      <c r="G352" s="163"/>
      <c r="H352" s="139"/>
      <c r="I352" s="139"/>
      <c r="J352" s="135"/>
      <c r="K352" s="198"/>
      <c r="L352" s="163"/>
      <c r="M352" s="139"/>
    </row>
    <row r="353" spans="1:13" hidden="1">
      <c r="A353" s="136" t="s">
        <v>154</v>
      </c>
      <c r="C353" s="135"/>
      <c r="D353" s="135"/>
      <c r="E353" s="135"/>
      <c r="F353" s="198"/>
      <c r="G353" s="163"/>
      <c r="H353" s="139"/>
      <c r="I353" s="139"/>
      <c r="J353" s="135"/>
      <c r="K353" s="198"/>
      <c r="L353" s="163"/>
      <c r="M353" s="139"/>
    </row>
    <row r="354" spans="1:13" hidden="1">
      <c r="A354" s="136" t="s">
        <v>155</v>
      </c>
      <c r="C354" s="135"/>
      <c r="D354" s="135"/>
      <c r="E354" s="135"/>
      <c r="F354" s="198"/>
      <c r="G354" s="163"/>
      <c r="H354" s="139"/>
      <c r="I354" s="139"/>
      <c r="J354" s="135"/>
      <c r="K354" s="198"/>
      <c r="L354" s="163"/>
      <c r="M354" s="139"/>
    </row>
    <row r="355" spans="1:13" hidden="1">
      <c r="A355" s="136" t="s">
        <v>156</v>
      </c>
      <c r="C355" s="135"/>
      <c r="D355" s="135"/>
      <c r="E355" s="135"/>
      <c r="F355" s="198"/>
      <c r="G355" s="163"/>
      <c r="H355" s="139"/>
      <c r="I355" s="139"/>
      <c r="J355" s="135"/>
      <c r="K355" s="198"/>
      <c r="L355" s="163"/>
      <c r="M355" s="139"/>
    </row>
    <row r="356" spans="1:13" hidden="1">
      <c r="A356" s="136" t="s">
        <v>157</v>
      </c>
      <c r="C356" s="135"/>
      <c r="D356" s="135"/>
      <c r="E356" s="135"/>
      <c r="F356" s="198"/>
      <c r="G356" s="163"/>
      <c r="H356" s="139"/>
      <c r="I356" s="139"/>
      <c r="J356" s="135"/>
      <c r="K356" s="198"/>
      <c r="L356" s="163"/>
      <c r="M356" s="139"/>
    </row>
    <row r="357" spans="1:13" hidden="1">
      <c r="A357" s="136" t="s">
        <v>158</v>
      </c>
      <c r="C357" s="135"/>
      <c r="D357" s="135"/>
      <c r="E357" s="135"/>
      <c r="F357" s="198"/>
      <c r="G357" s="163"/>
      <c r="H357" s="139"/>
      <c r="I357" s="139"/>
      <c r="J357" s="135"/>
      <c r="K357" s="198"/>
      <c r="L357" s="163"/>
      <c r="M357" s="139"/>
    </row>
    <row r="358" spans="1:13" hidden="1">
      <c r="A358" s="136" t="s">
        <v>159</v>
      </c>
      <c r="C358" s="135">
        <v>536311</v>
      </c>
      <c r="D358" s="135">
        <v>649533.12147143157</v>
      </c>
      <c r="E358" s="135"/>
      <c r="F358" s="198">
        <v>28.156199999999998</v>
      </c>
      <c r="G358" s="163" t="s">
        <v>112</v>
      </c>
      <c r="H358" s="139">
        <f t="shared" ref="H358:I363" si="74">ROUND($F358*C358/100,0)</f>
        <v>151005</v>
      </c>
      <c r="I358" s="139">
        <f t="shared" si="74"/>
        <v>182884</v>
      </c>
      <c r="J358" s="135"/>
      <c r="K358" s="198">
        <v>28.8721</v>
      </c>
      <c r="L358" s="163" t="s">
        <v>112</v>
      </c>
      <c r="M358" s="139">
        <f t="shared" ref="M358:M363" si="75">ROUND($K358*D358/100,0)</f>
        <v>187534</v>
      </c>
    </row>
    <row r="359" spans="1:13" hidden="1">
      <c r="A359" s="136" t="s">
        <v>160</v>
      </c>
      <c r="C359" s="135">
        <v>1075963</v>
      </c>
      <c r="D359" s="135">
        <v>1303112.5708362604</v>
      </c>
      <c r="E359" s="135"/>
      <c r="F359" s="198">
        <v>10.309899999999999</v>
      </c>
      <c r="G359" s="163" t="s">
        <v>112</v>
      </c>
      <c r="H359" s="139">
        <f t="shared" si="74"/>
        <v>110931</v>
      </c>
      <c r="I359" s="139">
        <f t="shared" si="74"/>
        <v>134350</v>
      </c>
      <c r="J359" s="135"/>
      <c r="K359" s="198">
        <v>10.571999999999999</v>
      </c>
      <c r="L359" s="163" t="s">
        <v>112</v>
      </c>
      <c r="M359" s="139">
        <f t="shared" si="75"/>
        <v>137765</v>
      </c>
    </row>
    <row r="360" spans="1:13" hidden="1">
      <c r="A360" s="136" t="s">
        <v>161</v>
      </c>
      <c r="C360" s="135">
        <v>637444</v>
      </c>
      <c r="D360" s="135">
        <f>$C360/($C358+$C359)*(D358+D359)</f>
        <v>772016.59313949395</v>
      </c>
      <c r="E360" s="135"/>
      <c r="F360" s="198">
        <v>-8.335799999999999</v>
      </c>
      <c r="G360" s="163" t="s">
        <v>112</v>
      </c>
      <c r="H360" s="139">
        <f t="shared" si="74"/>
        <v>-53136</v>
      </c>
      <c r="I360" s="139">
        <f t="shared" si="74"/>
        <v>-64354</v>
      </c>
      <c r="J360" s="135"/>
      <c r="K360" s="198">
        <v>-8.5477000000000007</v>
      </c>
      <c r="L360" s="163" t="s">
        <v>112</v>
      </c>
      <c r="M360" s="139">
        <f t="shared" si="75"/>
        <v>-65990</v>
      </c>
    </row>
    <row r="361" spans="1:13" hidden="1">
      <c r="A361" s="136" t="s">
        <v>163</v>
      </c>
      <c r="C361" s="135">
        <v>1130451</v>
      </c>
      <c r="D361" s="135">
        <v>1194101.4815820316</v>
      </c>
      <c r="E361" s="135"/>
      <c r="F361" s="198">
        <v>24.916999999999998</v>
      </c>
      <c r="G361" s="163" t="s">
        <v>112</v>
      </c>
      <c r="H361" s="139">
        <f t="shared" si="74"/>
        <v>281674</v>
      </c>
      <c r="I361" s="139">
        <f t="shared" si="74"/>
        <v>297534</v>
      </c>
      <c r="J361" s="135"/>
      <c r="K361" s="198">
        <v>25.5505</v>
      </c>
      <c r="L361" s="163" t="s">
        <v>112</v>
      </c>
      <c r="M361" s="139">
        <f t="shared" si="75"/>
        <v>305099</v>
      </c>
    </row>
    <row r="362" spans="1:13" hidden="1">
      <c r="A362" s="136" t="s">
        <v>165</v>
      </c>
      <c r="C362" s="135">
        <v>2849022</v>
      </c>
      <c r="D362" s="135">
        <f>D367-D365-D358-D359-D361</f>
        <v>3009437.2876487365</v>
      </c>
      <c r="E362" s="135"/>
      <c r="F362" s="198">
        <v>9.1237999999999992</v>
      </c>
      <c r="G362" s="163" t="s">
        <v>112</v>
      </c>
      <c r="H362" s="139">
        <f t="shared" si="74"/>
        <v>259939</v>
      </c>
      <c r="I362" s="139">
        <f t="shared" si="74"/>
        <v>274575</v>
      </c>
      <c r="J362" s="135"/>
      <c r="K362" s="198">
        <v>9.3558000000000003</v>
      </c>
      <c r="L362" s="163" t="s">
        <v>112</v>
      </c>
      <c r="M362" s="139">
        <f t="shared" si="75"/>
        <v>281557</v>
      </c>
    </row>
    <row r="363" spans="1:13" hidden="1">
      <c r="A363" s="136" t="s">
        <v>167</v>
      </c>
      <c r="C363" s="135">
        <v>1474400</v>
      </c>
      <c r="D363" s="135">
        <f>$C363/($C361+$C362)*(D361+D362)</f>
        <v>1557416.6633003529</v>
      </c>
      <c r="E363" s="135"/>
      <c r="F363" s="198">
        <v>-7.3768000000000002</v>
      </c>
      <c r="G363" s="163" t="s">
        <v>112</v>
      </c>
      <c r="H363" s="139">
        <f t="shared" si="74"/>
        <v>-108764</v>
      </c>
      <c r="I363" s="139">
        <f t="shared" si="74"/>
        <v>-114888</v>
      </c>
      <c r="J363" s="135"/>
      <c r="K363" s="198">
        <v>-7.5644</v>
      </c>
      <c r="L363" s="163" t="s">
        <v>112</v>
      </c>
      <c r="M363" s="139">
        <f t="shared" si="75"/>
        <v>-117809</v>
      </c>
    </row>
    <row r="364" spans="1:13" hidden="1">
      <c r="A364" s="136" t="s">
        <v>150</v>
      </c>
      <c r="C364" s="135">
        <v>5688</v>
      </c>
      <c r="D364" s="135">
        <f>ROUND($C364*D367/$C367,0)</f>
        <v>6261</v>
      </c>
      <c r="E364" s="135"/>
      <c r="F364" s="138">
        <v>-0.61</v>
      </c>
      <c r="G364" s="138"/>
      <c r="H364" s="139">
        <f>ROUND($F364*C364,0)</f>
        <v>-3470</v>
      </c>
      <c r="I364" s="139">
        <f>ROUND($F364*D364,0)</f>
        <v>-3819</v>
      </c>
      <c r="J364" s="135"/>
      <c r="K364" s="138">
        <v>-0.61</v>
      </c>
      <c r="L364" s="138"/>
      <c r="M364" s="139">
        <f>ROUND($K364*D364,0)</f>
        <v>-3819</v>
      </c>
    </row>
    <row r="365" spans="1:13" hidden="1">
      <c r="A365" s="172" t="s">
        <v>123</v>
      </c>
      <c r="C365" s="135">
        <v>0</v>
      </c>
      <c r="D365" s="135">
        <f>ROUND($C365*D367/$C367,0)</f>
        <v>0</v>
      </c>
      <c r="E365" s="135"/>
      <c r="F365" s="193">
        <v>7.125</v>
      </c>
      <c r="G365" s="199" t="s">
        <v>112</v>
      </c>
      <c r="H365" s="139">
        <f>ROUND($F365*C365/100,0)</f>
        <v>0</v>
      </c>
      <c r="I365" s="139">
        <f>ROUND($F365*D365/100,0)</f>
        <v>0</v>
      </c>
      <c r="J365" s="135"/>
      <c r="K365" s="193">
        <v>7.125</v>
      </c>
      <c r="L365" s="199" t="s">
        <v>112</v>
      </c>
      <c r="M365" s="139">
        <f>ROUND($K365*D365/100,0)</f>
        <v>0</v>
      </c>
    </row>
    <row r="366" spans="1:13" hidden="1">
      <c r="A366" s="172" t="s">
        <v>125</v>
      </c>
      <c r="B366" s="173"/>
      <c r="C366" s="135">
        <v>1350</v>
      </c>
      <c r="D366" s="135"/>
      <c r="E366" s="135"/>
      <c r="F366" s="174"/>
      <c r="G366" s="13"/>
      <c r="H366" s="139">
        <v>1464</v>
      </c>
      <c r="I366" s="139"/>
      <c r="J366" s="135"/>
      <c r="K366" s="174"/>
      <c r="L366" s="13"/>
      <c r="M366" s="139"/>
    </row>
    <row r="367" spans="1:13" ht="16.5" hidden="1" thickBot="1">
      <c r="A367" s="176" t="s">
        <v>127</v>
      </c>
      <c r="B367" s="177"/>
      <c r="C367" s="178">
        <f>SUM(C358:C359,C361:C362,C365:C366)</f>
        <v>5593097</v>
      </c>
      <c r="D367" s="178">
        <v>6156184.461538461</v>
      </c>
      <c r="E367" s="178"/>
      <c r="F367" s="177"/>
      <c r="G367" s="177"/>
      <c r="H367" s="179">
        <f>SUM(H349:H366)</f>
        <v>648517</v>
      </c>
      <c r="I367" s="179">
        <f>SUM(I349:I366)</f>
        <v>715128</v>
      </c>
      <c r="J367" s="178"/>
      <c r="K367" s="177"/>
      <c r="L367" s="177"/>
      <c r="M367" s="179">
        <f>SUM(M349:M351,M358:M366)</f>
        <v>733351</v>
      </c>
    </row>
    <row r="368" spans="1:13" hidden="1"/>
    <row r="369" spans="1:13" hidden="1">
      <c r="A369" s="133" t="s">
        <v>465</v>
      </c>
      <c r="C369" s="135"/>
      <c r="D369" s="135"/>
      <c r="E369" s="135"/>
      <c r="F369" s="193"/>
      <c r="G369" s="193"/>
      <c r="J369" s="135"/>
      <c r="K369" s="193"/>
      <c r="L369" s="193"/>
    </row>
    <row r="370" spans="1:13" hidden="1">
      <c r="A370" s="136" t="s">
        <v>143</v>
      </c>
      <c r="C370" s="135">
        <v>33.6</v>
      </c>
      <c r="D370" s="135">
        <v>24</v>
      </c>
      <c r="E370" s="135"/>
      <c r="F370" s="138">
        <v>53</v>
      </c>
      <c r="G370" s="138"/>
      <c r="H370" s="139">
        <f t="shared" ref="H370:I372" si="76">ROUND($F370*C370,0)</f>
        <v>1781</v>
      </c>
      <c r="I370" s="139">
        <f t="shared" si="76"/>
        <v>1272</v>
      </c>
      <c r="J370" s="135"/>
      <c r="K370" s="138">
        <v>54</v>
      </c>
      <c r="L370" s="138"/>
      <c r="M370" s="139">
        <f>ROUND($K370*D370,0)</f>
        <v>1296</v>
      </c>
    </row>
    <row r="371" spans="1:13" hidden="1">
      <c r="A371" s="136" t="s">
        <v>106</v>
      </c>
      <c r="C371" s="135">
        <v>0</v>
      </c>
      <c r="D371" s="135">
        <f>ROUND($C371*D370/$C370,0)</f>
        <v>0</v>
      </c>
      <c r="E371" s="135"/>
      <c r="F371" s="190">
        <v>2</v>
      </c>
      <c r="G371" s="190"/>
      <c r="H371" s="139">
        <f t="shared" si="76"/>
        <v>0</v>
      </c>
      <c r="I371" s="139">
        <f t="shared" si="76"/>
        <v>0</v>
      </c>
      <c r="J371" s="135"/>
      <c r="K371" s="190">
        <v>2</v>
      </c>
      <c r="L371" s="190"/>
      <c r="M371" s="139">
        <f>ROUND($K371*D371,0)</f>
        <v>0</v>
      </c>
    </row>
    <row r="372" spans="1:13" hidden="1">
      <c r="A372" s="136" t="s">
        <v>109</v>
      </c>
      <c r="C372" s="135">
        <v>12</v>
      </c>
      <c r="D372" s="135">
        <v>16.682237186555263</v>
      </c>
      <c r="E372" s="135"/>
      <c r="F372" s="138">
        <v>-0.5</v>
      </c>
      <c r="G372" s="138"/>
      <c r="H372" s="139">
        <f t="shared" si="76"/>
        <v>-6</v>
      </c>
      <c r="I372" s="139">
        <f t="shared" si="76"/>
        <v>-8</v>
      </c>
      <c r="J372" s="135"/>
      <c r="K372" s="138">
        <v>-0.5</v>
      </c>
      <c r="L372" s="138"/>
      <c r="M372" s="139">
        <f>ROUND($K372*D372,0)</f>
        <v>-8</v>
      </c>
    </row>
    <row r="373" spans="1:13" hidden="1">
      <c r="A373" s="136" t="s">
        <v>153</v>
      </c>
      <c r="C373" s="135"/>
      <c r="D373" s="135"/>
      <c r="E373" s="135"/>
      <c r="F373" s="198"/>
      <c r="G373" s="163"/>
      <c r="H373" s="139"/>
      <c r="I373" s="139"/>
      <c r="J373" s="135"/>
      <c r="K373" s="198"/>
      <c r="L373" s="163"/>
      <c r="M373" s="139"/>
    </row>
    <row r="374" spans="1:13" hidden="1">
      <c r="A374" s="136" t="s">
        <v>154</v>
      </c>
      <c r="C374" s="135"/>
      <c r="D374" s="135"/>
      <c r="E374" s="135"/>
      <c r="F374" s="198"/>
      <c r="G374" s="163"/>
      <c r="H374" s="139"/>
      <c r="I374" s="139"/>
      <c r="J374" s="135"/>
      <c r="K374" s="198"/>
      <c r="L374" s="163"/>
      <c r="M374" s="139"/>
    </row>
    <row r="375" spans="1:13" hidden="1">
      <c r="A375" s="136" t="s">
        <v>155</v>
      </c>
      <c r="C375" s="135"/>
      <c r="D375" s="135"/>
      <c r="E375" s="135"/>
      <c r="F375" s="198"/>
      <c r="G375" s="163"/>
      <c r="H375" s="139"/>
      <c r="I375" s="139"/>
      <c r="J375" s="135"/>
      <c r="K375" s="198"/>
      <c r="L375" s="163"/>
      <c r="M375" s="139"/>
    </row>
    <row r="376" spans="1:13" hidden="1">
      <c r="A376" s="136" t="s">
        <v>156</v>
      </c>
      <c r="C376" s="135"/>
      <c r="D376" s="135"/>
      <c r="E376" s="135"/>
      <c r="F376" s="198"/>
      <c r="G376" s="163"/>
      <c r="H376" s="139"/>
      <c r="I376" s="139"/>
      <c r="J376" s="135"/>
      <c r="K376" s="198"/>
      <c r="L376" s="163"/>
      <c r="M376" s="139"/>
    </row>
    <row r="377" spans="1:13" hidden="1">
      <c r="A377" s="136" t="s">
        <v>157</v>
      </c>
      <c r="C377" s="135"/>
      <c r="D377" s="135"/>
      <c r="E377" s="135"/>
      <c r="F377" s="198"/>
      <c r="G377" s="163"/>
      <c r="H377" s="139"/>
      <c r="I377" s="139"/>
      <c r="J377" s="135"/>
      <c r="K377" s="198"/>
      <c r="L377" s="163"/>
      <c r="M377" s="139"/>
    </row>
    <row r="378" spans="1:13" hidden="1">
      <c r="A378" s="136" t="s">
        <v>158</v>
      </c>
      <c r="C378" s="135"/>
      <c r="D378" s="135"/>
      <c r="E378" s="135"/>
      <c r="F378" s="198"/>
      <c r="G378" s="163"/>
      <c r="H378" s="139"/>
      <c r="I378" s="139"/>
      <c r="J378" s="135"/>
      <c r="K378" s="198"/>
      <c r="L378" s="163"/>
      <c r="M378" s="139"/>
    </row>
    <row r="379" spans="1:13" hidden="1">
      <c r="A379" s="136" t="s">
        <v>159</v>
      </c>
      <c r="C379" s="135">
        <v>9943</v>
      </c>
      <c r="D379" s="135">
        <v>454.52769812575326</v>
      </c>
      <c r="E379" s="135"/>
      <c r="F379" s="198">
        <v>28.156199999999998</v>
      </c>
      <c r="G379" s="163" t="s">
        <v>112</v>
      </c>
      <c r="H379" s="139">
        <f t="shared" ref="H379:I384" si="77">ROUND($F379*C379/100,0)</f>
        <v>2800</v>
      </c>
      <c r="I379" s="139">
        <f t="shared" si="77"/>
        <v>128</v>
      </c>
      <c r="J379" s="135"/>
      <c r="K379" s="198">
        <v>28.8721</v>
      </c>
      <c r="L379" s="163" t="s">
        <v>112</v>
      </c>
      <c r="M379" s="139">
        <f t="shared" ref="M379:M384" si="78">ROUND($K379*D379/100,0)</f>
        <v>131</v>
      </c>
    </row>
    <row r="380" spans="1:13" hidden="1">
      <c r="A380" s="136" t="s">
        <v>160</v>
      </c>
      <c r="C380" s="135">
        <v>14120</v>
      </c>
      <c r="D380" s="135">
        <v>645.4723018742468</v>
      </c>
      <c r="E380" s="135"/>
      <c r="F380" s="198">
        <v>10.309899999999999</v>
      </c>
      <c r="G380" s="163" t="s">
        <v>112</v>
      </c>
      <c r="H380" s="139">
        <f t="shared" si="77"/>
        <v>1456</v>
      </c>
      <c r="I380" s="139">
        <f t="shared" si="77"/>
        <v>67</v>
      </c>
      <c r="J380" s="135"/>
      <c r="K380" s="198">
        <v>10.571999999999999</v>
      </c>
      <c r="L380" s="163" t="s">
        <v>112</v>
      </c>
      <c r="M380" s="139">
        <f t="shared" si="78"/>
        <v>68</v>
      </c>
    </row>
    <row r="381" spans="1:13" hidden="1">
      <c r="A381" s="136" t="s">
        <v>161</v>
      </c>
      <c r="C381" s="135">
        <v>22748</v>
      </c>
      <c r="D381" s="135">
        <f>$C381/($C379+$C380)*(D379+D380)</f>
        <v>1039.8869633877737</v>
      </c>
      <c r="E381" s="135"/>
      <c r="F381" s="198">
        <v>-8.335799999999999</v>
      </c>
      <c r="G381" s="163" t="s">
        <v>112</v>
      </c>
      <c r="H381" s="139">
        <f t="shared" si="77"/>
        <v>-1896</v>
      </c>
      <c r="I381" s="139">
        <f t="shared" si="77"/>
        <v>-87</v>
      </c>
      <c r="J381" s="135"/>
      <c r="K381" s="198">
        <v>-8.5477000000000007</v>
      </c>
      <c r="L381" s="163" t="s">
        <v>112</v>
      </c>
      <c r="M381" s="139">
        <f t="shared" si="78"/>
        <v>-89</v>
      </c>
    </row>
    <row r="382" spans="1:13" hidden="1">
      <c r="A382" s="136" t="s">
        <v>163</v>
      </c>
      <c r="C382" s="135">
        <v>23810</v>
      </c>
      <c r="D382" s="135">
        <v>10861.730917874396</v>
      </c>
      <c r="E382" s="135"/>
      <c r="F382" s="198">
        <v>24.916999999999998</v>
      </c>
      <c r="G382" s="163" t="s">
        <v>112</v>
      </c>
      <c r="H382" s="139">
        <f t="shared" si="77"/>
        <v>5933</v>
      </c>
      <c r="I382" s="139">
        <f t="shared" si="77"/>
        <v>2706</v>
      </c>
      <c r="J382" s="135"/>
      <c r="K382" s="198">
        <v>25.5505</v>
      </c>
      <c r="L382" s="163" t="s">
        <v>112</v>
      </c>
      <c r="M382" s="139">
        <f t="shared" si="78"/>
        <v>2775</v>
      </c>
    </row>
    <row r="383" spans="1:13" hidden="1">
      <c r="A383" s="136" t="s">
        <v>165</v>
      </c>
      <c r="C383" s="135">
        <v>93490</v>
      </c>
      <c r="D383" s="135">
        <f>D388-D386-D379-D380-D382</f>
        <v>42648.60241545894</v>
      </c>
      <c r="E383" s="135"/>
      <c r="F383" s="198">
        <v>9.1237999999999992</v>
      </c>
      <c r="G383" s="163" t="s">
        <v>112</v>
      </c>
      <c r="H383" s="139">
        <f t="shared" si="77"/>
        <v>8530</v>
      </c>
      <c r="I383" s="139">
        <f t="shared" si="77"/>
        <v>3891</v>
      </c>
      <c r="J383" s="135"/>
      <c r="K383" s="198">
        <v>9.3558000000000003</v>
      </c>
      <c r="L383" s="163" t="s">
        <v>112</v>
      </c>
      <c r="M383" s="139">
        <f t="shared" si="78"/>
        <v>3990</v>
      </c>
    </row>
    <row r="384" spans="1:13" hidden="1">
      <c r="A384" s="136" t="s">
        <v>167</v>
      </c>
      <c r="C384" s="135">
        <v>74695</v>
      </c>
      <c r="D384" s="135">
        <f>$C384/($C382+$C383)*(D382+D383)</f>
        <v>34074.632125603865</v>
      </c>
      <c r="E384" s="135"/>
      <c r="F384" s="198">
        <v>-7.3768000000000002</v>
      </c>
      <c r="G384" s="163" t="s">
        <v>112</v>
      </c>
      <c r="H384" s="139">
        <f t="shared" si="77"/>
        <v>-5510</v>
      </c>
      <c r="I384" s="139">
        <f t="shared" si="77"/>
        <v>-2514</v>
      </c>
      <c r="J384" s="135"/>
      <c r="K384" s="198">
        <v>-7.5644</v>
      </c>
      <c r="L384" s="163" t="s">
        <v>112</v>
      </c>
      <c r="M384" s="139">
        <f t="shared" si="78"/>
        <v>-2578</v>
      </c>
    </row>
    <row r="385" spans="1:13" hidden="1">
      <c r="A385" s="136" t="s">
        <v>150</v>
      </c>
      <c r="C385" s="135">
        <v>0</v>
      </c>
      <c r="D385" s="135">
        <f>ROUND($C385*D388/$C388,0)</f>
        <v>0</v>
      </c>
      <c r="E385" s="135"/>
      <c r="F385" s="138">
        <v>-0.61</v>
      </c>
      <c r="G385" s="138"/>
      <c r="H385" s="139">
        <f>ROUND($F385*C385,0)</f>
        <v>0</v>
      </c>
      <c r="I385" s="139">
        <f>ROUND($F385*D385,0)</f>
        <v>0</v>
      </c>
      <c r="J385" s="135"/>
      <c r="K385" s="138">
        <v>-0.61</v>
      </c>
      <c r="L385" s="138"/>
      <c r="M385" s="139">
        <f>ROUND($K385*D385,0)</f>
        <v>0</v>
      </c>
    </row>
    <row r="386" spans="1:13" hidden="1">
      <c r="A386" s="172" t="s">
        <v>123</v>
      </c>
      <c r="C386" s="135">
        <v>0</v>
      </c>
      <c r="D386" s="135">
        <f>ROUND($C386*D388/$C388,0)</f>
        <v>0</v>
      </c>
      <c r="E386" s="135"/>
      <c r="F386" s="193">
        <v>7.125</v>
      </c>
      <c r="G386" s="199" t="s">
        <v>112</v>
      </c>
      <c r="H386" s="139">
        <f>ROUND($F386*C386/100,0)</f>
        <v>0</v>
      </c>
      <c r="I386" s="139">
        <f>ROUND($F386*D386/100,0)</f>
        <v>0</v>
      </c>
      <c r="J386" s="135"/>
      <c r="K386" s="193">
        <v>7.125</v>
      </c>
      <c r="L386" s="199" t="s">
        <v>112</v>
      </c>
      <c r="M386" s="139">
        <f>ROUND($K386*D386/100,0)</f>
        <v>0</v>
      </c>
    </row>
    <row r="387" spans="1:13" hidden="1">
      <c r="A387" s="172" t="s">
        <v>125</v>
      </c>
      <c r="B387" s="173"/>
      <c r="C387" s="135">
        <v>398</v>
      </c>
      <c r="D387" s="135"/>
      <c r="E387" s="135"/>
      <c r="F387" s="174"/>
      <c r="G387" s="13"/>
      <c r="H387" s="139">
        <v>44</v>
      </c>
      <c r="I387" s="139"/>
      <c r="J387" s="135"/>
      <c r="K387" s="174"/>
      <c r="L387" s="13"/>
      <c r="M387" s="139"/>
    </row>
    <row r="388" spans="1:13" ht="16.5" hidden="1" thickBot="1">
      <c r="A388" s="176" t="s">
        <v>127</v>
      </c>
      <c r="B388" s="177"/>
      <c r="C388" s="178">
        <f>SUM(C379:C380,C382:C383,C386:C387)</f>
        <v>141761</v>
      </c>
      <c r="D388" s="178">
        <v>54610.333333333336</v>
      </c>
      <c r="E388" s="178"/>
      <c r="F388" s="177"/>
      <c r="G388" s="177"/>
      <c r="H388" s="179">
        <f>SUM(H370:H387)</f>
        <v>13132</v>
      </c>
      <c r="I388" s="179">
        <f>SUM(I370:I387)</f>
        <v>5455</v>
      </c>
      <c r="J388" s="178"/>
      <c r="K388" s="177"/>
      <c r="L388" s="177"/>
      <c r="M388" s="179">
        <f>SUM(M370:M372,M379:M387)</f>
        <v>5585</v>
      </c>
    </row>
    <row r="389" spans="1:13" hidden="1"/>
    <row r="390" spans="1:13">
      <c r="A390" s="133" t="s">
        <v>172</v>
      </c>
      <c r="C390" s="135"/>
      <c r="D390" s="135"/>
      <c r="E390" s="135"/>
      <c r="J390" s="135"/>
    </row>
    <row r="391" spans="1:13">
      <c r="A391" s="136" t="s">
        <v>173</v>
      </c>
      <c r="C391" s="135">
        <f>C400+C409+C418</f>
        <v>6856</v>
      </c>
      <c r="D391" s="135">
        <f>D400+D409+D418</f>
        <v>6332.9657442649122</v>
      </c>
      <c r="E391" s="135"/>
      <c r="J391" s="135"/>
    </row>
    <row r="392" spans="1:13">
      <c r="A392" s="136" t="s">
        <v>174</v>
      </c>
      <c r="C392" s="137">
        <f t="shared" ref="C392:D397" si="79">C401+C410+C419</f>
        <v>9943034.2530291062</v>
      </c>
      <c r="D392" s="137">
        <f>D401+D410+D419</f>
        <v>10030592.085183039</v>
      </c>
      <c r="E392" s="137"/>
      <c r="H392" s="139"/>
      <c r="I392" s="139"/>
      <c r="J392" s="137"/>
      <c r="M392" s="139"/>
    </row>
    <row r="393" spans="1:13">
      <c r="A393" s="200" t="s">
        <v>175</v>
      </c>
      <c r="C393" s="135">
        <f t="shared" si="79"/>
        <v>78163.737362637374</v>
      </c>
      <c r="D393" s="135">
        <f>D402+D411+D420</f>
        <v>77797</v>
      </c>
      <c r="E393" s="135"/>
      <c r="F393" s="201">
        <v>9.1</v>
      </c>
      <c r="G393" s="138"/>
      <c r="H393" s="139">
        <f t="shared" ref="H393:I395" si="80">ROUND($F393*C393,0)</f>
        <v>711290</v>
      </c>
      <c r="I393" s="139">
        <f t="shared" si="80"/>
        <v>707953</v>
      </c>
      <c r="J393" s="135"/>
      <c r="K393" s="201">
        <v>9.14</v>
      </c>
      <c r="L393" s="138"/>
      <c r="M393" s="139">
        <f>ROUND($K393*D393,0)</f>
        <v>711065</v>
      </c>
    </row>
    <row r="394" spans="1:13">
      <c r="A394" s="200" t="s">
        <v>176</v>
      </c>
      <c r="C394" s="135">
        <f t="shared" si="79"/>
        <v>22201.933081998126</v>
      </c>
      <c r="D394" s="135">
        <f>D403+D412+D421</f>
        <v>22442</v>
      </c>
      <c r="E394" s="135"/>
      <c r="F394" s="201">
        <v>10.61</v>
      </c>
      <c r="G394" s="138"/>
      <c r="H394" s="139">
        <f t="shared" si="80"/>
        <v>235563</v>
      </c>
      <c r="I394" s="139">
        <f t="shared" si="80"/>
        <v>238110</v>
      </c>
      <c r="J394" s="135"/>
      <c r="K394" s="201">
        <v>10.66</v>
      </c>
      <c r="L394" s="138"/>
      <c r="M394" s="139">
        <f>ROUND($K394*D394,0)</f>
        <v>239232</v>
      </c>
    </row>
    <row r="395" spans="1:13">
      <c r="A395" s="202" t="s">
        <v>177</v>
      </c>
      <c r="C395" s="135">
        <f t="shared" si="79"/>
        <v>31549.040123456769</v>
      </c>
      <c r="D395" s="135">
        <f>D404+D413+D422</f>
        <v>32111</v>
      </c>
      <c r="E395" s="135"/>
      <c r="F395" s="201">
        <v>12.96</v>
      </c>
      <c r="G395" s="138"/>
      <c r="H395" s="139">
        <f t="shared" si="80"/>
        <v>408876</v>
      </c>
      <c r="I395" s="139">
        <f t="shared" si="80"/>
        <v>416159</v>
      </c>
      <c r="J395" s="135"/>
      <c r="K395" s="201">
        <v>13.02</v>
      </c>
      <c r="L395" s="138"/>
      <c r="M395" s="139">
        <f>ROUND($K395*D395,0)</f>
        <v>418085</v>
      </c>
    </row>
    <row r="396" spans="1:13">
      <c r="A396" s="172" t="s">
        <v>125</v>
      </c>
      <c r="B396" s="173"/>
      <c r="C396" s="135">
        <f t="shared" si="79"/>
        <v>60180</v>
      </c>
      <c r="D396" s="135"/>
      <c r="E396" s="135"/>
      <c r="F396" s="174"/>
      <c r="G396" s="13"/>
      <c r="H396" s="139">
        <f t="shared" ref="H396" si="81">H405+H414+H423</f>
        <v>8337</v>
      </c>
      <c r="I396" s="139"/>
      <c r="J396" s="135"/>
      <c r="K396" s="174"/>
      <c r="L396" s="13"/>
      <c r="M396" s="139"/>
    </row>
    <row r="397" spans="1:13" ht="16.5" thickBot="1">
      <c r="A397" s="176" t="s">
        <v>178</v>
      </c>
      <c r="B397" s="177"/>
      <c r="C397" s="203">
        <f t="shared" si="79"/>
        <v>10003214.253029106</v>
      </c>
      <c r="D397" s="203">
        <f t="shared" si="79"/>
        <v>10030592.085183039</v>
      </c>
      <c r="E397" s="203"/>
      <c r="F397" s="177"/>
      <c r="G397" s="177"/>
      <c r="H397" s="179">
        <f>SUM(H393:H396)</f>
        <v>1364066</v>
      </c>
      <c r="I397" s="179">
        <f>SUM(I393:I396)</f>
        <v>1362222</v>
      </c>
      <c r="J397" s="203"/>
      <c r="K397" s="177"/>
      <c r="L397" s="177"/>
      <c r="M397" s="179">
        <f>SUM(M393:M396)</f>
        <v>1368382</v>
      </c>
    </row>
    <row r="398" spans="1:13" ht="16.5" thickTop="1"/>
    <row r="399" spans="1:13" hidden="1">
      <c r="A399" s="133" t="s">
        <v>466</v>
      </c>
      <c r="C399" s="135"/>
      <c r="D399" s="135"/>
      <c r="E399" s="135"/>
      <c r="J399" s="135"/>
    </row>
    <row r="400" spans="1:13" hidden="1">
      <c r="A400" s="136" t="s">
        <v>173</v>
      </c>
      <c r="C400" s="135">
        <v>4212</v>
      </c>
      <c r="D400" s="135">
        <v>3966</v>
      </c>
      <c r="E400" s="135"/>
      <c r="F400" s="201"/>
      <c r="G400" s="138"/>
      <c r="H400" s="139"/>
      <c r="I400" s="139"/>
      <c r="J400" s="135"/>
      <c r="K400" s="201"/>
      <c r="L400" s="138"/>
      <c r="M400" s="139"/>
    </row>
    <row r="401" spans="1:13" hidden="1">
      <c r="A401" s="136" t="s">
        <v>174</v>
      </c>
      <c r="C401" s="135">
        <v>7114356.6277373396</v>
      </c>
      <c r="D401" s="135">
        <f>D406</f>
        <v>7291942.8860848788</v>
      </c>
      <c r="E401" s="135"/>
      <c r="F401" s="201"/>
      <c r="G401" s="138"/>
      <c r="H401" s="139"/>
      <c r="I401" s="139"/>
      <c r="J401" s="135"/>
      <c r="K401" s="201"/>
      <c r="L401" s="138"/>
      <c r="M401" s="139"/>
    </row>
    <row r="402" spans="1:13" hidden="1">
      <c r="A402" s="200" t="s">
        <v>175</v>
      </c>
      <c r="C402" s="135">
        <v>45021.758241758202</v>
      </c>
      <c r="D402" s="135">
        <f>ROUND($C402*$D$406/($C$406-$C$405),0)</f>
        <v>46146</v>
      </c>
      <c r="E402" s="135"/>
      <c r="F402" s="201">
        <v>9.1</v>
      </c>
      <c r="G402" s="138"/>
      <c r="H402" s="139">
        <f t="shared" ref="H402:I404" si="82">ROUND($F402*C402,0)</f>
        <v>409698</v>
      </c>
      <c r="I402" s="139">
        <f t="shared" si="82"/>
        <v>419929</v>
      </c>
      <c r="J402" s="135"/>
      <c r="K402" s="201">
        <v>9.14</v>
      </c>
      <c r="L402" s="138"/>
      <c r="M402" s="139">
        <f>ROUND($K402*D402,0)</f>
        <v>421774</v>
      </c>
    </row>
    <row r="403" spans="1:13" hidden="1">
      <c r="A403" s="200" t="s">
        <v>176</v>
      </c>
      <c r="C403" s="137">
        <v>16172.169651272399</v>
      </c>
      <c r="D403" s="135">
        <f t="shared" ref="D403:D404" si="83">ROUND($C403*$D$406/($C$406-$C$405),0)</f>
        <v>16576</v>
      </c>
      <c r="E403" s="135"/>
      <c r="F403" s="201">
        <v>10.61</v>
      </c>
      <c r="H403" s="139">
        <f t="shared" si="82"/>
        <v>171587</v>
      </c>
      <c r="I403" s="139">
        <f t="shared" si="82"/>
        <v>175871</v>
      </c>
      <c r="J403" s="135"/>
      <c r="K403" s="201">
        <v>10.66</v>
      </c>
      <c r="M403" s="139">
        <f>ROUND($K403*D403,0)</f>
        <v>176700</v>
      </c>
    </row>
    <row r="404" spans="1:13" hidden="1">
      <c r="A404" s="202" t="s">
        <v>177</v>
      </c>
      <c r="C404" s="135">
        <v>26119.1435185185</v>
      </c>
      <c r="D404" s="135">
        <f t="shared" si="83"/>
        <v>26771</v>
      </c>
      <c r="E404" s="135"/>
      <c r="F404" s="201">
        <v>12.96</v>
      </c>
      <c r="H404" s="139">
        <f t="shared" si="82"/>
        <v>338504</v>
      </c>
      <c r="I404" s="139">
        <f t="shared" si="82"/>
        <v>346952</v>
      </c>
      <c r="J404" s="135"/>
      <c r="K404" s="201">
        <v>13.02</v>
      </c>
      <c r="M404" s="139">
        <f>ROUND($K404*D404,0)</f>
        <v>348558</v>
      </c>
    </row>
    <row r="405" spans="1:13" hidden="1">
      <c r="A405" s="172" t="s">
        <v>125</v>
      </c>
      <c r="B405" s="173"/>
      <c r="C405" s="135">
        <v>54250</v>
      </c>
      <c r="D405" s="135"/>
      <c r="E405" s="135"/>
      <c r="F405" s="174"/>
      <c r="G405" s="13"/>
      <c r="H405" s="139">
        <v>6973</v>
      </c>
      <c r="I405" s="139"/>
      <c r="J405" s="135"/>
      <c r="K405" s="174"/>
      <c r="L405" s="13"/>
      <c r="M405" s="139"/>
    </row>
    <row r="406" spans="1:13" ht="16.5" hidden="1" thickBot="1">
      <c r="A406" s="176" t="s">
        <v>178</v>
      </c>
      <c r="B406" s="177"/>
      <c r="C406" s="203">
        <f>C401+C405</f>
        <v>7168606.6277373396</v>
      </c>
      <c r="D406" s="203">
        <v>7291942.8860848788</v>
      </c>
      <c r="E406" s="203"/>
      <c r="F406" s="177"/>
      <c r="G406" s="177"/>
      <c r="H406" s="179">
        <f>SUM(H402:H405)</f>
        <v>926762</v>
      </c>
      <c r="I406" s="179">
        <f>SUM(I402:I405)</f>
        <v>942752</v>
      </c>
      <c r="J406" s="203"/>
      <c r="K406" s="177"/>
      <c r="L406" s="177"/>
      <c r="M406" s="179">
        <f>SUM(M402:M405)</f>
        <v>947032</v>
      </c>
    </row>
    <row r="407" spans="1:13" hidden="1"/>
    <row r="408" spans="1:13" hidden="1">
      <c r="A408" s="133" t="s">
        <v>467</v>
      </c>
      <c r="C408" s="135"/>
      <c r="D408" s="135"/>
      <c r="E408" s="135"/>
      <c r="J408" s="135"/>
    </row>
    <row r="409" spans="1:13" hidden="1">
      <c r="A409" s="136" t="s">
        <v>173</v>
      </c>
      <c r="C409" s="135">
        <v>397</v>
      </c>
      <c r="D409" s="135">
        <v>365</v>
      </c>
      <c r="E409" s="135"/>
      <c r="F409" s="201"/>
      <c r="G409" s="138"/>
      <c r="H409" s="139"/>
      <c r="I409" s="139"/>
      <c r="J409" s="135"/>
      <c r="K409" s="201"/>
      <c r="L409" s="138"/>
      <c r="M409" s="139"/>
    </row>
    <row r="410" spans="1:13" hidden="1">
      <c r="A410" s="136" t="s">
        <v>174</v>
      </c>
      <c r="C410" s="135">
        <v>790803.74883163697</v>
      </c>
      <c r="D410" s="135">
        <f>D415</f>
        <v>809331.09584229137</v>
      </c>
      <c r="E410" s="135"/>
      <c r="F410" s="201"/>
      <c r="G410" s="138"/>
      <c r="H410" s="139"/>
      <c r="I410" s="139"/>
      <c r="J410" s="135"/>
      <c r="K410" s="201"/>
      <c r="L410" s="138"/>
      <c r="M410" s="139"/>
    </row>
    <row r="411" spans="1:13" hidden="1">
      <c r="A411" s="200" t="s">
        <v>175</v>
      </c>
      <c r="C411" s="135">
        <v>3580.0153846153798</v>
      </c>
      <c r="D411" s="135">
        <f>ROUND($C411*$D$415/($C$415-$C$414),0)</f>
        <v>3664</v>
      </c>
      <c r="E411" s="135"/>
      <c r="F411" s="201">
        <v>9.1</v>
      </c>
      <c r="G411" s="138"/>
      <c r="H411" s="139">
        <f t="shared" ref="H411:I413" si="84">ROUND($F411*C411,0)</f>
        <v>32578</v>
      </c>
      <c r="I411" s="139">
        <f t="shared" si="84"/>
        <v>33342</v>
      </c>
      <c r="J411" s="135"/>
      <c r="K411" s="201">
        <v>9.14</v>
      </c>
      <c r="L411" s="138"/>
      <c r="M411" s="139">
        <f>ROUND($K411*D411,0)</f>
        <v>33489</v>
      </c>
    </row>
    <row r="412" spans="1:13" hidden="1">
      <c r="A412" s="200" t="s">
        <v>176</v>
      </c>
      <c r="C412" s="137">
        <v>2047.9641847313901</v>
      </c>
      <c r="D412" s="135">
        <f t="shared" ref="D412:D413" si="85">ROUND($C412*$D$415/($C$415-$C$414),0)</f>
        <v>2096</v>
      </c>
      <c r="E412" s="135"/>
      <c r="F412" s="201">
        <v>10.61</v>
      </c>
      <c r="H412" s="139">
        <f t="shared" si="84"/>
        <v>21729</v>
      </c>
      <c r="I412" s="139">
        <f t="shared" si="84"/>
        <v>22239</v>
      </c>
      <c r="J412" s="135"/>
      <c r="K412" s="201">
        <v>10.66</v>
      </c>
      <c r="M412" s="139">
        <f>ROUND($K412*D412,0)</f>
        <v>22343</v>
      </c>
    </row>
    <row r="413" spans="1:13" hidden="1">
      <c r="A413" s="202" t="s">
        <v>177</v>
      </c>
      <c r="C413" s="135">
        <v>2601.1975308642</v>
      </c>
      <c r="D413" s="135">
        <f t="shared" si="85"/>
        <v>2662</v>
      </c>
      <c r="E413" s="135"/>
      <c r="F413" s="201">
        <v>12.96</v>
      </c>
      <c r="H413" s="139">
        <f t="shared" si="84"/>
        <v>33712</v>
      </c>
      <c r="I413" s="139">
        <f t="shared" si="84"/>
        <v>34500</v>
      </c>
      <c r="J413" s="135"/>
      <c r="K413" s="201">
        <v>13.02</v>
      </c>
      <c r="M413" s="139">
        <f>ROUND($K413*D413,0)</f>
        <v>34659</v>
      </c>
    </row>
    <row r="414" spans="1:13" hidden="1">
      <c r="A414" s="172" t="s">
        <v>125</v>
      </c>
      <c r="B414" s="173"/>
      <c r="C414" s="135">
        <v>191</v>
      </c>
      <c r="D414" s="135"/>
      <c r="E414" s="135"/>
      <c r="F414" s="174"/>
      <c r="G414" s="13"/>
      <c r="H414" s="139">
        <v>199</v>
      </c>
      <c r="I414" s="139"/>
      <c r="J414" s="135"/>
      <c r="K414" s="174"/>
      <c r="L414" s="13"/>
      <c r="M414" s="139"/>
    </row>
    <row r="415" spans="1:13" ht="16.5" hidden="1" thickBot="1">
      <c r="A415" s="176" t="s">
        <v>178</v>
      </c>
      <c r="B415" s="177"/>
      <c r="C415" s="203">
        <f>C410+C414</f>
        <v>790994.74883163697</v>
      </c>
      <c r="D415" s="203">
        <v>809331.09584229137</v>
      </c>
      <c r="E415" s="203"/>
      <c r="F415" s="177"/>
      <c r="G415" s="177"/>
      <c r="H415" s="179">
        <f>SUM(H411:H414)</f>
        <v>88218</v>
      </c>
      <c r="I415" s="179">
        <f>SUM(I411:I414)</f>
        <v>90081</v>
      </c>
      <c r="J415" s="203"/>
      <c r="K415" s="177"/>
      <c r="L415" s="177"/>
      <c r="M415" s="179">
        <f>SUM(M411:M414)</f>
        <v>90491</v>
      </c>
    </row>
    <row r="416" spans="1:13" hidden="1"/>
    <row r="417" spans="1:13" hidden="1">
      <c r="A417" s="133" t="s">
        <v>468</v>
      </c>
      <c r="C417" s="135"/>
      <c r="D417" s="135"/>
      <c r="E417" s="135"/>
      <c r="J417" s="135"/>
    </row>
    <row r="418" spans="1:13" hidden="1">
      <c r="A418" s="136" t="s">
        <v>173</v>
      </c>
      <c r="C418" s="135">
        <v>2247</v>
      </c>
      <c r="D418" s="135">
        <v>2001.965744264912</v>
      </c>
      <c r="E418" s="135"/>
      <c r="F418" s="201"/>
      <c r="G418" s="138"/>
      <c r="H418" s="139"/>
      <c r="I418" s="139"/>
      <c r="J418" s="135"/>
      <c r="K418" s="201"/>
      <c r="L418" s="138"/>
      <c r="M418" s="139"/>
    </row>
    <row r="419" spans="1:13" hidden="1">
      <c r="A419" s="136" t="s">
        <v>174</v>
      </c>
      <c r="C419" s="135">
        <v>2037873.8764601301</v>
      </c>
      <c r="D419" s="135">
        <f>D424</f>
        <v>1929318.1032558689</v>
      </c>
      <c r="E419" s="135"/>
      <c r="F419" s="201"/>
      <c r="G419" s="138"/>
      <c r="H419" s="139"/>
      <c r="I419" s="139"/>
      <c r="J419" s="135"/>
      <c r="K419" s="201"/>
      <c r="L419" s="138"/>
      <c r="M419" s="139"/>
    </row>
    <row r="420" spans="1:13" hidden="1">
      <c r="A420" s="200" t="s">
        <v>175</v>
      </c>
      <c r="C420" s="135">
        <v>29561.963736263799</v>
      </c>
      <c r="D420" s="135">
        <f>ROUND($C420*$D$424/($C$424-$C$423),0)</f>
        <v>27987</v>
      </c>
      <c r="E420" s="135"/>
      <c r="F420" s="201">
        <v>9.1</v>
      </c>
      <c r="G420" s="138"/>
      <c r="H420" s="139">
        <f t="shared" ref="H420:I422" si="86">ROUND($F420*C420,0)</f>
        <v>269014</v>
      </c>
      <c r="I420" s="139">
        <f t="shared" si="86"/>
        <v>254682</v>
      </c>
      <c r="J420" s="135"/>
      <c r="K420" s="201">
        <v>9.14</v>
      </c>
      <c r="L420" s="138"/>
      <c r="M420" s="139">
        <f>ROUND($K420*D420,0)</f>
        <v>255801</v>
      </c>
    </row>
    <row r="421" spans="1:13" hidden="1">
      <c r="A421" s="200" t="s">
        <v>176</v>
      </c>
      <c r="C421" s="137">
        <v>3981.7992459943398</v>
      </c>
      <c r="D421" s="135">
        <f t="shared" ref="D421:D422" si="87">ROUND($C421*$D$424/($C$424-$C$423),0)</f>
        <v>3770</v>
      </c>
      <c r="E421" s="135"/>
      <c r="F421" s="201">
        <v>10.61</v>
      </c>
      <c r="H421" s="139">
        <f t="shared" si="86"/>
        <v>42247</v>
      </c>
      <c r="I421" s="139">
        <f t="shared" si="86"/>
        <v>40000</v>
      </c>
      <c r="J421" s="135"/>
      <c r="K421" s="201">
        <v>10.66</v>
      </c>
      <c r="M421" s="139">
        <f>ROUND($K421*D421,0)</f>
        <v>40188</v>
      </c>
    </row>
    <row r="422" spans="1:13" hidden="1">
      <c r="A422" s="202" t="s">
        <v>177</v>
      </c>
      <c r="C422" s="135">
        <v>2828.6990740740698</v>
      </c>
      <c r="D422" s="135">
        <f t="shared" si="87"/>
        <v>2678</v>
      </c>
      <c r="E422" s="135"/>
      <c r="F422" s="201">
        <v>12.96</v>
      </c>
      <c r="H422" s="139">
        <f t="shared" si="86"/>
        <v>36660</v>
      </c>
      <c r="I422" s="139">
        <f t="shared" si="86"/>
        <v>34707</v>
      </c>
      <c r="J422" s="135"/>
      <c r="K422" s="201">
        <v>13.02</v>
      </c>
      <c r="M422" s="139">
        <f>ROUND($K422*D422,0)</f>
        <v>34868</v>
      </c>
    </row>
    <row r="423" spans="1:13" hidden="1">
      <c r="A423" s="172" t="s">
        <v>125</v>
      </c>
      <c r="B423" s="173"/>
      <c r="C423" s="135">
        <v>5739</v>
      </c>
      <c r="D423" s="135"/>
      <c r="E423" s="135"/>
      <c r="F423" s="174"/>
      <c r="G423" s="13"/>
      <c r="H423" s="139">
        <v>1165</v>
      </c>
      <c r="I423" s="139"/>
      <c r="J423" s="135"/>
      <c r="K423" s="174"/>
      <c r="L423" s="13"/>
      <c r="M423" s="139"/>
    </row>
    <row r="424" spans="1:13" ht="16.5" hidden="1" thickBot="1">
      <c r="A424" s="176" t="s">
        <v>178</v>
      </c>
      <c r="B424" s="177"/>
      <c r="C424" s="203">
        <f>C419+C423</f>
        <v>2043612.8764601301</v>
      </c>
      <c r="D424" s="203">
        <v>1929318.1032558689</v>
      </c>
      <c r="E424" s="203"/>
      <c r="F424" s="177"/>
      <c r="G424" s="177"/>
      <c r="H424" s="179">
        <f>SUM(H420:H423)</f>
        <v>349086</v>
      </c>
      <c r="I424" s="179">
        <f>SUM(I420:I423)</f>
        <v>329389</v>
      </c>
      <c r="J424" s="203"/>
      <c r="K424" s="177"/>
      <c r="L424" s="177"/>
      <c r="M424" s="179">
        <f>SUM(M420:M423)</f>
        <v>330857</v>
      </c>
    </row>
    <row r="425" spans="1:13" hidden="1">
      <c r="C425" s="135"/>
      <c r="D425" s="135"/>
      <c r="E425" s="135"/>
      <c r="J425" s="135"/>
    </row>
    <row r="426" spans="1:13">
      <c r="A426" s="133" t="s">
        <v>179</v>
      </c>
      <c r="C426" s="135"/>
      <c r="D426" s="135"/>
      <c r="E426" s="135"/>
      <c r="J426" s="135"/>
    </row>
    <row r="427" spans="1:13">
      <c r="A427" s="136" t="s">
        <v>143</v>
      </c>
      <c r="C427" s="135">
        <f t="shared" ref="C427:D438" si="88">C441+C455+C469</f>
        <v>2505.0667605633798</v>
      </c>
      <c r="D427" s="135">
        <f t="shared" si="88"/>
        <v>2506</v>
      </c>
      <c r="E427" s="135"/>
      <c r="F427" s="138">
        <v>71</v>
      </c>
      <c r="G427" s="138"/>
      <c r="H427" s="139">
        <f t="shared" ref="H427:I431" si="89">ROUND($F427*C427,0)</f>
        <v>177860</v>
      </c>
      <c r="I427" s="139">
        <f t="shared" si="89"/>
        <v>177926</v>
      </c>
      <c r="J427" s="135"/>
      <c r="K427" s="138">
        <v>73</v>
      </c>
      <c r="L427" s="138"/>
      <c r="M427" s="139">
        <f>ROUND($K427*D427,0)</f>
        <v>182938</v>
      </c>
    </row>
    <row r="428" spans="1:13">
      <c r="A428" s="136" t="s">
        <v>109</v>
      </c>
      <c r="C428" s="135">
        <f t="shared" si="88"/>
        <v>1542</v>
      </c>
      <c r="D428" s="135">
        <f t="shared" si="88"/>
        <v>1741.9035995628117</v>
      </c>
      <c r="E428" s="135"/>
      <c r="F428" s="138">
        <v>-0.5</v>
      </c>
      <c r="G428" s="138"/>
      <c r="H428" s="139">
        <f t="shared" si="89"/>
        <v>-771</v>
      </c>
      <c r="I428" s="139">
        <f t="shared" si="89"/>
        <v>-871</v>
      </c>
      <c r="J428" s="135"/>
      <c r="K428" s="138">
        <v>-0.5</v>
      </c>
      <c r="L428" s="138"/>
      <c r="M428" s="139">
        <f>ROUND($K428*D428,0)</f>
        <v>-871</v>
      </c>
    </row>
    <row r="429" spans="1:13">
      <c r="A429" s="136" t="s">
        <v>144</v>
      </c>
      <c r="C429" s="135">
        <f t="shared" si="88"/>
        <v>4023655.16632016</v>
      </c>
      <c r="D429" s="135">
        <f t="shared" si="88"/>
        <v>5174074</v>
      </c>
      <c r="E429" s="135"/>
      <c r="F429" s="138">
        <v>4.8099999999999996</v>
      </c>
      <c r="G429" s="138"/>
      <c r="H429" s="139">
        <f t="shared" si="89"/>
        <v>19353781</v>
      </c>
      <c r="I429" s="139">
        <f t="shared" si="89"/>
        <v>24887296</v>
      </c>
      <c r="J429" s="135"/>
      <c r="K429" s="138">
        <v>4.95</v>
      </c>
      <c r="L429" s="138"/>
      <c r="M429" s="139">
        <f>ROUND($K429*D429,0)</f>
        <v>25611666</v>
      </c>
    </row>
    <row r="430" spans="1:13">
      <c r="A430" s="136" t="s">
        <v>180</v>
      </c>
      <c r="C430" s="135">
        <f t="shared" si="88"/>
        <v>1315838.2676414489</v>
      </c>
      <c r="D430" s="135">
        <f t="shared" si="88"/>
        <v>1689143</v>
      </c>
      <c r="E430" s="135"/>
      <c r="F430" s="138">
        <v>15.73</v>
      </c>
      <c r="G430" s="138"/>
      <c r="H430" s="139">
        <f t="shared" si="89"/>
        <v>20698136</v>
      </c>
      <c r="I430" s="139">
        <f t="shared" si="89"/>
        <v>26570219</v>
      </c>
      <c r="J430" s="135"/>
      <c r="K430" s="138">
        <v>16.18</v>
      </c>
      <c r="L430" s="138"/>
      <c r="M430" s="139">
        <f>ROUND($K430*D430,0)</f>
        <v>27330334</v>
      </c>
    </row>
    <row r="431" spans="1:13">
      <c r="A431" s="136" t="s">
        <v>181</v>
      </c>
      <c r="C431" s="135">
        <f t="shared" si="88"/>
        <v>2409012.73706896</v>
      </c>
      <c r="D431" s="135">
        <f t="shared" si="88"/>
        <v>3076633</v>
      </c>
      <c r="E431" s="135"/>
      <c r="F431" s="138">
        <v>13.92</v>
      </c>
      <c r="G431" s="138"/>
      <c r="H431" s="139">
        <f t="shared" si="89"/>
        <v>33533457</v>
      </c>
      <c r="I431" s="139">
        <f t="shared" si="89"/>
        <v>42826731</v>
      </c>
      <c r="J431" s="135"/>
      <c r="K431" s="138">
        <v>14.32</v>
      </c>
      <c r="L431" s="138"/>
      <c r="M431" s="139">
        <f>ROUND($K431*D431,0)</f>
        <v>44057385</v>
      </c>
    </row>
    <row r="432" spans="1:13">
      <c r="A432" s="136" t="s">
        <v>111</v>
      </c>
      <c r="C432" s="135">
        <f t="shared" si="88"/>
        <v>140171429</v>
      </c>
      <c r="D432" s="135">
        <f t="shared" si="88"/>
        <v>181086619</v>
      </c>
      <c r="E432" s="135"/>
      <c r="F432" s="204">
        <v>5.8281999999999998</v>
      </c>
      <c r="G432" s="163" t="s">
        <v>112</v>
      </c>
      <c r="H432" s="139">
        <f t="shared" ref="H432:I435" si="90">ROUND($F432*C432/100,0)</f>
        <v>8169471</v>
      </c>
      <c r="I432" s="139">
        <f t="shared" si="90"/>
        <v>10554090</v>
      </c>
      <c r="J432" s="135"/>
      <c r="K432" s="204">
        <v>5.9962999999999997</v>
      </c>
      <c r="L432" s="163" t="s">
        <v>112</v>
      </c>
      <c r="M432" s="139">
        <f>ROUND($K432*D432/100,0)</f>
        <v>10858497</v>
      </c>
    </row>
    <row r="433" spans="1:13">
      <c r="A433" s="136" t="s">
        <v>114</v>
      </c>
      <c r="C433" s="135">
        <f t="shared" si="88"/>
        <v>501247661.31583476</v>
      </c>
      <c r="D433" s="135">
        <f t="shared" si="88"/>
        <v>648505531</v>
      </c>
      <c r="E433" s="135"/>
      <c r="F433" s="204">
        <v>2.9624000000000001</v>
      </c>
      <c r="G433" s="163" t="s">
        <v>112</v>
      </c>
      <c r="H433" s="139">
        <f t="shared" si="90"/>
        <v>14848961</v>
      </c>
      <c r="I433" s="139">
        <f t="shared" si="90"/>
        <v>19211328</v>
      </c>
      <c r="J433" s="135"/>
      <c r="K433" s="204">
        <v>3.0478000000000001</v>
      </c>
      <c r="L433" s="163" t="s">
        <v>112</v>
      </c>
      <c r="M433" s="139">
        <f>ROUND($K433*D433/100,0)</f>
        <v>19765152</v>
      </c>
    </row>
    <row r="434" spans="1:13">
      <c r="A434" s="136" t="s">
        <v>183</v>
      </c>
      <c r="C434" s="135">
        <f t="shared" si="88"/>
        <v>256517897</v>
      </c>
      <c r="D434" s="135">
        <f t="shared" si="88"/>
        <v>330265802</v>
      </c>
      <c r="E434" s="135"/>
      <c r="F434" s="204">
        <v>5.1577000000000002</v>
      </c>
      <c r="G434" s="163" t="s">
        <v>112</v>
      </c>
      <c r="H434" s="139">
        <f t="shared" si="90"/>
        <v>13230424</v>
      </c>
      <c r="I434" s="139">
        <f t="shared" si="90"/>
        <v>17034119</v>
      </c>
      <c r="J434" s="135"/>
      <c r="K434" s="204">
        <v>5.3064</v>
      </c>
      <c r="L434" s="163" t="s">
        <v>112</v>
      </c>
      <c r="M434" s="139">
        <f>ROUND($K434*D434/100,0)</f>
        <v>17525225</v>
      </c>
    </row>
    <row r="435" spans="1:13">
      <c r="A435" s="136" t="s">
        <v>185</v>
      </c>
      <c r="C435" s="135">
        <f t="shared" si="88"/>
        <v>900559368.86344838</v>
      </c>
      <c r="D435" s="135">
        <f t="shared" si="88"/>
        <v>1160729862</v>
      </c>
      <c r="E435" s="135"/>
      <c r="F435" s="204">
        <v>2.6215999999999999</v>
      </c>
      <c r="G435" s="163" t="s">
        <v>112</v>
      </c>
      <c r="H435" s="139">
        <f t="shared" si="90"/>
        <v>23609064</v>
      </c>
      <c r="I435" s="139">
        <f t="shared" si="90"/>
        <v>30429694</v>
      </c>
      <c r="J435" s="135"/>
      <c r="K435" s="204">
        <v>2.6972</v>
      </c>
      <c r="L435" s="163" t="s">
        <v>112</v>
      </c>
      <c r="M435" s="139">
        <f>ROUND($K435*D435/100,0)</f>
        <v>31307206</v>
      </c>
    </row>
    <row r="436" spans="1:13">
      <c r="A436" s="136" t="s">
        <v>150</v>
      </c>
      <c r="C436" s="135">
        <f t="shared" si="88"/>
        <v>1931307.03539823</v>
      </c>
      <c r="D436" s="135">
        <f>D450+D464+D478</f>
        <v>2499571</v>
      </c>
      <c r="E436" s="135"/>
      <c r="F436" s="138">
        <v>-1.1299999999999999</v>
      </c>
      <c r="G436" s="138"/>
      <c r="H436" s="139">
        <f>ROUND($F436*C436,0)</f>
        <v>-2182377</v>
      </c>
      <c r="I436" s="139">
        <f>ROUND($F436*D436,0)</f>
        <v>-2824515</v>
      </c>
      <c r="J436" s="135"/>
      <c r="K436" s="138">
        <v>-1.1299999999999999</v>
      </c>
      <c r="L436" s="138"/>
      <c r="M436" s="139">
        <f>ROUND($K436*D436,0)</f>
        <v>-2824515</v>
      </c>
    </row>
    <row r="437" spans="1:13">
      <c r="A437" s="172" t="s">
        <v>125</v>
      </c>
      <c r="B437" s="173"/>
      <c r="C437" s="135">
        <f t="shared" si="88"/>
        <v>6838476</v>
      </c>
      <c r="D437" s="135"/>
      <c r="E437" s="135"/>
      <c r="F437" s="174"/>
      <c r="G437" s="13"/>
      <c r="H437" s="139">
        <f>H451+H465+H479</f>
        <v>629973</v>
      </c>
      <c r="I437" s="139"/>
      <c r="J437" s="135"/>
      <c r="K437" s="174"/>
      <c r="L437" s="13"/>
      <c r="M437" s="139"/>
    </row>
    <row r="438" spans="1:13" ht="16.5" thickBot="1">
      <c r="A438" s="176" t="s">
        <v>127</v>
      </c>
      <c r="B438" s="177"/>
      <c r="C438" s="178">
        <f t="shared" si="88"/>
        <v>1805334832.1792831</v>
      </c>
      <c r="D438" s="178">
        <f t="shared" si="88"/>
        <v>2320587813.1740799</v>
      </c>
      <c r="E438" s="178"/>
      <c r="F438" s="177"/>
      <c r="G438" s="177"/>
      <c r="H438" s="179">
        <f>SUM(H427:H437)</f>
        <v>132067979</v>
      </c>
      <c r="I438" s="179">
        <f>SUM(I427:I437)</f>
        <v>168866017</v>
      </c>
      <c r="J438" s="178"/>
      <c r="K438" s="177"/>
      <c r="L438" s="177"/>
      <c r="M438" s="179">
        <f>SUM(M427:M437)</f>
        <v>173813017</v>
      </c>
    </row>
    <row r="439" spans="1:13" ht="16.5" thickTop="1"/>
    <row r="440" spans="1:13" hidden="1">
      <c r="A440" s="133" t="s">
        <v>469</v>
      </c>
    </row>
    <row r="441" spans="1:13" hidden="1">
      <c r="A441" s="136" t="s">
        <v>143</v>
      </c>
      <c r="C441" s="135">
        <v>1392.3333802816901</v>
      </c>
      <c r="D441" s="135">
        <v>1366</v>
      </c>
      <c r="E441" s="135"/>
      <c r="F441" s="138">
        <v>71</v>
      </c>
      <c r="G441" s="138"/>
      <c r="H441" s="139">
        <f t="shared" ref="H441:I445" si="91">ROUND($F441*C441,0)</f>
        <v>98856</v>
      </c>
      <c r="I441" s="139">
        <f t="shared" si="91"/>
        <v>96986</v>
      </c>
      <c r="J441" s="135"/>
      <c r="K441" s="138">
        <v>73</v>
      </c>
      <c r="L441" s="138"/>
      <c r="M441" s="139">
        <f>ROUND($K441*D441,0)</f>
        <v>99718</v>
      </c>
    </row>
    <row r="442" spans="1:13" hidden="1">
      <c r="A442" s="136" t="s">
        <v>109</v>
      </c>
      <c r="C442" s="135">
        <v>858</v>
      </c>
      <c r="D442" s="135">
        <v>949.49733320143696</v>
      </c>
      <c r="E442" s="135"/>
      <c r="F442" s="138">
        <v>-0.5</v>
      </c>
      <c r="G442" s="138"/>
      <c r="H442" s="139">
        <f t="shared" si="91"/>
        <v>-429</v>
      </c>
      <c r="I442" s="139">
        <f t="shared" si="91"/>
        <v>-475</v>
      </c>
      <c r="J442" s="135"/>
      <c r="K442" s="138">
        <v>-0.5</v>
      </c>
      <c r="L442" s="138"/>
      <c r="M442" s="139">
        <f>ROUND($K442*D442,0)</f>
        <v>-475</v>
      </c>
    </row>
    <row r="443" spans="1:13" hidden="1">
      <c r="A443" s="136" t="s">
        <v>144</v>
      </c>
      <c r="C443" s="135">
        <v>1940074.86486486</v>
      </c>
      <c r="D443" s="135">
        <f t="shared" ref="D443:D450" si="92">ROUND($C443*D$452/$C$452,0)</f>
        <v>2865871</v>
      </c>
      <c r="E443" s="135"/>
      <c r="F443" s="138">
        <v>4.8099999999999996</v>
      </c>
      <c r="G443" s="138"/>
      <c r="H443" s="139">
        <f t="shared" si="91"/>
        <v>9331760</v>
      </c>
      <c r="I443" s="139">
        <f t="shared" si="91"/>
        <v>13784840</v>
      </c>
      <c r="J443" s="135"/>
      <c r="K443" s="138">
        <v>4.95</v>
      </c>
      <c r="L443" s="138"/>
      <c r="M443" s="139">
        <f>ROUND($K443*D443,0)</f>
        <v>14186061</v>
      </c>
    </row>
    <row r="444" spans="1:13" hidden="1">
      <c r="A444" s="136" t="s">
        <v>180</v>
      </c>
      <c r="C444" s="135">
        <v>626572.01335028606</v>
      </c>
      <c r="D444" s="135">
        <f t="shared" si="92"/>
        <v>925570</v>
      </c>
      <c r="E444" s="135"/>
      <c r="F444" s="138">
        <v>15.73</v>
      </c>
      <c r="G444" s="138"/>
      <c r="H444" s="139">
        <f t="shared" si="91"/>
        <v>9855978</v>
      </c>
      <c r="I444" s="139">
        <f t="shared" si="91"/>
        <v>14559216</v>
      </c>
      <c r="J444" s="135"/>
      <c r="K444" s="138">
        <v>16.18</v>
      </c>
      <c r="L444" s="138"/>
      <c r="M444" s="139">
        <f>ROUND($K444*D444,0)</f>
        <v>14975723</v>
      </c>
    </row>
    <row r="445" spans="1:13" hidden="1">
      <c r="A445" s="136" t="s">
        <v>181</v>
      </c>
      <c r="C445" s="135">
        <v>1104294.1896551701</v>
      </c>
      <c r="D445" s="135">
        <f t="shared" si="92"/>
        <v>1631259</v>
      </c>
      <c r="E445" s="135"/>
      <c r="F445" s="138">
        <v>13.92</v>
      </c>
      <c r="G445" s="138"/>
      <c r="H445" s="139">
        <f t="shared" si="91"/>
        <v>15371775</v>
      </c>
      <c r="I445" s="139">
        <f t="shared" si="91"/>
        <v>22707125</v>
      </c>
      <c r="J445" s="135"/>
      <c r="K445" s="138">
        <v>14.32</v>
      </c>
      <c r="L445" s="138"/>
      <c r="M445" s="139">
        <f>ROUND($K445*D445,0)</f>
        <v>23359629</v>
      </c>
    </row>
    <row r="446" spans="1:13" hidden="1">
      <c r="A446" s="136" t="s">
        <v>111</v>
      </c>
      <c r="C446" s="135">
        <v>67725035</v>
      </c>
      <c r="D446" s="135">
        <f>ROUND($C446*D$452/($C$452-$C$451),0)</f>
        <v>100810889</v>
      </c>
      <c r="E446" s="135"/>
      <c r="F446" s="204">
        <v>5.8281999999999998</v>
      </c>
      <c r="G446" s="163" t="s">
        <v>112</v>
      </c>
      <c r="H446" s="139">
        <f t="shared" ref="H446:I449" si="93">ROUND($F446*C446/100,0)</f>
        <v>3947150</v>
      </c>
      <c r="I446" s="139">
        <f t="shared" si="93"/>
        <v>5875460</v>
      </c>
      <c r="J446" s="135"/>
      <c r="K446" s="204">
        <v>5.9962999999999997</v>
      </c>
      <c r="L446" s="163" t="s">
        <v>112</v>
      </c>
      <c r="M446" s="139">
        <f>ROUND($K446*D446/100,0)</f>
        <v>6044923</v>
      </c>
    </row>
    <row r="447" spans="1:13" hidden="1">
      <c r="A447" s="136" t="s">
        <v>114</v>
      </c>
      <c r="C447" s="135">
        <v>244671795.31583476</v>
      </c>
      <c r="D447" s="135">
        <f t="shared" ref="D447:D449" si="94">ROUND($C447*D$452/($C$452-$C$451),0)</f>
        <v>364201822</v>
      </c>
      <c r="E447" s="135"/>
      <c r="F447" s="204">
        <v>2.9624000000000001</v>
      </c>
      <c r="G447" s="163" t="s">
        <v>112</v>
      </c>
      <c r="H447" s="139">
        <f t="shared" si="93"/>
        <v>7248157</v>
      </c>
      <c r="I447" s="139">
        <f t="shared" si="93"/>
        <v>10789115</v>
      </c>
      <c r="J447" s="135"/>
      <c r="K447" s="204">
        <v>3.0478000000000001</v>
      </c>
      <c r="L447" s="163" t="s">
        <v>112</v>
      </c>
      <c r="M447" s="139">
        <f>ROUND($K447*D447/100,0)</f>
        <v>11100143</v>
      </c>
    </row>
    <row r="448" spans="1:13" hidden="1">
      <c r="A448" s="136" t="s">
        <v>183</v>
      </c>
      <c r="C448" s="135">
        <v>120974122</v>
      </c>
      <c r="D448" s="135">
        <f t="shared" si="94"/>
        <v>180073864</v>
      </c>
      <c r="E448" s="135"/>
      <c r="F448" s="204">
        <v>5.1577000000000002</v>
      </c>
      <c r="G448" s="163" t="s">
        <v>112</v>
      </c>
      <c r="H448" s="139">
        <f t="shared" si="93"/>
        <v>6239482</v>
      </c>
      <c r="I448" s="139">
        <f t="shared" si="93"/>
        <v>9287670</v>
      </c>
      <c r="J448" s="135"/>
      <c r="K448" s="204">
        <v>5.3064</v>
      </c>
      <c r="L448" s="163" t="s">
        <v>112</v>
      </c>
      <c r="M448" s="139">
        <f>ROUND($K448*D448/100,0)</f>
        <v>9555440</v>
      </c>
    </row>
    <row r="449" spans="1:13" hidden="1">
      <c r="A449" s="136" t="s">
        <v>185</v>
      </c>
      <c r="C449" s="135">
        <v>428030030.86344844</v>
      </c>
      <c r="D449" s="135">
        <f t="shared" si="94"/>
        <v>637136441</v>
      </c>
      <c r="E449" s="135"/>
      <c r="F449" s="204">
        <v>2.6215999999999999</v>
      </c>
      <c r="G449" s="163" t="s">
        <v>112</v>
      </c>
      <c r="H449" s="139">
        <f t="shared" si="93"/>
        <v>11221235</v>
      </c>
      <c r="I449" s="139">
        <f t="shared" si="93"/>
        <v>16703169</v>
      </c>
      <c r="J449" s="135"/>
      <c r="K449" s="204">
        <v>2.6972</v>
      </c>
      <c r="L449" s="163" t="s">
        <v>112</v>
      </c>
      <c r="M449" s="139">
        <f>ROUND($K449*D449/100,0)</f>
        <v>17184844</v>
      </c>
    </row>
    <row r="450" spans="1:13" hidden="1">
      <c r="A450" s="136" t="s">
        <v>150</v>
      </c>
      <c r="C450" s="135">
        <v>974574.37168141606</v>
      </c>
      <c r="D450" s="135">
        <f t="shared" si="92"/>
        <v>1439638</v>
      </c>
      <c r="E450" s="135"/>
      <c r="F450" s="138">
        <v>-1.1299999999999999</v>
      </c>
      <c r="G450" s="138"/>
      <c r="H450" s="139">
        <f>ROUND($F450*C450,0)</f>
        <v>-1101269</v>
      </c>
      <c r="I450" s="139">
        <f>ROUND($F450*D450,0)</f>
        <v>-1626791</v>
      </c>
      <c r="J450" s="135"/>
      <c r="K450" s="138">
        <v>-1.1299999999999999</v>
      </c>
      <c r="L450" s="138"/>
      <c r="M450" s="139">
        <f>ROUND($K450*D450,0)</f>
        <v>-1626791</v>
      </c>
    </row>
    <row r="451" spans="1:13" hidden="1">
      <c r="A451" s="172" t="s">
        <v>125</v>
      </c>
      <c r="B451" s="173"/>
      <c r="C451" s="135">
        <v>6610350</v>
      </c>
      <c r="D451" s="135"/>
      <c r="E451" s="135"/>
      <c r="F451" s="174"/>
      <c r="G451" s="13"/>
      <c r="H451" s="139">
        <v>473245</v>
      </c>
      <c r="I451" s="139"/>
      <c r="J451" s="135"/>
      <c r="K451" s="174"/>
      <c r="L451" s="13"/>
      <c r="M451" s="139"/>
    </row>
    <row r="452" spans="1:13" ht="16.5" hidden="1" thickBot="1">
      <c r="A452" s="176" t="s">
        <v>127</v>
      </c>
      <c r="B452" s="177"/>
      <c r="C452" s="178">
        <f>SUM(C446:C449,C451)</f>
        <v>868011333.17928314</v>
      </c>
      <c r="D452" s="178">
        <v>1282223015.5365267</v>
      </c>
      <c r="E452" s="178"/>
      <c r="F452" s="177"/>
      <c r="G452" s="177"/>
      <c r="H452" s="179">
        <f>SUM(H441:H451)</f>
        <v>62685940</v>
      </c>
      <c r="I452" s="179">
        <f>SUM(I441:I451)</f>
        <v>92176315</v>
      </c>
      <c r="J452" s="178"/>
      <c r="K452" s="177"/>
      <c r="L452" s="177"/>
      <c r="M452" s="179">
        <f>SUM(M441:M451)</f>
        <v>94879215</v>
      </c>
    </row>
    <row r="453" spans="1:13" hidden="1"/>
    <row r="454" spans="1:13" hidden="1">
      <c r="A454" s="133" t="s">
        <v>317</v>
      </c>
    </row>
    <row r="455" spans="1:13" hidden="1">
      <c r="A455" s="136" t="s">
        <v>143</v>
      </c>
      <c r="C455" s="135">
        <v>1100.73338028169</v>
      </c>
      <c r="D455" s="135">
        <v>1128</v>
      </c>
      <c r="E455" s="135"/>
      <c r="F455" s="138">
        <v>71</v>
      </c>
      <c r="G455" s="138"/>
      <c r="H455" s="139">
        <f t="shared" ref="H455:I459" si="95">ROUND($F455*C455,0)</f>
        <v>78152</v>
      </c>
      <c r="I455" s="139">
        <f t="shared" si="95"/>
        <v>80088</v>
      </c>
      <c r="J455" s="135"/>
      <c r="K455" s="138">
        <v>73</v>
      </c>
      <c r="L455" s="138"/>
      <c r="M455" s="139">
        <f>ROUND($K455*D455,0)</f>
        <v>82344</v>
      </c>
    </row>
    <row r="456" spans="1:13" hidden="1">
      <c r="A456" s="136" t="s">
        <v>109</v>
      </c>
      <c r="C456" s="135">
        <v>672</v>
      </c>
      <c r="D456" s="135">
        <v>784.06514776809729</v>
      </c>
      <c r="E456" s="135"/>
      <c r="F456" s="138">
        <v>-0.5</v>
      </c>
      <c r="G456" s="138"/>
      <c r="H456" s="139">
        <f t="shared" si="95"/>
        <v>-336</v>
      </c>
      <c r="I456" s="139">
        <f t="shared" si="95"/>
        <v>-392</v>
      </c>
      <c r="J456" s="135"/>
      <c r="K456" s="138">
        <v>-0.5</v>
      </c>
      <c r="L456" s="138"/>
      <c r="M456" s="139">
        <f>ROUND($K456*D456,0)</f>
        <v>-392</v>
      </c>
    </row>
    <row r="457" spans="1:13" hidden="1">
      <c r="A457" s="136" t="s">
        <v>144</v>
      </c>
      <c r="C457" s="135">
        <v>2082132.3014553001</v>
      </c>
      <c r="D457" s="135">
        <f t="shared" ref="D457:D464" si="96">ROUND($C457*D$466/$C$466,0)</f>
        <v>2306727</v>
      </c>
      <c r="E457" s="135"/>
      <c r="F457" s="138">
        <v>4.8099999999999996</v>
      </c>
      <c r="G457" s="138"/>
      <c r="H457" s="139">
        <f t="shared" si="95"/>
        <v>10015056</v>
      </c>
      <c r="I457" s="139">
        <f t="shared" si="95"/>
        <v>11095357</v>
      </c>
      <c r="J457" s="135"/>
      <c r="K457" s="138">
        <v>4.95</v>
      </c>
      <c r="L457" s="138"/>
      <c r="M457" s="139">
        <f>ROUND($K457*D457,0)</f>
        <v>11418299</v>
      </c>
    </row>
    <row r="458" spans="1:13" hidden="1">
      <c r="A458" s="136" t="s">
        <v>180</v>
      </c>
      <c r="C458" s="135">
        <v>688789.25429116294</v>
      </c>
      <c r="D458" s="135">
        <f t="shared" si="96"/>
        <v>763087</v>
      </c>
      <c r="E458" s="135"/>
      <c r="F458" s="138">
        <v>15.73</v>
      </c>
      <c r="G458" s="138"/>
      <c r="H458" s="139">
        <f t="shared" si="95"/>
        <v>10834655</v>
      </c>
      <c r="I458" s="139">
        <f t="shared" si="95"/>
        <v>12003359</v>
      </c>
      <c r="J458" s="135"/>
      <c r="K458" s="138">
        <v>16.18</v>
      </c>
      <c r="L458" s="138"/>
      <c r="M458" s="139">
        <f>ROUND($K458*D458,0)</f>
        <v>12346748</v>
      </c>
    </row>
    <row r="459" spans="1:13" hidden="1">
      <c r="A459" s="136" t="s">
        <v>181</v>
      </c>
      <c r="C459" s="135">
        <v>1303796.5474137899</v>
      </c>
      <c r="D459" s="135">
        <f t="shared" si="96"/>
        <v>1444434</v>
      </c>
      <c r="E459" s="135"/>
      <c r="F459" s="138">
        <v>13.92</v>
      </c>
      <c r="G459" s="138"/>
      <c r="H459" s="139">
        <f t="shared" si="95"/>
        <v>18148848</v>
      </c>
      <c r="I459" s="139">
        <f t="shared" si="95"/>
        <v>20106521</v>
      </c>
      <c r="J459" s="135"/>
      <c r="K459" s="138">
        <v>14.32</v>
      </c>
      <c r="L459" s="138"/>
      <c r="M459" s="139">
        <f>ROUND($K459*D459,0)</f>
        <v>20684295</v>
      </c>
    </row>
    <row r="460" spans="1:13" hidden="1">
      <c r="A460" s="136" t="s">
        <v>111</v>
      </c>
      <c r="C460" s="135">
        <v>72392074</v>
      </c>
      <c r="D460" s="135">
        <f>ROUND($C460*D$466/($C$466-$C$465),0)</f>
        <v>80220206</v>
      </c>
      <c r="E460" s="135"/>
      <c r="F460" s="204">
        <v>5.8281999999999998</v>
      </c>
      <c r="G460" s="163" t="s">
        <v>112</v>
      </c>
      <c r="H460" s="139">
        <f t="shared" ref="H460:I463" si="97">ROUND($F460*C460/100,0)</f>
        <v>4219155</v>
      </c>
      <c r="I460" s="139">
        <f t="shared" si="97"/>
        <v>4675394</v>
      </c>
      <c r="J460" s="135"/>
      <c r="K460" s="204">
        <v>5.9962999999999997</v>
      </c>
      <c r="L460" s="163" t="s">
        <v>112</v>
      </c>
      <c r="M460" s="139">
        <f>ROUND($K460*D460/100,0)</f>
        <v>4810244</v>
      </c>
    </row>
    <row r="461" spans="1:13" hidden="1">
      <c r="A461" s="136" t="s">
        <v>114</v>
      </c>
      <c r="C461" s="135">
        <v>256377626</v>
      </c>
      <c r="D461" s="135">
        <f t="shared" ref="D461:D463" si="98">ROUND($C461*D$466/($C$466-$C$465),0)</f>
        <v>284101073</v>
      </c>
      <c r="E461" s="135"/>
      <c r="F461" s="204">
        <v>2.9624000000000001</v>
      </c>
      <c r="G461" s="163" t="s">
        <v>112</v>
      </c>
      <c r="H461" s="139">
        <f t="shared" si="97"/>
        <v>7594931</v>
      </c>
      <c r="I461" s="139">
        <f t="shared" si="97"/>
        <v>8416210</v>
      </c>
      <c r="J461" s="135"/>
      <c r="K461" s="204">
        <v>3.0478000000000001</v>
      </c>
      <c r="L461" s="163" t="s">
        <v>112</v>
      </c>
      <c r="M461" s="139">
        <f>ROUND($K461*D461/100,0)</f>
        <v>8658833</v>
      </c>
    </row>
    <row r="462" spans="1:13" hidden="1">
      <c r="A462" s="136" t="s">
        <v>183</v>
      </c>
      <c r="C462" s="135">
        <v>135440335</v>
      </c>
      <c r="D462" s="135">
        <f t="shared" si="98"/>
        <v>150086204</v>
      </c>
      <c r="E462" s="135"/>
      <c r="F462" s="204">
        <v>5.1577000000000002</v>
      </c>
      <c r="G462" s="163" t="s">
        <v>112</v>
      </c>
      <c r="H462" s="139">
        <f t="shared" si="97"/>
        <v>6985606</v>
      </c>
      <c r="I462" s="139">
        <f t="shared" si="97"/>
        <v>7740996</v>
      </c>
      <c r="J462" s="135"/>
      <c r="K462" s="204">
        <v>5.3064</v>
      </c>
      <c r="L462" s="163" t="s">
        <v>112</v>
      </c>
      <c r="M462" s="139">
        <f>ROUND($K462*D462/100,0)</f>
        <v>7964174</v>
      </c>
    </row>
    <row r="463" spans="1:13" hidden="1">
      <c r="A463" s="136" t="s">
        <v>185</v>
      </c>
      <c r="C463" s="135">
        <v>472145738</v>
      </c>
      <c r="D463" s="135">
        <f t="shared" si="98"/>
        <v>523201315</v>
      </c>
      <c r="E463" s="135"/>
      <c r="F463" s="204">
        <v>2.6215999999999999</v>
      </c>
      <c r="G463" s="163" t="s">
        <v>112</v>
      </c>
      <c r="H463" s="139">
        <f t="shared" si="97"/>
        <v>12377773</v>
      </c>
      <c r="I463" s="139">
        <f t="shared" si="97"/>
        <v>13716246</v>
      </c>
      <c r="J463" s="135"/>
      <c r="K463" s="204">
        <v>2.6972</v>
      </c>
      <c r="L463" s="163" t="s">
        <v>112</v>
      </c>
      <c r="M463" s="139">
        <f>ROUND($K463*D463/100,0)</f>
        <v>14111786</v>
      </c>
    </row>
    <row r="464" spans="1:13" hidden="1">
      <c r="A464" s="136" t="s">
        <v>150</v>
      </c>
      <c r="C464" s="135">
        <v>956732.66371681402</v>
      </c>
      <c r="D464" s="135">
        <f t="shared" si="96"/>
        <v>1059933</v>
      </c>
      <c r="E464" s="135"/>
      <c r="F464" s="138">
        <v>-1.1299999999999999</v>
      </c>
      <c r="G464" s="138"/>
      <c r="H464" s="139">
        <f>ROUND($F464*C464,0)</f>
        <v>-1081108</v>
      </c>
      <c r="I464" s="139">
        <f>ROUND($F464*D464,0)</f>
        <v>-1197724</v>
      </c>
      <c r="J464" s="135"/>
      <c r="K464" s="138">
        <v>-1.1299999999999999</v>
      </c>
      <c r="L464" s="138"/>
      <c r="M464" s="139">
        <f>ROUND($K464*D464,0)</f>
        <v>-1197724</v>
      </c>
    </row>
    <row r="465" spans="1:13" hidden="1">
      <c r="A465" s="172" t="s">
        <v>125</v>
      </c>
      <c r="B465" s="173"/>
      <c r="C465" s="135">
        <v>226043</v>
      </c>
      <c r="D465" s="135"/>
      <c r="E465" s="135"/>
      <c r="F465" s="174"/>
      <c r="G465" s="13"/>
      <c r="H465" s="139">
        <v>156552</v>
      </c>
      <c r="I465" s="139"/>
      <c r="J465" s="135"/>
      <c r="K465" s="174"/>
      <c r="L465" s="13"/>
      <c r="M465" s="139"/>
    </row>
    <row r="466" spans="1:13" ht="16.5" hidden="1" thickBot="1">
      <c r="A466" s="176" t="s">
        <v>127</v>
      </c>
      <c r="B466" s="177"/>
      <c r="C466" s="178">
        <f>SUM(C460:C463,C465)</f>
        <v>936581816</v>
      </c>
      <c r="D466" s="178">
        <v>1037608797.6375532</v>
      </c>
      <c r="E466" s="178"/>
      <c r="F466" s="177"/>
      <c r="G466" s="177"/>
      <c r="H466" s="179">
        <f>SUM(H455:H465)</f>
        <v>69329284</v>
      </c>
      <c r="I466" s="179">
        <f>SUM(I455:I465)</f>
        <v>76636055</v>
      </c>
      <c r="J466" s="178"/>
      <c r="K466" s="177"/>
      <c r="L466" s="177"/>
      <c r="M466" s="179">
        <f>SUM(M455:M465)</f>
        <v>78878607</v>
      </c>
    </row>
    <row r="467" spans="1:13" hidden="1"/>
    <row r="468" spans="1:13" hidden="1">
      <c r="A468" s="133" t="s">
        <v>470</v>
      </c>
    </row>
    <row r="469" spans="1:13" hidden="1">
      <c r="A469" s="136" t="s">
        <v>143</v>
      </c>
      <c r="C469" s="135">
        <v>12</v>
      </c>
      <c r="D469" s="135">
        <v>12</v>
      </c>
      <c r="E469" s="135"/>
      <c r="F469" s="138">
        <v>71</v>
      </c>
      <c r="G469" s="138"/>
      <c r="H469" s="139">
        <f t="shared" ref="H469:I473" si="99">ROUND($F469*C469,0)</f>
        <v>852</v>
      </c>
      <c r="I469" s="139">
        <f t="shared" si="99"/>
        <v>852</v>
      </c>
      <c r="J469" s="135"/>
      <c r="K469" s="138">
        <v>73</v>
      </c>
      <c r="L469" s="138"/>
      <c r="M469" s="139">
        <f>ROUND($K469*D469,0)</f>
        <v>876</v>
      </c>
    </row>
    <row r="470" spans="1:13" hidden="1">
      <c r="A470" s="136" t="s">
        <v>109</v>
      </c>
      <c r="C470" s="135">
        <v>12</v>
      </c>
      <c r="D470" s="135">
        <v>8.3411185932776313</v>
      </c>
      <c r="E470" s="135"/>
      <c r="F470" s="138">
        <v>-0.5</v>
      </c>
      <c r="G470" s="138"/>
      <c r="H470" s="139">
        <f t="shared" si="99"/>
        <v>-6</v>
      </c>
      <c r="I470" s="139">
        <f t="shared" si="99"/>
        <v>-4</v>
      </c>
      <c r="J470" s="135"/>
      <c r="K470" s="138">
        <v>-0.5</v>
      </c>
      <c r="L470" s="138"/>
      <c r="M470" s="139">
        <f>ROUND($K470*D470,0)</f>
        <v>-4</v>
      </c>
    </row>
    <row r="471" spans="1:13" hidden="1">
      <c r="A471" s="136" t="s">
        <v>144</v>
      </c>
      <c r="C471" s="135">
        <v>1448</v>
      </c>
      <c r="D471" s="135">
        <f t="shared" ref="D471:D478" si="100">ROUND($C471*D$480/$C$480,0)</f>
        <v>1476</v>
      </c>
      <c r="E471" s="135"/>
      <c r="F471" s="138">
        <v>4.8099999999999996</v>
      </c>
      <c r="G471" s="138"/>
      <c r="H471" s="139">
        <f t="shared" si="99"/>
        <v>6965</v>
      </c>
      <c r="I471" s="139">
        <f t="shared" si="99"/>
        <v>7100</v>
      </c>
      <c r="J471" s="135"/>
      <c r="K471" s="138">
        <v>4.95</v>
      </c>
      <c r="L471" s="138"/>
      <c r="M471" s="139">
        <f>ROUND($K471*D471,0)</f>
        <v>7306</v>
      </c>
    </row>
    <row r="472" spans="1:13" hidden="1">
      <c r="A472" s="136" t="s">
        <v>180</v>
      </c>
      <c r="C472" s="135">
        <v>477</v>
      </c>
      <c r="D472" s="135">
        <f t="shared" si="100"/>
        <v>486</v>
      </c>
      <c r="E472" s="135"/>
      <c r="F472" s="138">
        <v>15.73</v>
      </c>
      <c r="G472" s="138"/>
      <c r="H472" s="139">
        <f t="shared" si="99"/>
        <v>7503</v>
      </c>
      <c r="I472" s="139">
        <f t="shared" si="99"/>
        <v>7645</v>
      </c>
      <c r="J472" s="135"/>
      <c r="K472" s="138">
        <v>16.18</v>
      </c>
      <c r="L472" s="138"/>
      <c r="M472" s="139">
        <f>ROUND($K472*D472,0)</f>
        <v>7863</v>
      </c>
    </row>
    <row r="473" spans="1:13" hidden="1">
      <c r="A473" s="136" t="s">
        <v>181</v>
      </c>
      <c r="C473" s="135">
        <v>922</v>
      </c>
      <c r="D473" s="135">
        <f t="shared" si="100"/>
        <v>940</v>
      </c>
      <c r="E473" s="135"/>
      <c r="F473" s="138">
        <v>13.92</v>
      </c>
      <c r="G473" s="138"/>
      <c r="H473" s="139">
        <f t="shared" si="99"/>
        <v>12834</v>
      </c>
      <c r="I473" s="139">
        <f t="shared" si="99"/>
        <v>13085</v>
      </c>
      <c r="J473" s="135"/>
      <c r="K473" s="138">
        <v>14.32</v>
      </c>
      <c r="L473" s="138"/>
      <c r="M473" s="139">
        <f>ROUND($K473*D473,0)</f>
        <v>13461</v>
      </c>
    </row>
    <row r="474" spans="1:13" hidden="1">
      <c r="A474" s="136" t="s">
        <v>111</v>
      </c>
      <c r="C474" s="135">
        <v>54320</v>
      </c>
      <c r="D474" s="135">
        <f>ROUND($C474*D$480/($C$480-$C$479),0)</f>
        <v>55524</v>
      </c>
      <c r="E474" s="135"/>
      <c r="F474" s="204">
        <v>5.8281999999999998</v>
      </c>
      <c r="G474" s="163" t="s">
        <v>112</v>
      </c>
      <c r="H474" s="139">
        <f t="shared" ref="H474:I477" si="101">ROUND($F474*C474/100,0)</f>
        <v>3166</v>
      </c>
      <c r="I474" s="139">
        <f t="shared" si="101"/>
        <v>3236</v>
      </c>
      <c r="J474" s="135"/>
      <c r="K474" s="204">
        <v>5.9962999999999997</v>
      </c>
      <c r="L474" s="163" t="s">
        <v>112</v>
      </c>
      <c r="M474" s="139">
        <f>ROUND($K474*D474/100,0)</f>
        <v>3329</v>
      </c>
    </row>
    <row r="475" spans="1:13" hidden="1">
      <c r="A475" s="136" t="s">
        <v>114</v>
      </c>
      <c r="C475" s="135">
        <v>198240</v>
      </c>
      <c r="D475" s="135">
        <f t="shared" ref="D475:D477" si="102">ROUND($C475*D$480/($C$480-$C$479),0)</f>
        <v>202636</v>
      </c>
      <c r="E475" s="135"/>
      <c r="F475" s="204">
        <v>2.9624000000000001</v>
      </c>
      <c r="G475" s="163" t="s">
        <v>112</v>
      </c>
      <c r="H475" s="139">
        <f t="shared" si="101"/>
        <v>5873</v>
      </c>
      <c r="I475" s="139">
        <f t="shared" si="101"/>
        <v>6003</v>
      </c>
      <c r="J475" s="135"/>
      <c r="K475" s="204">
        <v>3.0478000000000001</v>
      </c>
      <c r="L475" s="163" t="s">
        <v>112</v>
      </c>
      <c r="M475" s="139">
        <f>ROUND($K475*D475/100,0)</f>
        <v>6176</v>
      </c>
    </row>
    <row r="476" spans="1:13" hidden="1">
      <c r="A476" s="136" t="s">
        <v>183</v>
      </c>
      <c r="C476" s="135">
        <v>103440</v>
      </c>
      <c r="D476" s="135">
        <f t="shared" si="102"/>
        <v>105734</v>
      </c>
      <c r="E476" s="135"/>
      <c r="F476" s="204">
        <v>5.1577000000000002</v>
      </c>
      <c r="G476" s="163" t="s">
        <v>112</v>
      </c>
      <c r="H476" s="139">
        <f t="shared" si="101"/>
        <v>5335</v>
      </c>
      <c r="I476" s="139">
        <f t="shared" si="101"/>
        <v>5453</v>
      </c>
      <c r="J476" s="135"/>
      <c r="K476" s="204">
        <v>5.3064</v>
      </c>
      <c r="L476" s="163" t="s">
        <v>112</v>
      </c>
      <c r="M476" s="139">
        <f>ROUND($K476*D476/100,0)</f>
        <v>5611</v>
      </c>
    </row>
    <row r="477" spans="1:13" hidden="1">
      <c r="A477" s="136" t="s">
        <v>185</v>
      </c>
      <c r="C477" s="135">
        <v>383600</v>
      </c>
      <c r="D477" s="135">
        <f t="shared" si="102"/>
        <v>392106</v>
      </c>
      <c r="E477" s="135"/>
      <c r="F477" s="204">
        <v>2.6215999999999999</v>
      </c>
      <c r="G477" s="163" t="s">
        <v>112</v>
      </c>
      <c r="H477" s="139">
        <f t="shared" si="101"/>
        <v>10056</v>
      </c>
      <c r="I477" s="139">
        <f t="shared" si="101"/>
        <v>10279</v>
      </c>
      <c r="J477" s="135"/>
      <c r="K477" s="204">
        <v>2.6972</v>
      </c>
      <c r="L477" s="163" t="s">
        <v>112</v>
      </c>
      <c r="M477" s="139">
        <f>ROUND($K477*D477/100,0)</f>
        <v>10576</v>
      </c>
    </row>
    <row r="478" spans="1:13" hidden="1">
      <c r="A478" s="136" t="s">
        <v>150</v>
      </c>
      <c r="C478" s="135">
        <v>0</v>
      </c>
      <c r="D478" s="135">
        <f t="shared" si="100"/>
        <v>0</v>
      </c>
      <c r="E478" s="135"/>
      <c r="F478" s="138">
        <v>-1.1299999999999999</v>
      </c>
      <c r="G478" s="138"/>
      <c r="H478" s="139">
        <f>ROUND($F478*C478,0)</f>
        <v>0</v>
      </c>
      <c r="I478" s="139">
        <f>ROUND($F478*D478,0)</f>
        <v>0</v>
      </c>
      <c r="J478" s="135"/>
      <c r="K478" s="138">
        <v>-1.1299999999999999</v>
      </c>
      <c r="L478" s="138"/>
      <c r="M478" s="139">
        <f>ROUND($K478*D478,0)</f>
        <v>0</v>
      </c>
    </row>
    <row r="479" spans="1:13" hidden="1">
      <c r="A479" s="172" t="s">
        <v>125</v>
      </c>
      <c r="B479" s="173"/>
      <c r="C479" s="135">
        <v>2083</v>
      </c>
      <c r="D479" s="135"/>
      <c r="E479" s="135"/>
      <c r="F479" s="174"/>
      <c r="G479" s="13"/>
      <c r="H479" s="139">
        <v>176</v>
      </c>
      <c r="I479" s="139"/>
      <c r="J479" s="135"/>
      <c r="K479" s="174"/>
      <c r="L479" s="13"/>
      <c r="M479" s="139"/>
    </row>
    <row r="480" spans="1:13" ht="16.5" hidden="1" thickBot="1">
      <c r="A480" s="176" t="s">
        <v>127</v>
      </c>
      <c r="B480" s="177"/>
      <c r="C480" s="178">
        <f>SUM(C474:C477,C479)</f>
        <v>741683</v>
      </c>
      <c r="D480" s="178">
        <v>756000</v>
      </c>
      <c r="E480" s="178"/>
      <c r="F480" s="177"/>
      <c r="G480" s="177"/>
      <c r="H480" s="179">
        <f>SUM(H469:H479)</f>
        <v>52754</v>
      </c>
      <c r="I480" s="179">
        <f>SUM(I469:I479)</f>
        <v>53649</v>
      </c>
      <c r="J480" s="178"/>
      <c r="K480" s="177"/>
      <c r="L480" s="177"/>
      <c r="M480" s="179">
        <f>SUM(M469:M479)</f>
        <v>55194</v>
      </c>
    </row>
    <row r="481" spans="1:13" hidden="1"/>
    <row r="482" spans="1:13">
      <c r="A482" s="133" t="s">
        <v>471</v>
      </c>
    </row>
    <row r="483" spans="1:13">
      <c r="A483" s="136" t="s">
        <v>143</v>
      </c>
      <c r="C483" s="135">
        <v>185.16661971830999</v>
      </c>
      <c r="D483" s="135">
        <v>168</v>
      </c>
      <c r="E483" s="135"/>
      <c r="F483" s="138">
        <v>71</v>
      </c>
      <c r="G483" s="138"/>
      <c r="H483" s="139">
        <f t="shared" ref="H483:I487" si="103">ROUND($F483*C483,0)</f>
        <v>13147</v>
      </c>
      <c r="I483" s="139">
        <f t="shared" si="103"/>
        <v>11928</v>
      </c>
      <c r="J483" s="135"/>
      <c r="K483" s="138">
        <v>73</v>
      </c>
      <c r="L483" s="138"/>
      <c r="M483" s="139">
        <f>ROUND($K483*D483,0)</f>
        <v>12264</v>
      </c>
    </row>
    <row r="484" spans="1:13">
      <c r="A484" s="136" t="s">
        <v>109</v>
      </c>
      <c r="C484" s="135">
        <v>71</v>
      </c>
      <c r="D484" s="135">
        <v>116.77566030588683</v>
      </c>
      <c r="E484" s="135"/>
      <c r="F484" s="138">
        <v>-0.5</v>
      </c>
      <c r="G484" s="138"/>
      <c r="H484" s="139">
        <f t="shared" si="103"/>
        <v>-36</v>
      </c>
      <c r="I484" s="139">
        <f t="shared" si="103"/>
        <v>-58</v>
      </c>
      <c r="J484" s="135"/>
      <c r="K484" s="138">
        <v>-0.5</v>
      </c>
      <c r="L484" s="138"/>
      <c r="M484" s="139">
        <f>ROUND($K484*D484,0)</f>
        <v>-58</v>
      </c>
    </row>
    <row r="485" spans="1:13">
      <c r="A485" s="136" t="s">
        <v>144</v>
      </c>
      <c r="C485" s="135">
        <v>182962.19750519699</v>
      </c>
      <c r="D485" s="135">
        <f t="shared" ref="D485:D492" si="104">ROUND($C485*D$494/$C$494,0)</f>
        <v>174942</v>
      </c>
      <c r="E485" s="135"/>
      <c r="F485" s="138">
        <v>4.8099999999999996</v>
      </c>
      <c r="G485" s="138"/>
      <c r="H485" s="139">
        <f t="shared" si="103"/>
        <v>880048</v>
      </c>
      <c r="I485" s="139">
        <f t="shared" si="103"/>
        <v>841471</v>
      </c>
      <c r="J485" s="135"/>
      <c r="K485" s="138">
        <v>4.95</v>
      </c>
      <c r="L485" s="138"/>
      <c r="M485" s="139">
        <f>ROUND($K485*D485,0)</f>
        <v>865963</v>
      </c>
    </row>
    <row r="486" spans="1:13">
      <c r="A486" s="136" t="s">
        <v>180</v>
      </c>
      <c r="C486" s="135">
        <v>61963.671964399196</v>
      </c>
      <c r="D486" s="135">
        <f t="shared" si="104"/>
        <v>59248</v>
      </c>
      <c r="E486" s="135"/>
      <c r="F486" s="138">
        <v>15.73</v>
      </c>
      <c r="G486" s="138"/>
      <c r="H486" s="139">
        <f t="shared" si="103"/>
        <v>974689</v>
      </c>
      <c r="I486" s="139">
        <f t="shared" si="103"/>
        <v>931971</v>
      </c>
      <c r="J486" s="135"/>
      <c r="K486" s="138">
        <v>16.18</v>
      </c>
      <c r="L486" s="138"/>
      <c r="M486" s="139">
        <f>ROUND($K486*D486,0)</f>
        <v>958633</v>
      </c>
    </row>
    <row r="487" spans="1:13">
      <c r="A487" s="136" t="s">
        <v>181</v>
      </c>
      <c r="C487" s="135">
        <v>110273.32902298799</v>
      </c>
      <c r="D487" s="135">
        <f t="shared" si="104"/>
        <v>105440</v>
      </c>
      <c r="E487" s="135"/>
      <c r="F487" s="138">
        <v>13.92</v>
      </c>
      <c r="G487" s="138"/>
      <c r="H487" s="139">
        <f t="shared" si="103"/>
        <v>1535005</v>
      </c>
      <c r="I487" s="139">
        <f t="shared" si="103"/>
        <v>1467725</v>
      </c>
      <c r="J487" s="135"/>
      <c r="K487" s="138">
        <v>14.32</v>
      </c>
      <c r="L487" s="138"/>
      <c r="M487" s="139">
        <f>ROUND($K487*D487,0)</f>
        <v>1509901</v>
      </c>
    </row>
    <row r="488" spans="1:13">
      <c r="A488" s="136" t="s">
        <v>111</v>
      </c>
      <c r="C488" s="135">
        <v>5909249</v>
      </c>
      <c r="D488" s="135">
        <f>ROUND($C488*D$494/($C$494-$C$493),0)</f>
        <v>5693310</v>
      </c>
      <c r="E488" s="135"/>
      <c r="F488" s="204">
        <v>5.8281999999999998</v>
      </c>
      <c r="G488" s="163" t="s">
        <v>112</v>
      </c>
      <c r="H488" s="139">
        <f t="shared" ref="H488:I491" si="105">ROUND($F488*C488/100,0)</f>
        <v>344403</v>
      </c>
      <c r="I488" s="139">
        <f t="shared" si="105"/>
        <v>331817</v>
      </c>
      <c r="J488" s="135"/>
      <c r="K488" s="204">
        <v>5.9962999999999997</v>
      </c>
      <c r="L488" s="163" t="s">
        <v>112</v>
      </c>
      <c r="M488" s="139">
        <f>ROUND($K488*D488/100,0)</f>
        <v>341388</v>
      </c>
    </row>
    <row r="489" spans="1:13">
      <c r="A489" s="136" t="s">
        <v>114</v>
      </c>
      <c r="C489" s="135">
        <v>20432968</v>
      </c>
      <c r="D489" s="135">
        <f t="shared" ref="D489:D491" si="106">ROUND($C489*D$494/($C$494-$C$493),0)</f>
        <v>19686295</v>
      </c>
      <c r="E489" s="135"/>
      <c r="F489" s="204">
        <v>2.9624000000000001</v>
      </c>
      <c r="G489" s="163" t="s">
        <v>112</v>
      </c>
      <c r="H489" s="139">
        <f t="shared" si="105"/>
        <v>605306</v>
      </c>
      <c r="I489" s="139">
        <f t="shared" si="105"/>
        <v>583187</v>
      </c>
      <c r="J489" s="135"/>
      <c r="K489" s="204">
        <v>3.0478000000000001</v>
      </c>
      <c r="L489" s="163" t="s">
        <v>112</v>
      </c>
      <c r="M489" s="139">
        <f>ROUND($K489*D489/100,0)</f>
        <v>599999</v>
      </c>
    </row>
    <row r="490" spans="1:13">
      <c r="A490" s="136" t="s">
        <v>183</v>
      </c>
      <c r="C490" s="135">
        <v>11023699</v>
      </c>
      <c r="D490" s="135">
        <f t="shared" si="106"/>
        <v>10620865</v>
      </c>
      <c r="E490" s="135"/>
      <c r="F490" s="204">
        <v>5.1577000000000002</v>
      </c>
      <c r="G490" s="163" t="s">
        <v>112</v>
      </c>
      <c r="H490" s="139">
        <f t="shared" si="105"/>
        <v>568569</v>
      </c>
      <c r="I490" s="139">
        <f t="shared" si="105"/>
        <v>547792</v>
      </c>
      <c r="J490" s="135"/>
      <c r="K490" s="204">
        <v>5.3064</v>
      </c>
      <c r="L490" s="163" t="s">
        <v>112</v>
      </c>
      <c r="M490" s="139">
        <f>ROUND($K490*D490/100,0)</f>
        <v>563586</v>
      </c>
    </row>
    <row r="491" spans="1:13">
      <c r="A491" s="136" t="s">
        <v>185</v>
      </c>
      <c r="C491" s="135">
        <v>37807624</v>
      </c>
      <c r="D491" s="135">
        <f t="shared" si="106"/>
        <v>36426036</v>
      </c>
      <c r="E491" s="135"/>
      <c r="F491" s="204">
        <v>2.6215999999999999</v>
      </c>
      <c r="G491" s="163" t="s">
        <v>112</v>
      </c>
      <c r="H491" s="139">
        <f t="shared" si="105"/>
        <v>991165</v>
      </c>
      <c r="I491" s="139">
        <f t="shared" si="105"/>
        <v>954945</v>
      </c>
      <c r="J491" s="135"/>
      <c r="K491" s="204">
        <v>2.6972</v>
      </c>
      <c r="L491" s="163" t="s">
        <v>112</v>
      </c>
      <c r="M491" s="139">
        <f>ROUND($K491*D491/100,0)</f>
        <v>982483</v>
      </c>
    </row>
    <row r="492" spans="1:13">
      <c r="A492" s="136" t="s">
        <v>150</v>
      </c>
      <c r="C492" s="135">
        <v>62727</v>
      </c>
      <c r="D492" s="135">
        <f t="shared" si="104"/>
        <v>59977</v>
      </c>
      <c r="E492" s="135"/>
      <c r="F492" s="138">
        <v>-1.1299999999999999</v>
      </c>
      <c r="G492" s="138"/>
      <c r="H492" s="139">
        <f>ROUND($F492*C492,0)</f>
        <v>-70882</v>
      </c>
      <c r="I492" s="139">
        <f>ROUND($F492*D492,0)</f>
        <v>-67774</v>
      </c>
      <c r="J492" s="135"/>
      <c r="K492" s="138">
        <v>-1.1299999999999999</v>
      </c>
      <c r="L492" s="138"/>
      <c r="M492" s="139">
        <f>ROUND($K492*D492,0)</f>
        <v>-67774</v>
      </c>
    </row>
    <row r="493" spans="1:13">
      <c r="A493" s="172" t="s">
        <v>125</v>
      </c>
      <c r="B493" s="173"/>
      <c r="C493" s="135">
        <v>573217</v>
      </c>
      <c r="D493" s="135"/>
      <c r="E493" s="135"/>
      <c r="F493" s="174"/>
      <c r="G493" s="13"/>
      <c r="H493" s="139">
        <v>44274</v>
      </c>
      <c r="I493" s="139"/>
      <c r="J493" s="135"/>
      <c r="K493" s="174"/>
      <c r="L493" s="13"/>
      <c r="M493" s="139"/>
    </row>
    <row r="494" spans="1:13" ht="16.5" thickBot="1">
      <c r="A494" s="176" t="s">
        <v>127</v>
      </c>
      <c r="B494" s="177"/>
      <c r="C494" s="178">
        <f>SUM(C488:C491,C493)</f>
        <v>75746757</v>
      </c>
      <c r="D494" s="178">
        <v>72426505</v>
      </c>
      <c r="E494" s="178"/>
      <c r="F494" s="177"/>
      <c r="G494" s="177"/>
      <c r="H494" s="179">
        <f>SUM(H483:H493)</f>
        <v>5885688</v>
      </c>
      <c r="I494" s="179">
        <f>SUM(I483:I493)</f>
        <v>5603004</v>
      </c>
      <c r="J494" s="178"/>
      <c r="K494" s="177"/>
      <c r="L494" s="177"/>
      <c r="M494" s="179">
        <f>SUM(M483:M493)</f>
        <v>5766385</v>
      </c>
    </row>
    <row r="495" spans="1:13" ht="16.5" thickTop="1">
      <c r="A495" s="206"/>
      <c r="B495" s="206"/>
      <c r="C495" s="206"/>
      <c r="D495" s="206"/>
      <c r="E495" s="206"/>
      <c r="F495" s="206"/>
      <c r="G495" s="206"/>
      <c r="H495" s="206"/>
      <c r="I495" s="206"/>
      <c r="J495" s="206"/>
      <c r="K495" s="206"/>
      <c r="L495" s="206"/>
      <c r="M495" s="206"/>
    </row>
    <row r="496" spans="1:13">
      <c r="A496" s="133" t="s">
        <v>189</v>
      </c>
      <c r="C496" s="135"/>
      <c r="D496" s="135"/>
      <c r="E496" s="135"/>
      <c r="J496" s="135"/>
    </row>
    <row r="497" spans="1:13">
      <c r="A497" s="136" t="s">
        <v>143</v>
      </c>
      <c r="C497" s="135">
        <f>C511+C525</f>
        <v>1924.5112406015069</v>
      </c>
      <c r="D497" s="135">
        <f>D511+D525</f>
        <v>1971</v>
      </c>
      <c r="E497" s="135"/>
      <c r="F497" s="138">
        <v>266</v>
      </c>
      <c r="G497" s="138"/>
      <c r="H497" s="139">
        <f t="shared" ref="H497:I502" si="107">ROUND($F497*C497,0)</f>
        <v>511920</v>
      </c>
      <c r="I497" s="139">
        <f t="shared" si="107"/>
        <v>524286</v>
      </c>
      <c r="J497" s="135"/>
      <c r="K497" s="138">
        <v>399</v>
      </c>
      <c r="L497" s="138"/>
      <c r="M497" s="139">
        <f t="shared" ref="M497:M502" si="108">ROUND($K497*D497,0)</f>
        <v>786429</v>
      </c>
    </row>
    <row r="498" spans="1:13">
      <c r="A498" s="136" t="s">
        <v>109</v>
      </c>
      <c r="C498" s="135">
        <f t="shared" ref="C498:D508" si="109">C512+C526</f>
        <v>1100.3600000000001</v>
      </c>
      <c r="D498" s="135">
        <f t="shared" si="109"/>
        <v>1370.0287289458508</v>
      </c>
      <c r="E498" s="135"/>
      <c r="F498" s="138">
        <v>-0.5</v>
      </c>
      <c r="G498" s="138"/>
      <c r="H498" s="139">
        <f t="shared" si="107"/>
        <v>-550</v>
      </c>
      <c r="I498" s="139">
        <f t="shared" si="107"/>
        <v>-685</v>
      </c>
      <c r="J498" s="135"/>
      <c r="K498" s="138">
        <v>-0.5</v>
      </c>
      <c r="L498" s="138"/>
      <c r="M498" s="139">
        <f t="shared" si="108"/>
        <v>-685</v>
      </c>
    </row>
    <row r="499" spans="1:13">
      <c r="A499" s="136" t="s">
        <v>191</v>
      </c>
      <c r="C499" s="135">
        <f t="shared" si="109"/>
        <v>96</v>
      </c>
      <c r="D499" s="135">
        <f t="shared" si="109"/>
        <v>96</v>
      </c>
      <c r="E499" s="135"/>
      <c r="F499" s="138">
        <v>-150</v>
      </c>
      <c r="G499" s="138"/>
      <c r="H499" s="139">
        <f t="shared" si="107"/>
        <v>-14400</v>
      </c>
      <c r="I499" s="139">
        <f t="shared" si="107"/>
        <v>-14400</v>
      </c>
      <c r="J499" s="135"/>
      <c r="K499" s="138">
        <v>-150</v>
      </c>
      <c r="L499" s="138"/>
      <c r="M499" s="139">
        <f t="shared" si="108"/>
        <v>-14400</v>
      </c>
    </row>
    <row r="500" spans="1:13">
      <c r="A500" s="136" t="s">
        <v>144</v>
      </c>
      <c r="C500" s="135">
        <f t="shared" si="109"/>
        <v>8308196.10087719</v>
      </c>
      <c r="D500" s="135">
        <f t="shared" si="109"/>
        <v>9024652</v>
      </c>
      <c r="E500" s="135"/>
      <c r="F500" s="138">
        <v>2.2799999999999998</v>
      </c>
      <c r="G500" s="138"/>
      <c r="H500" s="139">
        <f t="shared" si="107"/>
        <v>18942687</v>
      </c>
      <c r="I500" s="139">
        <f t="shared" si="107"/>
        <v>20576207</v>
      </c>
      <c r="J500" s="135"/>
      <c r="K500" s="138">
        <v>2.37</v>
      </c>
      <c r="L500" s="138"/>
      <c r="M500" s="139">
        <f t="shared" si="108"/>
        <v>21388425</v>
      </c>
    </row>
    <row r="501" spans="1:13">
      <c r="A501" s="136" t="s">
        <v>180</v>
      </c>
      <c r="C501" s="135">
        <f t="shared" si="109"/>
        <v>2686882.441730632</v>
      </c>
      <c r="D501" s="135">
        <f t="shared" si="109"/>
        <v>2920309</v>
      </c>
      <c r="E501" s="135"/>
      <c r="F501" s="138">
        <v>14.33</v>
      </c>
      <c r="G501" s="138"/>
      <c r="H501" s="139">
        <f t="shared" si="107"/>
        <v>38503025</v>
      </c>
      <c r="I501" s="139">
        <f t="shared" si="107"/>
        <v>41848028</v>
      </c>
      <c r="J501" s="135"/>
      <c r="K501" s="138">
        <v>14.87</v>
      </c>
      <c r="L501" s="138"/>
      <c r="M501" s="139">
        <f t="shared" si="108"/>
        <v>43424995</v>
      </c>
    </row>
    <row r="502" spans="1:13">
      <c r="A502" s="136" t="s">
        <v>181</v>
      </c>
      <c r="C502" s="135">
        <f t="shared" si="109"/>
        <v>5246261.2326498497</v>
      </c>
      <c r="D502" s="135">
        <f t="shared" si="109"/>
        <v>5697768</v>
      </c>
      <c r="E502" s="135"/>
      <c r="F502" s="138">
        <v>12.68</v>
      </c>
      <c r="G502" s="138"/>
      <c r="H502" s="139">
        <f t="shared" si="107"/>
        <v>66522592</v>
      </c>
      <c r="I502" s="139">
        <f t="shared" si="107"/>
        <v>72247698</v>
      </c>
      <c r="J502" s="135"/>
      <c r="K502" s="138">
        <v>13.16</v>
      </c>
      <c r="L502" s="138"/>
      <c r="M502" s="139">
        <f t="shared" si="108"/>
        <v>74982627</v>
      </c>
    </row>
    <row r="503" spans="1:13">
      <c r="A503" s="136" t="s">
        <v>111</v>
      </c>
      <c r="C503" s="135">
        <f t="shared" si="109"/>
        <v>321453510</v>
      </c>
      <c r="D503" s="135">
        <f t="shared" si="109"/>
        <v>349878336</v>
      </c>
      <c r="E503" s="135"/>
      <c r="F503" s="208">
        <v>5.1477000000000004</v>
      </c>
      <c r="G503" s="163" t="s">
        <v>112</v>
      </c>
      <c r="H503" s="139">
        <f t="shared" ref="H503:I506" si="110">ROUND($F503*C503/100,0)</f>
        <v>16547462</v>
      </c>
      <c r="I503" s="139">
        <f t="shared" si="110"/>
        <v>18010687</v>
      </c>
      <c r="J503" s="135"/>
      <c r="K503" s="209">
        <v>5.3414000000000001</v>
      </c>
      <c r="L503" s="163" t="s">
        <v>112</v>
      </c>
      <c r="M503" s="139">
        <f>ROUND($K503*D503/100,0)</f>
        <v>18688401</v>
      </c>
    </row>
    <row r="504" spans="1:13">
      <c r="A504" s="136" t="s">
        <v>114</v>
      </c>
      <c r="C504" s="135">
        <f t="shared" si="109"/>
        <v>1257182680</v>
      </c>
      <c r="D504" s="135">
        <f t="shared" si="109"/>
        <v>1367431769</v>
      </c>
      <c r="E504" s="135"/>
      <c r="F504" s="208">
        <v>2.6164999999999998</v>
      </c>
      <c r="G504" s="163" t="s">
        <v>112</v>
      </c>
      <c r="H504" s="139">
        <f t="shared" si="110"/>
        <v>32894185</v>
      </c>
      <c r="I504" s="139">
        <f t="shared" si="110"/>
        <v>35778852</v>
      </c>
      <c r="J504" s="135"/>
      <c r="K504" s="209">
        <v>2.7149000000000001</v>
      </c>
      <c r="L504" s="163" t="s">
        <v>112</v>
      </c>
      <c r="M504" s="139">
        <f>ROUND($K504*D504/100,0)</f>
        <v>37124405</v>
      </c>
    </row>
    <row r="505" spans="1:13">
      <c r="A505" s="136" t="s">
        <v>183</v>
      </c>
      <c r="C505" s="135">
        <f t="shared" si="109"/>
        <v>630314641</v>
      </c>
      <c r="D505" s="135">
        <f t="shared" si="109"/>
        <v>685783120</v>
      </c>
      <c r="E505" s="135"/>
      <c r="F505" s="208">
        <v>4.5555000000000003</v>
      </c>
      <c r="G505" s="163" t="s">
        <v>112</v>
      </c>
      <c r="H505" s="139">
        <f t="shared" si="110"/>
        <v>28713983</v>
      </c>
      <c r="I505" s="139">
        <f t="shared" si="110"/>
        <v>31240850</v>
      </c>
      <c r="J505" s="135"/>
      <c r="K505" s="209">
        <v>4.7268999999999997</v>
      </c>
      <c r="L505" s="163" t="s">
        <v>112</v>
      </c>
      <c r="M505" s="139">
        <f>ROUND($K505*D505/100,0)</f>
        <v>32416282</v>
      </c>
    </row>
    <row r="506" spans="1:13">
      <c r="A506" s="136" t="s">
        <v>185</v>
      </c>
      <c r="C506" s="135">
        <f t="shared" si="109"/>
        <v>2443300051</v>
      </c>
      <c r="D506" s="135">
        <f t="shared" si="109"/>
        <v>2657431148</v>
      </c>
      <c r="E506" s="135"/>
      <c r="F506" s="209">
        <v>2.3155000000000001</v>
      </c>
      <c r="G506" s="163" t="s">
        <v>112</v>
      </c>
      <c r="H506" s="139">
        <f t="shared" si="110"/>
        <v>56574613</v>
      </c>
      <c r="I506" s="139">
        <f t="shared" si="110"/>
        <v>61532818</v>
      </c>
      <c r="J506" s="135"/>
      <c r="K506" s="209">
        <v>2.4026000000000001</v>
      </c>
      <c r="L506" s="163" t="s">
        <v>112</v>
      </c>
      <c r="M506" s="139">
        <f>ROUND($K506*D506/100,0)</f>
        <v>63847441</v>
      </c>
    </row>
    <row r="507" spans="1:13">
      <c r="A507" s="172" t="s">
        <v>125</v>
      </c>
      <c r="B507" s="173"/>
      <c r="C507" s="135">
        <f t="shared" si="109"/>
        <v>9779848</v>
      </c>
      <c r="D507" s="135"/>
      <c r="E507" s="135"/>
      <c r="F507" s="174"/>
      <c r="G507" s="13"/>
      <c r="H507" s="139">
        <f>H521+H535</f>
        <v>941225</v>
      </c>
      <c r="I507" s="139"/>
      <c r="J507" s="135"/>
      <c r="K507" s="174"/>
      <c r="L507" s="13"/>
      <c r="M507" s="139"/>
    </row>
    <row r="508" spans="1:13" ht="16.5" thickBot="1">
      <c r="A508" s="176" t="s">
        <v>127</v>
      </c>
      <c r="B508" s="177"/>
      <c r="C508" s="178">
        <f t="shared" si="109"/>
        <v>4662030730</v>
      </c>
      <c r="D508" s="178">
        <f t="shared" si="109"/>
        <v>5060524373.6956453</v>
      </c>
      <c r="E508" s="178"/>
      <c r="F508" s="177"/>
      <c r="G508" s="177"/>
      <c r="H508" s="179">
        <f>SUM(H497:H507)</f>
        <v>260136742</v>
      </c>
      <c r="I508" s="179">
        <f>SUM(I497:I507)</f>
        <v>281744341</v>
      </c>
      <c r="J508" s="178"/>
      <c r="K508" s="177"/>
      <c r="L508" s="177"/>
      <c r="M508" s="179">
        <f>SUM(M497:M507)</f>
        <v>292643920</v>
      </c>
    </row>
    <row r="509" spans="1:13" ht="16.5" thickTop="1">
      <c r="C509" s="135"/>
      <c r="D509" s="135"/>
      <c r="E509" s="135"/>
      <c r="J509" s="135"/>
    </row>
    <row r="510" spans="1:13" hidden="1">
      <c r="A510" s="133" t="s">
        <v>472</v>
      </c>
      <c r="C510" s="135"/>
      <c r="D510" s="135"/>
      <c r="E510" s="135"/>
      <c r="J510" s="135"/>
    </row>
    <row r="511" spans="1:13" hidden="1">
      <c r="A511" s="136" t="s">
        <v>143</v>
      </c>
      <c r="C511" s="135">
        <v>644.33338345864695</v>
      </c>
      <c r="D511" s="135">
        <v>639</v>
      </c>
      <c r="E511" s="135"/>
      <c r="F511" s="190">
        <v>266</v>
      </c>
      <c r="G511" s="190"/>
      <c r="H511" s="139">
        <f t="shared" ref="H511:I516" si="111">ROUND($F511*C511,0)</f>
        <v>171393</v>
      </c>
      <c r="I511" s="139">
        <f t="shared" si="111"/>
        <v>169974</v>
      </c>
      <c r="J511" s="135"/>
      <c r="K511" s="190">
        <v>399</v>
      </c>
      <c r="L511" s="190"/>
      <c r="M511" s="139">
        <f t="shared" ref="M511:M516" si="112">ROUND($K511*D511,0)</f>
        <v>254961</v>
      </c>
    </row>
    <row r="512" spans="1:13" hidden="1">
      <c r="A512" s="136" t="s">
        <v>109</v>
      </c>
      <c r="C512" s="135">
        <v>357</v>
      </c>
      <c r="D512" s="135">
        <v>444.16456509203385</v>
      </c>
      <c r="E512" s="135"/>
      <c r="F512" s="138">
        <v>-0.5</v>
      </c>
      <c r="G512" s="138"/>
      <c r="H512" s="139">
        <f t="shared" si="111"/>
        <v>-179</v>
      </c>
      <c r="I512" s="139">
        <f t="shared" si="111"/>
        <v>-222</v>
      </c>
      <c r="J512" s="135"/>
      <c r="K512" s="138">
        <v>-0.5</v>
      </c>
      <c r="L512" s="138"/>
      <c r="M512" s="139">
        <f t="shared" si="112"/>
        <v>-222</v>
      </c>
    </row>
    <row r="513" spans="1:13" hidden="1">
      <c r="A513" s="136" t="s">
        <v>191</v>
      </c>
      <c r="C513" s="135">
        <v>0</v>
      </c>
      <c r="D513" s="135">
        <f>$C513</f>
        <v>0</v>
      </c>
      <c r="E513" s="135"/>
      <c r="F513" s="138">
        <v>-150</v>
      </c>
      <c r="G513" s="138"/>
      <c r="H513" s="139">
        <f t="shared" si="111"/>
        <v>0</v>
      </c>
      <c r="I513" s="139">
        <f t="shared" si="111"/>
        <v>0</v>
      </c>
      <c r="J513" s="135"/>
      <c r="K513" s="138">
        <v>-150</v>
      </c>
      <c r="L513" s="138"/>
      <c r="M513" s="139">
        <f t="shared" si="112"/>
        <v>0</v>
      </c>
    </row>
    <row r="514" spans="1:13" hidden="1">
      <c r="A514" s="136" t="s">
        <v>144</v>
      </c>
      <c r="C514" s="135">
        <v>2170537.1973684202</v>
      </c>
      <c r="D514" s="135">
        <f t="shared" ref="D514:D516" si="113">ROUND($C514*D$522/$C$522,0)</f>
        <v>2512471</v>
      </c>
      <c r="E514" s="135"/>
      <c r="F514" s="190">
        <v>2.2799999999999998</v>
      </c>
      <c r="G514" s="190"/>
      <c r="H514" s="139">
        <f t="shared" si="111"/>
        <v>4948825</v>
      </c>
      <c r="I514" s="139">
        <f t="shared" si="111"/>
        <v>5728434</v>
      </c>
      <c r="J514" s="135"/>
      <c r="K514" s="190">
        <v>2.37</v>
      </c>
      <c r="L514" s="190"/>
      <c r="M514" s="139">
        <f t="shared" si="112"/>
        <v>5954556</v>
      </c>
    </row>
    <row r="515" spans="1:13" hidden="1">
      <c r="A515" s="136" t="s">
        <v>180</v>
      </c>
      <c r="C515" s="135">
        <v>719806.49755757197</v>
      </c>
      <c r="D515" s="135">
        <f t="shared" si="113"/>
        <v>833201</v>
      </c>
      <c r="E515" s="135"/>
      <c r="F515" s="190">
        <v>14.33</v>
      </c>
      <c r="G515" s="190"/>
      <c r="H515" s="139">
        <f t="shared" si="111"/>
        <v>10314827</v>
      </c>
      <c r="I515" s="139">
        <f t="shared" si="111"/>
        <v>11939770</v>
      </c>
      <c r="J515" s="135"/>
      <c r="K515" s="190">
        <v>14.87</v>
      </c>
      <c r="L515" s="190"/>
      <c r="M515" s="139">
        <f t="shared" si="112"/>
        <v>12389699</v>
      </c>
    </row>
    <row r="516" spans="1:13" hidden="1">
      <c r="A516" s="136" t="s">
        <v>181</v>
      </c>
      <c r="C516" s="135">
        <v>1361236.2042586801</v>
      </c>
      <c r="D516" s="135">
        <f t="shared" si="113"/>
        <v>1575678</v>
      </c>
      <c r="E516" s="135"/>
      <c r="F516" s="190">
        <v>12.68</v>
      </c>
      <c r="G516" s="190"/>
      <c r="H516" s="139">
        <f t="shared" si="111"/>
        <v>17260475</v>
      </c>
      <c r="I516" s="139">
        <f t="shared" si="111"/>
        <v>19979597</v>
      </c>
      <c r="J516" s="135"/>
      <c r="K516" s="190">
        <v>13.16</v>
      </c>
      <c r="L516" s="190"/>
      <c r="M516" s="139">
        <f t="shared" si="112"/>
        <v>20735922</v>
      </c>
    </row>
    <row r="517" spans="1:13" hidden="1">
      <c r="A517" s="136" t="s">
        <v>111</v>
      </c>
      <c r="C517" s="135">
        <v>83050407</v>
      </c>
      <c r="D517" s="135">
        <f>ROUND($C517*D$522/($C$522-$C$521),0)</f>
        <v>96866736</v>
      </c>
      <c r="E517" s="135"/>
      <c r="F517" s="198">
        <v>5.1477000000000004</v>
      </c>
      <c r="G517" s="163" t="s">
        <v>112</v>
      </c>
      <c r="H517" s="139">
        <f t="shared" ref="H517:I520" si="114">ROUND($F517*C517/100,0)</f>
        <v>4275186</v>
      </c>
      <c r="I517" s="139">
        <f t="shared" si="114"/>
        <v>4986409</v>
      </c>
      <c r="J517" s="135"/>
      <c r="K517" s="198">
        <v>5.3414000000000001</v>
      </c>
      <c r="L517" s="163" t="s">
        <v>112</v>
      </c>
      <c r="M517" s="139">
        <f>ROUND($K517*D517/100,0)</f>
        <v>5174040</v>
      </c>
    </row>
    <row r="518" spans="1:13" hidden="1">
      <c r="A518" s="136" t="s">
        <v>114</v>
      </c>
      <c r="C518" s="135">
        <v>316064211</v>
      </c>
      <c r="D518" s="135">
        <f t="shared" ref="D518:D520" si="115">ROUND($C518*D$522/($C$522-$C$521),0)</f>
        <v>368644895</v>
      </c>
      <c r="E518" s="135"/>
      <c r="F518" s="198">
        <v>2.6164999999999998</v>
      </c>
      <c r="G518" s="163" t="s">
        <v>112</v>
      </c>
      <c r="H518" s="139">
        <f t="shared" si="114"/>
        <v>8269820</v>
      </c>
      <c r="I518" s="139">
        <f t="shared" si="114"/>
        <v>9645594</v>
      </c>
      <c r="J518" s="135"/>
      <c r="K518" s="198">
        <v>2.7149000000000001</v>
      </c>
      <c r="L518" s="163" t="s">
        <v>112</v>
      </c>
      <c r="M518" s="139">
        <f>ROUND($K518*D518/100,0)</f>
        <v>10008340</v>
      </c>
    </row>
    <row r="519" spans="1:13" hidden="1">
      <c r="A519" s="136" t="s">
        <v>183</v>
      </c>
      <c r="C519" s="135">
        <v>160300155</v>
      </c>
      <c r="D519" s="135">
        <f t="shared" si="115"/>
        <v>186967812</v>
      </c>
      <c r="E519" s="135"/>
      <c r="F519" s="198">
        <v>4.5555000000000003</v>
      </c>
      <c r="G519" s="163" t="s">
        <v>112</v>
      </c>
      <c r="H519" s="139">
        <f t="shared" si="114"/>
        <v>7302474</v>
      </c>
      <c r="I519" s="139">
        <f t="shared" si="114"/>
        <v>8517319</v>
      </c>
      <c r="J519" s="135"/>
      <c r="K519" s="198">
        <v>4.7268999999999997</v>
      </c>
      <c r="L519" s="163" t="s">
        <v>112</v>
      </c>
      <c r="M519" s="139">
        <f>ROUND($K519*D519/100,0)</f>
        <v>8837782</v>
      </c>
    </row>
    <row r="520" spans="1:13" hidden="1">
      <c r="A520" s="136" t="s">
        <v>185</v>
      </c>
      <c r="C520" s="135">
        <v>612977587</v>
      </c>
      <c r="D520" s="135">
        <f t="shared" si="115"/>
        <v>714953008</v>
      </c>
      <c r="E520" s="135"/>
      <c r="F520" s="198">
        <v>2.3155000000000001</v>
      </c>
      <c r="G520" s="163" t="s">
        <v>112</v>
      </c>
      <c r="H520" s="139">
        <f t="shared" si="114"/>
        <v>14193496</v>
      </c>
      <c r="I520" s="139">
        <f t="shared" si="114"/>
        <v>16554737</v>
      </c>
      <c r="J520" s="135"/>
      <c r="K520" s="198">
        <v>2.4026000000000001</v>
      </c>
      <c r="L520" s="163" t="s">
        <v>112</v>
      </c>
      <c r="M520" s="139">
        <f>ROUND($K520*D520/100,0)</f>
        <v>17177461</v>
      </c>
    </row>
    <row r="521" spans="1:13" hidden="1">
      <c r="A521" s="172" t="s">
        <v>125</v>
      </c>
      <c r="B521" s="173"/>
      <c r="C521" s="135">
        <v>8939785</v>
      </c>
      <c r="D521" s="135"/>
      <c r="E521" s="135"/>
      <c r="F521" s="174"/>
      <c r="G521" s="13"/>
      <c r="H521" s="139">
        <v>505707</v>
      </c>
      <c r="I521" s="139"/>
      <c r="J521" s="135"/>
      <c r="K521" s="174"/>
      <c r="L521" s="13"/>
      <c r="M521" s="139"/>
    </row>
    <row r="522" spans="1:13" ht="16.5" hidden="1" thickBot="1">
      <c r="A522" s="176" t="s">
        <v>127</v>
      </c>
      <c r="B522" s="177"/>
      <c r="C522" s="178">
        <f>SUM(C517:C521)</f>
        <v>1181332145</v>
      </c>
      <c r="D522" s="178">
        <v>1367432450.784467</v>
      </c>
      <c r="E522" s="178"/>
      <c r="F522" s="177"/>
      <c r="G522" s="177"/>
      <c r="H522" s="179">
        <f>SUM(H511:H521)</f>
        <v>67242024</v>
      </c>
      <c r="I522" s="179">
        <f>SUM(I511:I521)</f>
        <v>77521612</v>
      </c>
      <c r="J522" s="178"/>
      <c r="K522" s="177"/>
      <c r="L522" s="177"/>
      <c r="M522" s="179">
        <f>SUM(M511:M521)</f>
        <v>80532539</v>
      </c>
    </row>
    <row r="523" spans="1:13" hidden="1">
      <c r="C523" s="135"/>
      <c r="D523" s="135"/>
      <c r="E523" s="135"/>
      <c r="J523" s="135"/>
    </row>
    <row r="524" spans="1:13" hidden="1">
      <c r="A524" s="133" t="s">
        <v>473</v>
      </c>
      <c r="C524" s="135"/>
      <c r="D524" s="135"/>
      <c r="E524" s="135"/>
      <c r="J524" s="135"/>
    </row>
    <row r="525" spans="1:13" hidden="1">
      <c r="A525" s="136" t="s">
        <v>143</v>
      </c>
      <c r="C525" s="135">
        <v>1280.1778571428599</v>
      </c>
      <c r="D525" s="135">
        <v>1332</v>
      </c>
      <c r="E525" s="135"/>
      <c r="F525" s="190">
        <v>266</v>
      </c>
      <c r="G525" s="190"/>
      <c r="H525" s="139">
        <f t="shared" ref="H525:I530" si="116">ROUND($F525*C525,0)</f>
        <v>340527</v>
      </c>
      <c r="I525" s="139">
        <f t="shared" si="116"/>
        <v>354312</v>
      </c>
      <c r="J525" s="135"/>
      <c r="K525" s="190">
        <v>399</v>
      </c>
      <c r="L525" s="190"/>
      <c r="M525" s="139">
        <f t="shared" ref="M525:M530" si="117">ROUND($K525*D525,0)</f>
        <v>531468</v>
      </c>
    </row>
    <row r="526" spans="1:13" hidden="1">
      <c r="A526" s="136" t="s">
        <v>109</v>
      </c>
      <c r="C526" s="135">
        <v>743.36</v>
      </c>
      <c r="D526" s="135">
        <v>925.86416385381699</v>
      </c>
      <c r="E526" s="135"/>
      <c r="F526" s="138">
        <v>-0.5</v>
      </c>
      <c r="G526" s="138"/>
      <c r="H526" s="139">
        <f t="shared" si="116"/>
        <v>-372</v>
      </c>
      <c r="I526" s="139">
        <f t="shared" si="116"/>
        <v>-463</v>
      </c>
      <c r="J526" s="135"/>
      <c r="K526" s="138">
        <v>-0.5</v>
      </c>
      <c r="L526" s="138"/>
      <c r="M526" s="139">
        <f t="shared" si="117"/>
        <v>-463</v>
      </c>
    </row>
    <row r="527" spans="1:13" hidden="1">
      <c r="A527" s="136" t="s">
        <v>191</v>
      </c>
      <c r="C527" s="135">
        <v>96</v>
      </c>
      <c r="D527" s="135">
        <f>$C527</f>
        <v>96</v>
      </c>
      <c r="E527" s="135"/>
      <c r="F527" s="138">
        <v>-150</v>
      </c>
      <c r="G527" s="138"/>
      <c r="H527" s="139">
        <f>ROUND($F527*C527,0)</f>
        <v>-14400</v>
      </c>
      <c r="I527" s="139">
        <f t="shared" si="116"/>
        <v>-14400</v>
      </c>
      <c r="J527" s="135"/>
      <c r="K527" s="138">
        <v>-150</v>
      </c>
      <c r="L527" s="138"/>
      <c r="M527" s="139">
        <f t="shared" si="117"/>
        <v>-14400</v>
      </c>
    </row>
    <row r="528" spans="1:13" hidden="1">
      <c r="A528" s="136" t="s">
        <v>144</v>
      </c>
      <c r="C528" s="135">
        <v>6137658.9035087703</v>
      </c>
      <c r="D528" s="135">
        <f t="shared" ref="D528:D530" si="118">ROUND($C528*D$536/$C$536,0)</f>
        <v>6512181</v>
      </c>
      <c r="E528" s="135"/>
      <c r="F528" s="190">
        <v>2.2799999999999998</v>
      </c>
      <c r="G528" s="190"/>
      <c r="H528" s="139">
        <f t="shared" si="116"/>
        <v>13993862</v>
      </c>
      <c r="I528" s="139">
        <f t="shared" si="116"/>
        <v>14847773</v>
      </c>
      <c r="J528" s="135"/>
      <c r="K528" s="190">
        <v>2.37</v>
      </c>
      <c r="L528" s="190"/>
      <c r="M528" s="139">
        <f t="shared" si="117"/>
        <v>15433869</v>
      </c>
    </row>
    <row r="529" spans="1:13" hidden="1">
      <c r="A529" s="136" t="s">
        <v>180</v>
      </c>
      <c r="C529" s="135">
        <v>1967075.9441730599</v>
      </c>
      <c r="D529" s="135">
        <f t="shared" si="118"/>
        <v>2087108</v>
      </c>
      <c r="E529" s="135"/>
      <c r="F529" s="190">
        <v>14.33</v>
      </c>
      <c r="G529" s="190"/>
      <c r="H529" s="139">
        <f t="shared" si="116"/>
        <v>28188198</v>
      </c>
      <c r="I529" s="139">
        <f t="shared" si="116"/>
        <v>29908258</v>
      </c>
      <c r="J529" s="135"/>
      <c r="K529" s="190">
        <v>14.87</v>
      </c>
      <c r="L529" s="190"/>
      <c r="M529" s="139">
        <f t="shared" si="117"/>
        <v>31035296</v>
      </c>
    </row>
    <row r="530" spans="1:13" hidden="1">
      <c r="A530" s="136" t="s">
        <v>181</v>
      </c>
      <c r="C530" s="135">
        <v>3885025.0283911698</v>
      </c>
      <c r="D530" s="135">
        <f t="shared" si="118"/>
        <v>4122090</v>
      </c>
      <c r="E530" s="135"/>
      <c r="F530" s="190">
        <v>12.68</v>
      </c>
      <c r="G530" s="190"/>
      <c r="H530" s="139">
        <f t="shared" si="116"/>
        <v>49262117</v>
      </c>
      <c r="I530" s="139">
        <f t="shared" si="116"/>
        <v>52268101</v>
      </c>
      <c r="J530" s="135"/>
      <c r="K530" s="190">
        <v>13.16</v>
      </c>
      <c r="L530" s="190"/>
      <c r="M530" s="139">
        <f t="shared" si="117"/>
        <v>54246704</v>
      </c>
    </row>
    <row r="531" spans="1:13" hidden="1">
      <c r="A531" s="136" t="s">
        <v>111</v>
      </c>
      <c r="C531" s="135">
        <v>238403103</v>
      </c>
      <c r="D531" s="135">
        <f>ROUND($C531*D$536/($C$536-$C$535),0)</f>
        <v>253011600</v>
      </c>
      <c r="E531" s="135"/>
      <c r="F531" s="198">
        <v>5.1477000000000004</v>
      </c>
      <c r="G531" s="163" t="s">
        <v>112</v>
      </c>
      <c r="H531" s="139">
        <f t="shared" ref="H531:I534" si="119">ROUND($F531*C531/100,0)</f>
        <v>12272277</v>
      </c>
      <c r="I531" s="139">
        <f t="shared" si="119"/>
        <v>13024278</v>
      </c>
      <c r="J531" s="135"/>
      <c r="K531" s="198">
        <v>5.3414000000000001</v>
      </c>
      <c r="L531" s="163" t="s">
        <v>112</v>
      </c>
      <c r="M531" s="139">
        <f>ROUND($K531*D531/100,0)</f>
        <v>13514362</v>
      </c>
    </row>
    <row r="532" spans="1:13" hidden="1">
      <c r="A532" s="136" t="s">
        <v>114</v>
      </c>
      <c r="C532" s="135">
        <v>941118469</v>
      </c>
      <c r="D532" s="135">
        <f t="shared" ref="D532:D534" si="120">ROUND($C532*D$536/($C$536-$C$535),0)</f>
        <v>998786874</v>
      </c>
      <c r="E532" s="135"/>
      <c r="F532" s="198">
        <v>2.6164999999999998</v>
      </c>
      <c r="G532" s="163" t="s">
        <v>112</v>
      </c>
      <c r="H532" s="139">
        <f t="shared" si="119"/>
        <v>24624365</v>
      </c>
      <c r="I532" s="139">
        <f t="shared" si="119"/>
        <v>26133259</v>
      </c>
      <c r="J532" s="135"/>
      <c r="K532" s="198">
        <v>2.7149000000000001</v>
      </c>
      <c r="L532" s="163" t="s">
        <v>112</v>
      </c>
      <c r="M532" s="139">
        <f>ROUND($K532*D532/100,0)</f>
        <v>27116065</v>
      </c>
    </row>
    <row r="533" spans="1:13" hidden="1">
      <c r="A533" s="136" t="s">
        <v>183</v>
      </c>
      <c r="C533" s="135">
        <v>470014486</v>
      </c>
      <c r="D533" s="135">
        <f t="shared" si="120"/>
        <v>498815308</v>
      </c>
      <c r="E533" s="135"/>
      <c r="F533" s="198">
        <v>4.5555000000000003</v>
      </c>
      <c r="G533" s="163" t="s">
        <v>112</v>
      </c>
      <c r="H533" s="139">
        <f t="shared" si="119"/>
        <v>21411510</v>
      </c>
      <c r="I533" s="139">
        <f t="shared" si="119"/>
        <v>22723531</v>
      </c>
      <c r="J533" s="135"/>
      <c r="K533" s="198">
        <v>4.7268999999999997</v>
      </c>
      <c r="L533" s="163" t="s">
        <v>112</v>
      </c>
      <c r="M533" s="139">
        <f>ROUND($K533*D533/100,0)</f>
        <v>23578501</v>
      </c>
    </row>
    <row r="534" spans="1:13" hidden="1">
      <c r="A534" s="136" t="s">
        <v>185</v>
      </c>
      <c r="C534" s="135">
        <v>1830322464</v>
      </c>
      <c r="D534" s="135">
        <f t="shared" si="120"/>
        <v>1942478140</v>
      </c>
      <c r="E534" s="135"/>
      <c r="F534" s="198">
        <v>2.3155000000000001</v>
      </c>
      <c r="G534" s="163" t="s">
        <v>112</v>
      </c>
      <c r="H534" s="139">
        <f t="shared" si="119"/>
        <v>42381117</v>
      </c>
      <c r="I534" s="139">
        <f t="shared" si="119"/>
        <v>44978081</v>
      </c>
      <c r="J534" s="135"/>
      <c r="K534" s="198">
        <v>2.4026000000000001</v>
      </c>
      <c r="L534" s="163" t="s">
        <v>112</v>
      </c>
      <c r="M534" s="139">
        <f>ROUND($K534*D534/100,0)</f>
        <v>46669980</v>
      </c>
    </row>
    <row r="535" spans="1:13" hidden="1">
      <c r="A535" s="172" t="s">
        <v>125</v>
      </c>
      <c r="B535" s="173"/>
      <c r="C535" s="135">
        <v>840063</v>
      </c>
      <c r="D535" s="135"/>
      <c r="E535" s="135"/>
      <c r="F535" s="174"/>
      <c r="G535" s="13"/>
      <c r="H535" s="139">
        <v>435518</v>
      </c>
      <c r="I535" s="139"/>
      <c r="J535" s="135"/>
      <c r="K535" s="174"/>
      <c r="L535" s="13"/>
      <c r="M535" s="139"/>
    </row>
    <row r="536" spans="1:13" ht="16.5" hidden="1" thickBot="1">
      <c r="A536" s="176" t="s">
        <v>127</v>
      </c>
      <c r="B536" s="177"/>
      <c r="C536" s="178">
        <f>SUM(C531:C535)</f>
        <v>3480698585</v>
      </c>
      <c r="D536" s="178">
        <v>3693091922.9111786</v>
      </c>
      <c r="E536" s="178"/>
      <c r="F536" s="177"/>
      <c r="G536" s="177"/>
      <c r="H536" s="179">
        <f>SUM(H525:H535)</f>
        <v>192894719</v>
      </c>
      <c r="I536" s="179">
        <f>SUM(I525:I535)</f>
        <v>204222730</v>
      </c>
      <c r="J536" s="178"/>
      <c r="K536" s="177"/>
      <c r="L536" s="177"/>
      <c r="M536" s="179">
        <f>SUM(M525:M535)</f>
        <v>212111382</v>
      </c>
    </row>
    <row r="537" spans="1:13" hidden="1">
      <c r="C537" s="135"/>
      <c r="D537" s="135"/>
      <c r="E537" s="135"/>
      <c r="J537" s="135"/>
    </row>
    <row r="538" spans="1:13">
      <c r="A538" s="133" t="s">
        <v>197</v>
      </c>
      <c r="C538" s="135"/>
      <c r="D538" s="135"/>
      <c r="E538" s="135"/>
      <c r="F538" s="193"/>
      <c r="G538" s="193"/>
      <c r="J538" s="135"/>
      <c r="K538" s="193"/>
      <c r="L538" s="193"/>
    </row>
    <row r="539" spans="1:13">
      <c r="A539" s="136" t="s">
        <v>143</v>
      </c>
      <c r="C539" s="135">
        <f>C552+C565</f>
        <v>96</v>
      </c>
      <c r="D539" s="135">
        <f>D552+D565</f>
        <v>96</v>
      </c>
      <c r="E539" s="135"/>
      <c r="F539" s="138">
        <v>266</v>
      </c>
      <c r="G539" s="138"/>
      <c r="H539" s="139">
        <f t="shared" ref="H539:I543" si="121">ROUND($F539*C539,0)</f>
        <v>25536</v>
      </c>
      <c r="I539" s="139">
        <f t="shared" si="121"/>
        <v>25536</v>
      </c>
      <c r="J539" s="135"/>
      <c r="K539" s="190">
        <v>399</v>
      </c>
      <c r="L539" s="138"/>
      <c r="M539" s="139">
        <f>ROUND($K539*D539,0)</f>
        <v>38304</v>
      </c>
    </row>
    <row r="540" spans="1:13">
      <c r="A540" s="136" t="s">
        <v>109</v>
      </c>
      <c r="C540" s="135">
        <f t="shared" ref="C540:D549" si="122">C553+C566</f>
        <v>68</v>
      </c>
      <c r="D540" s="135">
        <f t="shared" si="122"/>
        <v>66.72894874622105</v>
      </c>
      <c r="E540" s="135"/>
      <c r="F540" s="138">
        <v>-0.5</v>
      </c>
      <c r="G540" s="138"/>
      <c r="H540" s="139">
        <f t="shared" si="121"/>
        <v>-34</v>
      </c>
      <c r="I540" s="139">
        <f t="shared" si="121"/>
        <v>-33</v>
      </c>
      <c r="J540" s="135"/>
      <c r="K540" s="138">
        <v>-0.5</v>
      </c>
      <c r="L540" s="138"/>
      <c r="M540" s="139">
        <f>ROUND($K540*D540,0)</f>
        <v>-33</v>
      </c>
    </row>
    <row r="541" spans="1:13">
      <c r="A541" s="136" t="s">
        <v>144</v>
      </c>
      <c r="C541" s="135">
        <f t="shared" si="122"/>
        <v>239817</v>
      </c>
      <c r="D541" s="135">
        <f t="shared" si="122"/>
        <v>242076</v>
      </c>
      <c r="E541" s="135"/>
      <c r="F541" s="138">
        <v>2.2799999999999998</v>
      </c>
      <c r="G541" s="138"/>
      <c r="H541" s="139">
        <f t="shared" si="121"/>
        <v>546783</v>
      </c>
      <c r="I541" s="139">
        <f t="shared" si="121"/>
        <v>551933</v>
      </c>
      <c r="J541" s="135"/>
      <c r="K541" s="190">
        <v>2.37</v>
      </c>
      <c r="L541" s="138"/>
      <c r="M541" s="139">
        <f>ROUND($K541*D541,0)</f>
        <v>573720</v>
      </c>
    </row>
    <row r="542" spans="1:13">
      <c r="A542" s="136" t="s">
        <v>180</v>
      </c>
      <c r="C542" s="135">
        <f t="shared" si="122"/>
        <v>64724.492600422796</v>
      </c>
      <c r="D542" s="135">
        <f t="shared" si="122"/>
        <v>64871</v>
      </c>
      <c r="E542" s="135"/>
      <c r="F542" s="211">
        <v>4.7300000000000004</v>
      </c>
      <c r="G542" s="163"/>
      <c r="H542" s="139">
        <f t="shared" si="121"/>
        <v>306147</v>
      </c>
      <c r="I542" s="139">
        <f t="shared" si="121"/>
        <v>306840</v>
      </c>
      <c r="J542" s="135"/>
      <c r="K542" s="190">
        <v>7.44</v>
      </c>
      <c r="L542" s="163"/>
      <c r="M542" s="139">
        <f>ROUND($K542*D542,0)</f>
        <v>482640</v>
      </c>
    </row>
    <row r="543" spans="1:13">
      <c r="A543" s="136" t="s">
        <v>181</v>
      </c>
      <c r="C543" s="135">
        <f t="shared" si="122"/>
        <v>148023.50478468891</v>
      </c>
      <c r="D543" s="135">
        <f t="shared" si="122"/>
        <v>149808</v>
      </c>
      <c r="E543" s="135"/>
      <c r="F543" s="211">
        <v>4.18</v>
      </c>
      <c r="G543" s="163"/>
      <c r="H543" s="139">
        <f t="shared" si="121"/>
        <v>618738</v>
      </c>
      <c r="I543" s="139">
        <f t="shared" si="121"/>
        <v>626197</v>
      </c>
      <c r="J543" s="135"/>
      <c r="K543" s="190">
        <v>6.58</v>
      </c>
      <c r="L543" s="163"/>
      <c r="M543" s="139">
        <f>ROUND($K543*D543,0)</f>
        <v>985737</v>
      </c>
    </row>
    <row r="544" spans="1:13">
      <c r="A544" s="136" t="s">
        <v>111</v>
      </c>
      <c r="C544" s="135">
        <f t="shared" si="122"/>
        <v>2933690</v>
      </c>
      <c r="D544" s="135">
        <f t="shared" si="122"/>
        <v>3215599</v>
      </c>
      <c r="E544" s="135"/>
      <c r="F544" s="211">
        <v>5.1477000000000004</v>
      </c>
      <c r="G544" s="163" t="s">
        <v>112</v>
      </c>
      <c r="H544" s="139">
        <f t="shared" ref="H544:I547" si="123">ROUND($F544*C544/100,0)</f>
        <v>151018</v>
      </c>
      <c r="I544" s="139">
        <f t="shared" si="123"/>
        <v>165529</v>
      </c>
      <c r="J544" s="135"/>
      <c r="K544" s="198">
        <v>5.3414000000000001</v>
      </c>
      <c r="L544" s="163" t="s">
        <v>112</v>
      </c>
      <c r="M544" s="139">
        <f>ROUND($K544*D544/100,0)</f>
        <v>171758</v>
      </c>
    </row>
    <row r="545" spans="1:13">
      <c r="A545" s="136" t="s">
        <v>114</v>
      </c>
      <c r="C545" s="135">
        <f t="shared" si="122"/>
        <v>10499144</v>
      </c>
      <c r="D545" s="135">
        <f t="shared" si="122"/>
        <v>11286493</v>
      </c>
      <c r="E545" s="135"/>
      <c r="F545" s="211">
        <v>2.6164999999999998</v>
      </c>
      <c r="G545" s="163" t="s">
        <v>112</v>
      </c>
      <c r="H545" s="139">
        <f t="shared" si="123"/>
        <v>274710</v>
      </c>
      <c r="I545" s="139">
        <f t="shared" si="123"/>
        <v>295311</v>
      </c>
      <c r="J545" s="135"/>
      <c r="K545" s="198">
        <v>2.7149000000000001</v>
      </c>
      <c r="L545" s="163" t="s">
        <v>112</v>
      </c>
      <c r="M545" s="139">
        <f>ROUND($K545*D545/100,0)</f>
        <v>306417</v>
      </c>
    </row>
    <row r="546" spans="1:13">
      <c r="A546" s="136" t="s">
        <v>183</v>
      </c>
      <c r="C546" s="135">
        <f t="shared" si="122"/>
        <v>5250295</v>
      </c>
      <c r="D546" s="135">
        <f t="shared" si="122"/>
        <v>5801457</v>
      </c>
      <c r="E546" s="135"/>
      <c r="F546" s="211">
        <v>4.5555000000000003</v>
      </c>
      <c r="G546" s="163" t="s">
        <v>112</v>
      </c>
      <c r="H546" s="139">
        <f t="shared" si="123"/>
        <v>239177</v>
      </c>
      <c r="I546" s="139">
        <f t="shared" si="123"/>
        <v>264285</v>
      </c>
      <c r="J546" s="135"/>
      <c r="K546" s="198">
        <v>4.7268999999999997</v>
      </c>
      <c r="L546" s="163" t="s">
        <v>112</v>
      </c>
      <c r="M546" s="139">
        <f>ROUND($K546*D546/100,0)</f>
        <v>274229</v>
      </c>
    </row>
    <row r="547" spans="1:13">
      <c r="A547" s="136" t="s">
        <v>185</v>
      </c>
      <c r="C547" s="135">
        <f t="shared" si="122"/>
        <v>22609899</v>
      </c>
      <c r="D547" s="135">
        <f t="shared" si="122"/>
        <v>25145182</v>
      </c>
      <c r="E547" s="135"/>
      <c r="F547" s="211">
        <v>2.3155000000000001</v>
      </c>
      <c r="G547" s="163" t="s">
        <v>112</v>
      </c>
      <c r="H547" s="139">
        <f t="shared" si="123"/>
        <v>523532</v>
      </c>
      <c r="I547" s="139">
        <f t="shared" si="123"/>
        <v>582237</v>
      </c>
      <c r="J547" s="135"/>
      <c r="K547" s="198">
        <v>2.4026000000000001</v>
      </c>
      <c r="L547" s="163" t="s">
        <v>112</v>
      </c>
      <c r="M547" s="139">
        <f>ROUND($K547*D547/100,0)</f>
        <v>604138</v>
      </c>
    </row>
    <row r="548" spans="1:13">
      <c r="A548" s="172" t="s">
        <v>125</v>
      </c>
      <c r="B548" s="173"/>
      <c r="C548" s="135">
        <f t="shared" si="122"/>
        <v>188253</v>
      </c>
      <c r="D548" s="135">
        <f t="shared" si="122"/>
        <v>0</v>
      </c>
      <c r="E548" s="135"/>
      <c r="F548" s="174"/>
      <c r="G548" s="13"/>
      <c r="H548" s="139">
        <f>H561+H574</f>
        <v>12266</v>
      </c>
      <c r="I548" s="139"/>
      <c r="J548" s="135"/>
      <c r="K548" s="174"/>
      <c r="L548" s="13"/>
      <c r="M548" s="139"/>
    </row>
    <row r="549" spans="1:13" ht="16.5" thickBot="1">
      <c r="A549" s="176" t="s">
        <v>127</v>
      </c>
      <c r="B549" s="177"/>
      <c r="C549" s="178">
        <f t="shared" si="122"/>
        <v>41481281</v>
      </c>
      <c r="D549" s="178">
        <f t="shared" si="122"/>
        <v>45448731.5</v>
      </c>
      <c r="E549" s="178"/>
      <c r="F549" s="177"/>
      <c r="G549" s="177"/>
      <c r="H549" s="179">
        <f>SUM(H539:H548)</f>
        <v>2697873</v>
      </c>
      <c r="I549" s="179">
        <f>SUM(I539:I548)</f>
        <v>2817835</v>
      </c>
      <c r="J549" s="178"/>
      <c r="K549" s="177"/>
      <c r="L549" s="177"/>
      <c r="M549" s="179">
        <f>SUM(M539:M548)</f>
        <v>3436910</v>
      </c>
    </row>
    <row r="550" spans="1:13" ht="16.5" thickTop="1">
      <c r="C550" s="135"/>
      <c r="D550" s="135"/>
      <c r="E550" s="135"/>
      <c r="J550" s="135"/>
    </row>
    <row r="551" spans="1:13" hidden="1">
      <c r="A551" s="133" t="s">
        <v>474</v>
      </c>
      <c r="C551" s="135"/>
      <c r="D551" s="135"/>
      <c r="E551" s="135"/>
      <c r="F551" s="193"/>
      <c r="G551" s="193"/>
      <c r="J551" s="135"/>
      <c r="K551" s="193"/>
      <c r="L551" s="193"/>
    </row>
    <row r="552" spans="1:13" hidden="1">
      <c r="A552" s="136" t="s">
        <v>143</v>
      </c>
      <c r="C552" s="135">
        <v>24</v>
      </c>
      <c r="D552" s="135">
        <v>24</v>
      </c>
      <c r="E552" s="135"/>
      <c r="F552" s="138">
        <v>266</v>
      </c>
      <c r="G552" s="138"/>
      <c r="H552" s="139">
        <f t="shared" ref="H552:I556" si="124">ROUND($F552*C552,0)</f>
        <v>6384</v>
      </c>
      <c r="I552" s="139">
        <f t="shared" si="124"/>
        <v>6384</v>
      </c>
      <c r="J552" s="135"/>
      <c r="K552" s="138">
        <v>399</v>
      </c>
      <c r="L552" s="138"/>
      <c r="M552" s="139">
        <f>ROUND($K552*D552,0)</f>
        <v>9576</v>
      </c>
    </row>
    <row r="553" spans="1:13" hidden="1">
      <c r="A553" s="136" t="s">
        <v>109</v>
      </c>
      <c r="C553" s="135">
        <v>12</v>
      </c>
      <c r="D553" s="135">
        <v>16.682237186555263</v>
      </c>
      <c r="E553" s="135"/>
      <c r="F553" s="138">
        <v>-0.5</v>
      </c>
      <c r="G553" s="138"/>
      <c r="H553" s="139">
        <f t="shared" si="124"/>
        <v>-6</v>
      </c>
      <c r="I553" s="139">
        <f t="shared" si="124"/>
        <v>-8</v>
      </c>
      <c r="J553" s="135"/>
      <c r="K553" s="138">
        <v>-0.5</v>
      </c>
      <c r="L553" s="138"/>
      <c r="M553" s="139">
        <f>ROUND($K553*D553,0)</f>
        <v>-8</v>
      </c>
    </row>
    <row r="554" spans="1:13" hidden="1">
      <c r="A554" s="136" t="s">
        <v>144</v>
      </c>
      <c r="C554" s="135">
        <v>75938</v>
      </c>
      <c r="D554" s="135">
        <f t="shared" ref="D554:D556" si="125">ROUND($C554*D$562/$C$562,0)</f>
        <v>93233</v>
      </c>
      <c r="E554" s="135"/>
      <c r="F554" s="138">
        <v>2.2799999999999998</v>
      </c>
      <c r="G554" s="138"/>
      <c r="H554" s="139">
        <f t="shared" si="124"/>
        <v>173139</v>
      </c>
      <c r="I554" s="139">
        <f t="shared" si="124"/>
        <v>212571</v>
      </c>
      <c r="J554" s="135"/>
      <c r="K554" s="138">
        <v>2.37</v>
      </c>
      <c r="L554" s="138"/>
      <c r="M554" s="139">
        <f>ROUND($K554*D554,0)</f>
        <v>220962</v>
      </c>
    </row>
    <row r="555" spans="1:13" hidden="1">
      <c r="A555" s="136" t="s">
        <v>180</v>
      </c>
      <c r="C555" s="135">
        <v>19047.137420718798</v>
      </c>
      <c r="D555" s="135">
        <f t="shared" si="125"/>
        <v>23385</v>
      </c>
      <c r="E555" s="135"/>
      <c r="F555" s="211">
        <v>4.7300000000000004</v>
      </c>
      <c r="G555" s="163"/>
      <c r="H555" s="139">
        <f t="shared" si="124"/>
        <v>90093</v>
      </c>
      <c r="I555" s="139">
        <f t="shared" si="124"/>
        <v>110611</v>
      </c>
      <c r="J555" s="135"/>
      <c r="K555" s="211">
        <v>7.44</v>
      </c>
      <c r="L555" s="163"/>
      <c r="M555" s="139">
        <f>ROUND($K555*D555,0)</f>
        <v>173984</v>
      </c>
    </row>
    <row r="556" spans="1:13" hidden="1">
      <c r="A556" s="136" t="s">
        <v>181</v>
      </c>
      <c r="C556" s="135">
        <v>48092.861244019099</v>
      </c>
      <c r="D556" s="135">
        <f t="shared" si="125"/>
        <v>59046</v>
      </c>
      <c r="E556" s="135"/>
      <c r="F556" s="211">
        <v>4.18</v>
      </c>
      <c r="G556" s="163"/>
      <c r="H556" s="139">
        <f t="shared" si="124"/>
        <v>201028</v>
      </c>
      <c r="I556" s="139">
        <f t="shared" si="124"/>
        <v>246812</v>
      </c>
      <c r="J556" s="135"/>
      <c r="K556" s="211">
        <v>6.58</v>
      </c>
      <c r="L556" s="163"/>
      <c r="M556" s="139">
        <f>ROUND($K556*D556,0)</f>
        <v>388523</v>
      </c>
    </row>
    <row r="557" spans="1:13" hidden="1">
      <c r="A557" s="136" t="s">
        <v>111</v>
      </c>
      <c r="C557" s="135">
        <v>1674832</v>
      </c>
      <c r="D557" s="135">
        <f>ROUND($C557*D$562/($C$562-$C$561),0)</f>
        <v>2071968</v>
      </c>
      <c r="E557" s="135"/>
      <c r="F557" s="211">
        <v>5.1477000000000004</v>
      </c>
      <c r="G557" s="163" t="s">
        <v>112</v>
      </c>
      <c r="H557" s="139">
        <f t="shared" ref="H557:I560" si="126">ROUND($F557*C557/100,0)</f>
        <v>86215</v>
      </c>
      <c r="I557" s="139">
        <f t="shared" si="126"/>
        <v>106659</v>
      </c>
      <c r="J557" s="135"/>
      <c r="K557" s="211">
        <v>5.3414000000000001</v>
      </c>
      <c r="L557" s="163" t="s">
        <v>112</v>
      </c>
      <c r="M557" s="139">
        <f>ROUND($K557*D557/100,0)</f>
        <v>110672</v>
      </c>
    </row>
    <row r="558" spans="1:13" hidden="1">
      <c r="A558" s="136" t="s">
        <v>114</v>
      </c>
      <c r="C558" s="135">
        <v>5319801</v>
      </c>
      <c r="D558" s="135">
        <f t="shared" ref="D558:D560" si="127">ROUND($C558*D$562/($C$562-$C$561),0)</f>
        <v>6581233</v>
      </c>
      <c r="E558" s="135"/>
      <c r="F558" s="211">
        <v>2.6164999999999998</v>
      </c>
      <c r="G558" s="163" t="s">
        <v>112</v>
      </c>
      <c r="H558" s="139">
        <f t="shared" si="126"/>
        <v>139193</v>
      </c>
      <c r="I558" s="139">
        <f t="shared" si="126"/>
        <v>172198</v>
      </c>
      <c r="J558" s="135"/>
      <c r="K558" s="211">
        <v>2.7149000000000001</v>
      </c>
      <c r="L558" s="163" t="s">
        <v>112</v>
      </c>
      <c r="M558" s="139">
        <f>ROUND($K558*D558/100,0)</f>
        <v>178674</v>
      </c>
    </row>
    <row r="559" spans="1:13" hidden="1">
      <c r="A559" s="136" t="s">
        <v>183</v>
      </c>
      <c r="C559" s="135">
        <v>3139292</v>
      </c>
      <c r="D559" s="135">
        <f t="shared" si="127"/>
        <v>3883681</v>
      </c>
      <c r="E559" s="135"/>
      <c r="F559" s="211">
        <v>4.5555000000000003</v>
      </c>
      <c r="G559" s="163" t="s">
        <v>112</v>
      </c>
      <c r="H559" s="139">
        <f t="shared" si="126"/>
        <v>143010</v>
      </c>
      <c r="I559" s="139">
        <f t="shared" si="126"/>
        <v>176921</v>
      </c>
      <c r="J559" s="135"/>
      <c r="K559" s="211">
        <v>4.7268999999999997</v>
      </c>
      <c r="L559" s="163" t="s">
        <v>112</v>
      </c>
      <c r="M559" s="139">
        <f>ROUND($K559*D559/100,0)</f>
        <v>183578</v>
      </c>
    </row>
    <row r="560" spans="1:13" hidden="1">
      <c r="A560" s="136" t="s">
        <v>185</v>
      </c>
      <c r="C560" s="135">
        <v>14011241</v>
      </c>
      <c r="D560" s="135">
        <f t="shared" si="127"/>
        <v>17333588</v>
      </c>
      <c r="E560" s="135"/>
      <c r="F560" s="211">
        <v>2.3155000000000001</v>
      </c>
      <c r="G560" s="163" t="s">
        <v>112</v>
      </c>
      <c r="H560" s="139">
        <f t="shared" si="126"/>
        <v>324430</v>
      </c>
      <c r="I560" s="139">
        <f t="shared" si="126"/>
        <v>401359</v>
      </c>
      <c r="J560" s="135"/>
      <c r="K560" s="211">
        <v>2.4026000000000001</v>
      </c>
      <c r="L560" s="163" t="s">
        <v>112</v>
      </c>
      <c r="M560" s="139">
        <f>ROUND($K560*D560/100,0)</f>
        <v>416457</v>
      </c>
    </row>
    <row r="561" spans="1:13" hidden="1">
      <c r="A561" s="172" t="s">
        <v>125</v>
      </c>
      <c r="B561" s="173"/>
      <c r="C561" s="135">
        <v>184113</v>
      </c>
      <c r="D561" s="135"/>
      <c r="E561" s="135"/>
      <c r="F561" s="174"/>
      <c r="G561" s="13"/>
      <c r="H561" s="139">
        <v>8821</v>
      </c>
      <c r="I561" s="139"/>
      <c r="J561" s="135"/>
      <c r="K561" s="174"/>
      <c r="L561" s="13"/>
      <c r="M561" s="139"/>
    </row>
    <row r="562" spans="1:13" ht="16.5" hidden="1" thickBot="1">
      <c r="A562" s="176" t="s">
        <v>127</v>
      </c>
      <c r="B562" s="177"/>
      <c r="C562" s="178">
        <f>SUM(C557:C561)</f>
        <v>24329279</v>
      </c>
      <c r="D562" s="178">
        <v>29870470.5</v>
      </c>
      <c r="E562" s="178"/>
      <c r="F562" s="177"/>
      <c r="G562" s="177"/>
      <c r="H562" s="179">
        <f>SUM(H552:H561)</f>
        <v>1172307</v>
      </c>
      <c r="I562" s="179">
        <f>SUM(I552:I561)</f>
        <v>1433507</v>
      </c>
      <c r="J562" s="178"/>
      <c r="K562" s="177"/>
      <c r="L562" s="177"/>
      <c r="M562" s="179">
        <f>SUM(M552:M561)</f>
        <v>1682418</v>
      </c>
    </row>
    <row r="563" spans="1:13" hidden="1">
      <c r="C563" s="135"/>
      <c r="D563" s="135"/>
      <c r="E563" s="135"/>
      <c r="J563" s="135"/>
    </row>
    <row r="564" spans="1:13" hidden="1">
      <c r="A564" s="133" t="s">
        <v>475</v>
      </c>
      <c r="C564" s="135"/>
      <c r="D564" s="135"/>
      <c r="E564" s="135"/>
      <c r="F564" s="193"/>
      <c r="G564" s="193"/>
      <c r="J564" s="135"/>
      <c r="K564" s="193"/>
      <c r="L564" s="193"/>
    </row>
    <row r="565" spans="1:13" hidden="1">
      <c r="A565" s="136" t="s">
        <v>143</v>
      </c>
      <c r="C565" s="135">
        <v>72</v>
      </c>
      <c r="D565" s="135">
        <v>72</v>
      </c>
      <c r="E565" s="135"/>
      <c r="F565" s="138">
        <v>266</v>
      </c>
      <c r="G565" s="190"/>
      <c r="H565" s="139">
        <f t="shared" ref="H565:I569" si="128">ROUND($F565*C565,0)</f>
        <v>19152</v>
      </c>
      <c r="I565" s="139">
        <f t="shared" si="128"/>
        <v>19152</v>
      </c>
      <c r="J565" s="135"/>
      <c r="K565" s="138">
        <v>399</v>
      </c>
      <c r="L565" s="190"/>
      <c r="M565" s="139">
        <f>ROUND($K565*D565,0)</f>
        <v>28728</v>
      </c>
    </row>
    <row r="566" spans="1:13" hidden="1">
      <c r="A566" s="136" t="s">
        <v>109</v>
      </c>
      <c r="C566" s="135">
        <v>56</v>
      </c>
      <c r="D566" s="135">
        <v>50.046711559665788</v>
      </c>
      <c r="E566" s="135"/>
      <c r="F566" s="138">
        <v>-0.5</v>
      </c>
      <c r="G566" s="138"/>
      <c r="H566" s="139">
        <f t="shared" si="128"/>
        <v>-28</v>
      </c>
      <c r="I566" s="139">
        <f t="shared" si="128"/>
        <v>-25</v>
      </c>
      <c r="J566" s="135"/>
      <c r="K566" s="138">
        <v>-0.5</v>
      </c>
      <c r="L566" s="138"/>
      <c r="M566" s="139">
        <f>ROUND($K566*D566,0)</f>
        <v>-25</v>
      </c>
    </row>
    <row r="567" spans="1:13" hidden="1">
      <c r="A567" s="136" t="s">
        <v>144</v>
      </c>
      <c r="C567" s="135">
        <v>163879</v>
      </c>
      <c r="D567" s="135">
        <f t="shared" ref="D567:D569" si="129">ROUND($C567*D$575/$C$575,0)</f>
        <v>148843</v>
      </c>
      <c r="E567" s="135"/>
      <c r="F567" s="138">
        <v>2.2799999999999998</v>
      </c>
      <c r="G567" s="190"/>
      <c r="H567" s="139">
        <f t="shared" si="128"/>
        <v>373644</v>
      </c>
      <c r="I567" s="139">
        <f t="shared" si="128"/>
        <v>339362</v>
      </c>
      <c r="J567" s="135"/>
      <c r="K567" s="138">
        <v>2.37</v>
      </c>
      <c r="L567" s="190"/>
      <c r="M567" s="139">
        <f>ROUND($K567*D567,0)</f>
        <v>352758</v>
      </c>
    </row>
    <row r="568" spans="1:13" hidden="1">
      <c r="A568" s="136" t="s">
        <v>180</v>
      </c>
      <c r="C568" s="135">
        <v>45677.355179703998</v>
      </c>
      <c r="D568" s="135">
        <f t="shared" si="129"/>
        <v>41486</v>
      </c>
      <c r="E568" s="135"/>
      <c r="F568" s="211">
        <v>4.7300000000000004</v>
      </c>
      <c r="G568" s="163"/>
      <c r="H568" s="139">
        <f t="shared" si="128"/>
        <v>216054</v>
      </c>
      <c r="I568" s="139">
        <f t="shared" si="128"/>
        <v>196229</v>
      </c>
      <c r="J568" s="135"/>
      <c r="K568" s="211">
        <v>7.44</v>
      </c>
      <c r="L568" s="163"/>
      <c r="M568" s="139">
        <f>ROUND($K568*D568,0)</f>
        <v>308656</v>
      </c>
    </row>
    <row r="569" spans="1:13" hidden="1">
      <c r="A569" s="136" t="s">
        <v>181</v>
      </c>
      <c r="C569" s="135">
        <v>99930.6435406698</v>
      </c>
      <c r="D569" s="135">
        <f t="shared" si="129"/>
        <v>90762</v>
      </c>
      <c r="E569" s="135"/>
      <c r="F569" s="211">
        <v>4.18</v>
      </c>
      <c r="G569" s="163"/>
      <c r="H569" s="139">
        <f t="shared" si="128"/>
        <v>417710</v>
      </c>
      <c r="I569" s="139">
        <f t="shared" si="128"/>
        <v>379385</v>
      </c>
      <c r="J569" s="135"/>
      <c r="K569" s="211">
        <v>6.58</v>
      </c>
      <c r="L569" s="163"/>
      <c r="M569" s="139">
        <f>ROUND($K569*D569,0)</f>
        <v>597214</v>
      </c>
    </row>
    <row r="570" spans="1:13" hidden="1">
      <c r="A570" s="136" t="s">
        <v>111</v>
      </c>
      <c r="C570" s="135">
        <v>1258858</v>
      </c>
      <c r="D570" s="135">
        <f>ROUND($C570*D$575/($C$575-$C$574),0)</f>
        <v>1143631</v>
      </c>
      <c r="E570" s="135"/>
      <c r="F570" s="211">
        <v>5.1477000000000004</v>
      </c>
      <c r="G570" s="163" t="s">
        <v>112</v>
      </c>
      <c r="H570" s="139">
        <f t="shared" ref="H570:I573" si="130">ROUND($F570*C570/100,0)</f>
        <v>64802</v>
      </c>
      <c r="I570" s="139">
        <f t="shared" si="130"/>
        <v>58871</v>
      </c>
      <c r="J570" s="135"/>
      <c r="K570" s="211">
        <v>5.3414000000000001</v>
      </c>
      <c r="L570" s="163" t="s">
        <v>112</v>
      </c>
      <c r="M570" s="139">
        <f>ROUND($K570*D570/100,0)</f>
        <v>61086</v>
      </c>
    </row>
    <row r="571" spans="1:13" hidden="1">
      <c r="A571" s="136" t="s">
        <v>114</v>
      </c>
      <c r="C571" s="135">
        <v>5179343</v>
      </c>
      <c r="D571" s="135">
        <f t="shared" ref="D571:D573" si="131">ROUND($C571*D$575/($C$575-$C$574),0)</f>
        <v>4705260</v>
      </c>
      <c r="E571" s="135"/>
      <c r="F571" s="211">
        <v>2.6164999999999998</v>
      </c>
      <c r="G571" s="163" t="s">
        <v>112</v>
      </c>
      <c r="H571" s="139">
        <f t="shared" si="130"/>
        <v>135518</v>
      </c>
      <c r="I571" s="139">
        <f t="shared" si="130"/>
        <v>123113</v>
      </c>
      <c r="J571" s="135"/>
      <c r="K571" s="211">
        <v>2.7149000000000001</v>
      </c>
      <c r="L571" s="163" t="s">
        <v>112</v>
      </c>
      <c r="M571" s="139">
        <f>ROUND($K571*D571/100,0)</f>
        <v>127743</v>
      </c>
    </row>
    <row r="572" spans="1:13" hidden="1">
      <c r="A572" s="136" t="s">
        <v>183</v>
      </c>
      <c r="C572" s="135">
        <v>2111003</v>
      </c>
      <c r="D572" s="135">
        <f t="shared" si="131"/>
        <v>1917776</v>
      </c>
      <c r="E572" s="135"/>
      <c r="F572" s="211">
        <v>4.5555000000000003</v>
      </c>
      <c r="G572" s="163" t="s">
        <v>112</v>
      </c>
      <c r="H572" s="139">
        <f t="shared" si="130"/>
        <v>96167</v>
      </c>
      <c r="I572" s="139">
        <f t="shared" si="130"/>
        <v>87364</v>
      </c>
      <c r="J572" s="135"/>
      <c r="K572" s="211">
        <v>4.7268999999999997</v>
      </c>
      <c r="L572" s="163" t="s">
        <v>112</v>
      </c>
      <c r="M572" s="139">
        <f>ROUND($K572*D572/100,0)</f>
        <v>90651</v>
      </c>
    </row>
    <row r="573" spans="1:13" hidden="1">
      <c r="A573" s="136" t="s">
        <v>185</v>
      </c>
      <c r="C573" s="135">
        <v>8598658</v>
      </c>
      <c r="D573" s="135">
        <f t="shared" si="131"/>
        <v>7811594</v>
      </c>
      <c r="E573" s="135"/>
      <c r="F573" s="211">
        <v>2.3155000000000001</v>
      </c>
      <c r="G573" s="163" t="s">
        <v>112</v>
      </c>
      <c r="H573" s="139">
        <f t="shared" si="130"/>
        <v>199102</v>
      </c>
      <c r="I573" s="139">
        <f t="shared" si="130"/>
        <v>180877</v>
      </c>
      <c r="J573" s="135"/>
      <c r="K573" s="211">
        <v>2.4026000000000001</v>
      </c>
      <c r="L573" s="163" t="s">
        <v>112</v>
      </c>
      <c r="M573" s="139">
        <f>ROUND($K573*D573/100,0)</f>
        <v>187681</v>
      </c>
    </row>
    <row r="574" spans="1:13" hidden="1">
      <c r="A574" s="172" t="s">
        <v>125</v>
      </c>
      <c r="B574" s="173"/>
      <c r="C574" s="135">
        <v>4140</v>
      </c>
      <c r="D574" s="135"/>
      <c r="E574" s="135"/>
      <c r="F574" s="174"/>
      <c r="G574" s="13"/>
      <c r="H574" s="139">
        <v>3445</v>
      </c>
      <c r="I574" s="139"/>
      <c r="J574" s="135"/>
      <c r="K574" s="174"/>
      <c r="L574" s="13"/>
      <c r="M574" s="139"/>
    </row>
    <row r="575" spans="1:13" ht="16.5" hidden="1" thickBot="1">
      <c r="A575" s="176" t="s">
        <v>127</v>
      </c>
      <c r="B575" s="177"/>
      <c r="C575" s="178">
        <f>SUM(C570:C574)</f>
        <v>17152002</v>
      </c>
      <c r="D575" s="178">
        <v>15578261</v>
      </c>
      <c r="E575" s="178"/>
      <c r="F575" s="177"/>
      <c r="G575" s="177"/>
      <c r="H575" s="179">
        <f>SUM(H565:H574)</f>
        <v>1525566</v>
      </c>
      <c r="I575" s="179">
        <f>SUM(I565:I574)</f>
        <v>1384328</v>
      </c>
      <c r="J575" s="178"/>
      <c r="K575" s="177"/>
      <c r="L575" s="177"/>
      <c r="M575" s="179">
        <f>SUM(M565:M574)</f>
        <v>1754492</v>
      </c>
    </row>
    <row r="576" spans="1:13" hidden="1">
      <c r="C576" s="135"/>
      <c r="D576" s="135"/>
      <c r="E576" s="135"/>
      <c r="J576" s="135"/>
    </row>
    <row r="577" spans="1:13">
      <c r="A577" s="133" t="s">
        <v>476</v>
      </c>
    </row>
    <row r="578" spans="1:13">
      <c r="A578" s="136" t="s">
        <v>198</v>
      </c>
      <c r="C578" s="135">
        <v>3455.6275675675702</v>
      </c>
      <c r="D578" s="135">
        <v>3429.4209820080723</v>
      </c>
      <c r="E578" s="135"/>
      <c r="F578" s="190">
        <v>37</v>
      </c>
      <c r="G578" s="190"/>
      <c r="H578" s="139">
        <f t="shared" ref="H578:I584" si="132">ROUND($F578*C578,0)</f>
        <v>127858</v>
      </c>
      <c r="I578" s="139">
        <f t="shared" si="132"/>
        <v>126889</v>
      </c>
      <c r="J578" s="135"/>
      <c r="K578" s="190">
        <v>38</v>
      </c>
      <c r="L578" s="190"/>
      <c r="M578" s="139">
        <f t="shared" ref="M578:M584" si="133">ROUND($K578*D578,0)</f>
        <v>130318</v>
      </c>
    </row>
    <row r="579" spans="1:13">
      <c r="A579" s="136" t="s">
        <v>200</v>
      </c>
      <c r="C579" s="135">
        <v>15.079508196721299</v>
      </c>
      <c r="D579" s="135">
        <v>15</v>
      </c>
      <c r="E579" s="135"/>
      <c r="F579" s="190">
        <v>122</v>
      </c>
      <c r="G579" s="190"/>
      <c r="H579" s="139">
        <f>ROUND($F579*C579,0)</f>
        <v>1840</v>
      </c>
      <c r="I579" s="139">
        <f>ROUND($F579*D579,0)</f>
        <v>1830</v>
      </c>
      <c r="J579" s="135"/>
      <c r="K579" s="190">
        <v>126</v>
      </c>
      <c r="L579" s="190"/>
      <c r="M579" s="139">
        <f t="shared" si="133"/>
        <v>1890</v>
      </c>
    </row>
    <row r="580" spans="1:13">
      <c r="A580" s="136" t="s">
        <v>201</v>
      </c>
      <c r="C580" s="135">
        <v>13900.7314285714</v>
      </c>
      <c r="D580" s="135">
        <f>ROUND($C580*(D$579+D$578)/($C$579+$C$578),0)</f>
        <v>13795</v>
      </c>
      <c r="E580" s="135"/>
      <c r="F580" s="190">
        <v>14</v>
      </c>
      <c r="G580" s="190"/>
      <c r="H580" s="139">
        <f t="shared" si="132"/>
        <v>194610</v>
      </c>
      <c r="I580" s="139">
        <f t="shared" si="132"/>
        <v>193130</v>
      </c>
      <c r="J580" s="135"/>
      <c r="K580" s="190">
        <v>14</v>
      </c>
      <c r="L580" s="190"/>
      <c r="M580" s="139">
        <f t="shared" si="133"/>
        <v>193130</v>
      </c>
    </row>
    <row r="581" spans="1:13">
      <c r="A581" s="136" t="s">
        <v>202</v>
      </c>
      <c r="C581" s="135">
        <v>0</v>
      </c>
      <c r="D581" s="135">
        <f>ROUND($C581*(D$579+D$578)/($C$579+$C$578),0)</f>
        <v>0</v>
      </c>
      <c r="E581" s="135"/>
      <c r="F581" s="190">
        <v>2</v>
      </c>
      <c r="G581" s="190"/>
      <c r="H581" s="139">
        <f t="shared" si="132"/>
        <v>0</v>
      </c>
      <c r="I581" s="139">
        <f t="shared" si="132"/>
        <v>0</v>
      </c>
      <c r="J581" s="135"/>
      <c r="K581" s="190">
        <v>2</v>
      </c>
      <c r="L581" s="190"/>
      <c r="M581" s="139">
        <f t="shared" si="133"/>
        <v>0</v>
      </c>
    </row>
    <row r="582" spans="1:13">
      <c r="A582" s="136" t="s">
        <v>203</v>
      </c>
      <c r="C582" s="135">
        <v>3893</v>
      </c>
      <c r="D582" s="135">
        <v>9588.8109161887423</v>
      </c>
      <c r="E582" s="135"/>
      <c r="F582" s="138">
        <v>-0.5</v>
      </c>
      <c r="G582" s="138"/>
      <c r="H582" s="139">
        <f t="shared" si="132"/>
        <v>-1947</v>
      </c>
      <c r="I582" s="139">
        <f t="shared" si="132"/>
        <v>-4794</v>
      </c>
      <c r="J582" s="135"/>
      <c r="K582" s="138">
        <v>-0.5</v>
      </c>
      <c r="L582" s="138"/>
      <c r="M582" s="139">
        <f t="shared" si="133"/>
        <v>-4794</v>
      </c>
    </row>
    <row r="583" spans="1:13">
      <c r="A583" s="136" t="s">
        <v>204</v>
      </c>
      <c r="C583" s="135">
        <v>414903.948179272</v>
      </c>
      <c r="D583" s="135">
        <f t="shared" ref="D583:D584" si="134">ROUND($C583*D$597/$C$597,0)</f>
        <v>528097</v>
      </c>
      <c r="E583" s="135"/>
      <c r="F583" s="190">
        <v>7.14</v>
      </c>
      <c r="G583" s="190"/>
      <c r="H583" s="139">
        <f t="shared" si="132"/>
        <v>2962414</v>
      </c>
      <c r="I583" s="139">
        <f t="shared" si="132"/>
        <v>3770613</v>
      </c>
      <c r="J583" s="135"/>
      <c r="K583" s="190">
        <v>7.36</v>
      </c>
      <c r="L583" s="190"/>
      <c r="M583" s="139">
        <f t="shared" si="133"/>
        <v>3886794</v>
      </c>
    </row>
    <row r="584" spans="1:13">
      <c r="A584" s="136" t="s">
        <v>150</v>
      </c>
      <c r="C584" s="135">
        <v>6928.53170731707</v>
      </c>
      <c r="D584" s="135">
        <f t="shared" si="134"/>
        <v>8819</v>
      </c>
      <c r="E584" s="135"/>
      <c r="F584" s="190">
        <v>-2.0499999999999998</v>
      </c>
      <c r="G584" s="190"/>
      <c r="H584" s="139">
        <f t="shared" si="132"/>
        <v>-14203</v>
      </c>
      <c r="I584" s="139">
        <f t="shared" si="132"/>
        <v>-18079</v>
      </c>
      <c r="J584" s="135"/>
      <c r="K584" s="190">
        <v>-2.0499999999999998</v>
      </c>
      <c r="L584" s="190"/>
      <c r="M584" s="139">
        <f t="shared" si="133"/>
        <v>-18079</v>
      </c>
    </row>
    <row r="585" spans="1:13">
      <c r="A585" s="136" t="s">
        <v>205</v>
      </c>
      <c r="C585" s="135">
        <v>77760989</v>
      </c>
      <c r="D585" s="135">
        <f>ROUND($C585*D$597/($C$597-$C$596),0)</f>
        <v>98980209</v>
      </c>
      <c r="E585" s="135"/>
      <c r="F585" s="211">
        <v>7.1125999999999996</v>
      </c>
      <c r="G585" s="163" t="s">
        <v>112</v>
      </c>
      <c r="H585" s="139">
        <f t="shared" ref="H585:I588" si="135">ROUND($F585*C585/100,0)</f>
        <v>5530828</v>
      </c>
      <c r="I585" s="139">
        <f t="shared" si="135"/>
        <v>7040066</v>
      </c>
      <c r="J585" s="135"/>
      <c r="K585" s="211">
        <v>7.3357000000000001</v>
      </c>
      <c r="L585" s="163" t="s">
        <v>112</v>
      </c>
      <c r="M585" s="139">
        <f>ROUND($K585*D585/100,0)</f>
        <v>7260891</v>
      </c>
    </row>
    <row r="586" spans="1:13">
      <c r="A586" s="136" t="s">
        <v>206</v>
      </c>
      <c r="C586" s="135">
        <v>43643555.050662391</v>
      </c>
      <c r="D586" s="135">
        <f t="shared" ref="D586:D588" si="136">ROUND($C586*D$597/($C$597-$C$596),0)</f>
        <v>55552897</v>
      </c>
      <c r="E586" s="135"/>
      <c r="F586" s="211">
        <v>5.2572999999999999</v>
      </c>
      <c r="G586" s="163" t="s">
        <v>112</v>
      </c>
      <c r="H586" s="139">
        <f t="shared" si="135"/>
        <v>2294473</v>
      </c>
      <c r="I586" s="139">
        <f t="shared" si="135"/>
        <v>2920582</v>
      </c>
      <c r="J586" s="135"/>
      <c r="K586" s="211">
        <v>5.4166999999999996</v>
      </c>
      <c r="L586" s="163" t="s">
        <v>112</v>
      </c>
      <c r="M586" s="139">
        <f>ROUND($K586*D586/100,0)</f>
        <v>3009134</v>
      </c>
    </row>
    <row r="587" spans="1:13">
      <c r="A587" s="136" t="s">
        <v>207</v>
      </c>
      <c r="C587" s="135">
        <v>3302561</v>
      </c>
      <c r="D587" s="135">
        <f t="shared" si="136"/>
        <v>4203755</v>
      </c>
      <c r="E587" s="135"/>
      <c r="F587" s="211">
        <v>14.052</v>
      </c>
      <c r="G587" s="163" t="s">
        <v>112</v>
      </c>
      <c r="H587" s="139">
        <f t="shared" si="135"/>
        <v>464076</v>
      </c>
      <c r="I587" s="139">
        <f t="shared" si="135"/>
        <v>590712</v>
      </c>
      <c r="J587" s="135"/>
      <c r="K587" s="211">
        <v>14.478</v>
      </c>
      <c r="L587" s="163" t="s">
        <v>112</v>
      </c>
      <c r="M587" s="139">
        <f>ROUND($K587*D587/100,0)</f>
        <v>608620</v>
      </c>
    </row>
    <row r="588" spans="1:13">
      <c r="A588" s="136" t="s">
        <v>208</v>
      </c>
      <c r="C588" s="214">
        <v>10240417.487837609</v>
      </c>
      <c r="D588" s="214">
        <f t="shared" si="136"/>
        <v>13034796</v>
      </c>
      <c r="E588" s="214"/>
      <c r="F588" s="215">
        <v>4.0491999999999999</v>
      </c>
      <c r="G588" s="216" t="s">
        <v>112</v>
      </c>
      <c r="H588" s="217">
        <f t="shared" si="135"/>
        <v>414655</v>
      </c>
      <c r="I588" s="217">
        <f t="shared" si="135"/>
        <v>527805</v>
      </c>
      <c r="J588" s="214"/>
      <c r="K588" s="215">
        <v>4.1719999999999997</v>
      </c>
      <c r="L588" s="216" t="s">
        <v>112</v>
      </c>
      <c r="M588" s="217">
        <f>ROUND($K588*D588/100,0)</f>
        <v>543812</v>
      </c>
    </row>
    <row r="589" spans="1:13">
      <c r="A589" s="136" t="s">
        <v>209</v>
      </c>
      <c r="C589" s="135">
        <f>SUM(C585:C588)</f>
        <v>134947522.53850001</v>
      </c>
      <c r="D589" s="135">
        <f>SUM(D585:D588)</f>
        <v>171771657</v>
      </c>
      <c r="E589" s="135"/>
      <c r="F589" s="193"/>
      <c r="G589" s="163"/>
      <c r="H589" s="139">
        <f>SUM(H578:H588)</f>
        <v>11974604</v>
      </c>
      <c r="I589" s="139">
        <f>SUM(I578:I588)</f>
        <v>15148754</v>
      </c>
      <c r="J589" s="135"/>
      <c r="K589" s="193"/>
      <c r="L589" s="163"/>
      <c r="M589" s="139">
        <f>SUM(M578:M582,M583:M588)</f>
        <v>15611716</v>
      </c>
    </row>
    <row r="590" spans="1:13">
      <c r="A590" s="136" t="s">
        <v>210</v>
      </c>
      <c r="C590" s="135"/>
      <c r="D590" s="135"/>
      <c r="E590" s="135"/>
      <c r="F590" s="193"/>
      <c r="G590" s="163"/>
      <c r="H590" s="139"/>
      <c r="I590" s="139"/>
      <c r="J590" s="135"/>
      <c r="K590" s="193"/>
      <c r="L590" s="163"/>
      <c r="M590" s="139"/>
    </row>
    <row r="591" spans="1:13">
      <c r="A591" s="136" t="s">
        <v>211</v>
      </c>
      <c r="C591" s="135">
        <v>9421.7821428572988</v>
      </c>
      <c r="D591" s="135">
        <f>ROUND($C591*(D$579+D$578)/($C$579+$C$578),0)</f>
        <v>9350</v>
      </c>
      <c r="E591" s="135"/>
      <c r="F591" s="190">
        <v>14</v>
      </c>
      <c r="G591" s="190"/>
      <c r="H591" s="139">
        <f t="shared" ref="H591:I593" si="137">ROUND($F591*C591,0)</f>
        <v>131905</v>
      </c>
      <c r="I591" s="139">
        <f t="shared" si="137"/>
        <v>130900</v>
      </c>
      <c r="J591" s="135"/>
      <c r="K591" s="190">
        <v>14</v>
      </c>
      <c r="L591" s="190"/>
      <c r="M591" s="139">
        <f>ROUND($K591*D591,0)</f>
        <v>130900</v>
      </c>
    </row>
    <row r="592" spans="1:13">
      <c r="A592" s="136" t="s">
        <v>212</v>
      </c>
      <c r="C592" s="135">
        <v>0</v>
      </c>
      <c r="D592" s="135">
        <f>ROUND($C592*(D$579+D$578)/($C$579+$C$578),0)</f>
        <v>0</v>
      </c>
      <c r="E592" s="135"/>
      <c r="F592" s="190">
        <v>2</v>
      </c>
      <c r="G592" s="190"/>
      <c r="H592" s="139">
        <f t="shared" si="137"/>
        <v>0</v>
      </c>
      <c r="I592" s="139">
        <f t="shared" si="137"/>
        <v>0</v>
      </c>
      <c r="J592" s="135"/>
      <c r="K592" s="190">
        <v>2</v>
      </c>
      <c r="L592" s="190"/>
      <c r="M592" s="139">
        <f>ROUND($K592*D592,0)</f>
        <v>0</v>
      </c>
    </row>
    <row r="593" spans="1:13">
      <c r="A593" s="136" t="s">
        <v>213</v>
      </c>
      <c r="C593" s="135">
        <v>3601</v>
      </c>
      <c r="D593" s="135">
        <v>6499.1215705954874</v>
      </c>
      <c r="E593" s="135"/>
      <c r="F593" s="138">
        <v>-0.5</v>
      </c>
      <c r="G593" s="138"/>
      <c r="H593" s="139">
        <f t="shared" si="137"/>
        <v>-1801</v>
      </c>
      <c r="I593" s="139">
        <f t="shared" si="137"/>
        <v>-3250</v>
      </c>
      <c r="J593" s="135"/>
      <c r="K593" s="138">
        <v>-0.5</v>
      </c>
      <c r="L593" s="138"/>
      <c r="M593" s="139">
        <f>ROUND($K593*D593,0)</f>
        <v>-3250</v>
      </c>
    </row>
    <row r="594" spans="1:13">
      <c r="A594" s="136" t="s">
        <v>214</v>
      </c>
      <c r="C594" s="214">
        <v>48117051.795699999</v>
      </c>
      <c r="D594" s="214">
        <f>ROUND($C594*D$597/($C$597-$C$596),0)</f>
        <v>61247110</v>
      </c>
      <c r="E594" s="214"/>
      <c r="F594" s="215">
        <v>4.8788999999999998</v>
      </c>
      <c r="G594" s="216" t="s">
        <v>112</v>
      </c>
      <c r="H594" s="217">
        <f>ROUND($F594*C594/100,0)</f>
        <v>2347583</v>
      </c>
      <c r="I594" s="217">
        <f>ROUND($F594*D594/100,0)</f>
        <v>2988185</v>
      </c>
      <c r="J594" s="214"/>
      <c r="K594" s="215">
        <v>5.0267999999999997</v>
      </c>
      <c r="L594" s="216" t="s">
        <v>112</v>
      </c>
      <c r="M594" s="217">
        <f>ROUND($K594*D594/100,0)</f>
        <v>3078770</v>
      </c>
    </row>
    <row r="595" spans="1:13">
      <c r="A595" s="136" t="s">
        <v>215</v>
      </c>
      <c r="C595" s="135">
        <f>SUM(C594)</f>
        <v>48117051.795699999</v>
      </c>
      <c r="D595" s="135">
        <f>SUM(D594)</f>
        <v>61247110</v>
      </c>
      <c r="E595" s="135"/>
      <c r="F595" s="138"/>
      <c r="G595" s="138"/>
      <c r="H595" s="139">
        <f>SUM(H591:H594)</f>
        <v>2477687</v>
      </c>
      <c r="I595" s="139">
        <f>SUM(I591:I594)</f>
        <v>3115835</v>
      </c>
      <c r="J595" s="135"/>
      <c r="K595" s="138"/>
      <c r="L595" s="138"/>
      <c r="M595" s="139">
        <f>SUM(M591:M594)</f>
        <v>3206420</v>
      </c>
    </row>
    <row r="596" spans="1:13">
      <c r="A596" s="172" t="s">
        <v>125</v>
      </c>
      <c r="B596" s="173"/>
      <c r="C596" s="135">
        <v>8678</v>
      </c>
      <c r="D596" s="135"/>
      <c r="E596" s="135"/>
      <c r="F596" s="174"/>
      <c r="G596" s="13"/>
      <c r="H596" s="139">
        <v>-960</v>
      </c>
      <c r="I596" s="139"/>
      <c r="J596" s="135"/>
      <c r="K596" s="174"/>
      <c r="L596" s="13"/>
      <c r="M596" s="139"/>
    </row>
    <row r="597" spans="1:13" ht="16.5" thickBot="1">
      <c r="A597" s="176" t="s">
        <v>127</v>
      </c>
      <c r="B597" s="177"/>
      <c r="C597" s="178">
        <f>SUM(C589,C595:C596)</f>
        <v>183073252.33420002</v>
      </c>
      <c r="D597" s="178">
        <v>233018766.75156945</v>
      </c>
      <c r="E597" s="178"/>
      <c r="F597" s="177"/>
      <c r="G597" s="177"/>
      <c r="H597" s="179">
        <f>SUM(H589,H595:H596)</f>
        <v>14451331</v>
      </c>
      <c r="I597" s="179">
        <f>SUM(I589,I595:I596)</f>
        <v>18264589</v>
      </c>
      <c r="J597" s="178"/>
      <c r="K597" s="177"/>
      <c r="L597" s="177"/>
      <c r="M597" s="179">
        <f>SUM(M589,M595:M596)</f>
        <v>18818136</v>
      </c>
    </row>
    <row r="598" spans="1:13" ht="16.5" thickTop="1">
      <c r="C598" s="135"/>
      <c r="D598" s="135"/>
      <c r="E598" s="135"/>
      <c r="J598" s="135"/>
    </row>
    <row r="599" spans="1:13">
      <c r="A599" s="133" t="s">
        <v>477</v>
      </c>
    </row>
    <row r="600" spans="1:13">
      <c r="A600" s="136" t="s">
        <v>198</v>
      </c>
      <c r="C600" s="135">
        <v>80.238648648648606</v>
      </c>
      <c r="D600" s="135">
        <v>95.833333333333329</v>
      </c>
      <c r="E600" s="135"/>
      <c r="F600" s="190">
        <v>37</v>
      </c>
      <c r="G600" s="190"/>
      <c r="H600" s="139">
        <f t="shared" ref="H600:I606" si="138">ROUND($F600*C600,0)</f>
        <v>2969</v>
      </c>
      <c r="I600" s="139">
        <f t="shared" si="138"/>
        <v>3546</v>
      </c>
      <c r="J600" s="135"/>
      <c r="K600" s="190">
        <v>38</v>
      </c>
      <c r="L600" s="190"/>
      <c r="M600" s="139">
        <f t="shared" ref="M600:M606" si="139">ROUND($K600*D600,0)</f>
        <v>3642</v>
      </c>
    </row>
    <row r="601" spans="1:13">
      <c r="A601" s="136" t="s">
        <v>200</v>
      </c>
      <c r="C601" s="135">
        <v>0</v>
      </c>
      <c r="D601" s="135">
        <v>0</v>
      </c>
      <c r="E601" s="135"/>
      <c r="F601" s="190">
        <v>122</v>
      </c>
      <c r="G601" s="190"/>
      <c r="H601" s="139">
        <f>ROUND($F601*C601,0)</f>
        <v>0</v>
      </c>
      <c r="I601" s="139">
        <f>ROUND($F601*D601,0)</f>
        <v>0</v>
      </c>
      <c r="J601" s="135"/>
      <c r="K601" s="190">
        <v>126</v>
      </c>
      <c r="L601" s="190"/>
      <c r="M601" s="139">
        <f t="shared" si="139"/>
        <v>0</v>
      </c>
    </row>
    <row r="602" spans="1:13">
      <c r="A602" s="136" t="s">
        <v>201</v>
      </c>
      <c r="C602" s="135">
        <v>327.7</v>
      </c>
      <c r="D602" s="135">
        <f>ROUND($C602*(D$601+D$600)/($C$601+$C$600),0)</f>
        <v>391</v>
      </c>
      <c r="E602" s="135"/>
      <c r="F602" s="190">
        <v>14</v>
      </c>
      <c r="G602" s="190"/>
      <c r="H602" s="139">
        <f t="shared" si="138"/>
        <v>4588</v>
      </c>
      <c r="I602" s="139">
        <f t="shared" si="138"/>
        <v>5474</v>
      </c>
      <c r="J602" s="135"/>
      <c r="K602" s="190">
        <v>14</v>
      </c>
      <c r="L602" s="190"/>
      <c r="M602" s="139">
        <f t="shared" si="139"/>
        <v>5474</v>
      </c>
    </row>
    <row r="603" spans="1:13">
      <c r="A603" s="136" t="s">
        <v>202</v>
      </c>
      <c r="C603" s="135">
        <v>8</v>
      </c>
      <c r="D603" s="135">
        <f>ROUND($C603*(D$601+D$600)/($C$601+$C$600),0)</f>
        <v>10</v>
      </c>
      <c r="E603" s="135"/>
      <c r="F603" s="190">
        <v>2</v>
      </c>
      <c r="G603" s="190"/>
      <c r="H603" s="139">
        <f t="shared" si="138"/>
        <v>16</v>
      </c>
      <c r="I603" s="139">
        <f t="shared" si="138"/>
        <v>20</v>
      </c>
      <c r="J603" s="135"/>
      <c r="K603" s="190">
        <v>2</v>
      </c>
      <c r="L603" s="190"/>
      <c r="M603" s="139">
        <f t="shared" si="139"/>
        <v>20</v>
      </c>
    </row>
    <row r="604" spans="1:13">
      <c r="A604" s="136" t="s">
        <v>203</v>
      </c>
      <c r="C604" s="135">
        <v>100</v>
      </c>
      <c r="D604" s="135">
        <v>271.78144749762947</v>
      </c>
      <c r="E604" s="135"/>
      <c r="F604" s="138">
        <v>-0.5</v>
      </c>
      <c r="G604" s="138"/>
      <c r="H604" s="139">
        <f t="shared" si="138"/>
        <v>-50</v>
      </c>
      <c r="I604" s="139">
        <f t="shared" si="138"/>
        <v>-136</v>
      </c>
      <c r="J604" s="135"/>
      <c r="K604" s="138">
        <v>-0.5</v>
      </c>
      <c r="L604" s="138"/>
      <c r="M604" s="139">
        <f t="shared" si="139"/>
        <v>-136</v>
      </c>
    </row>
    <row r="605" spans="1:13">
      <c r="A605" s="136" t="s">
        <v>204</v>
      </c>
      <c r="C605" s="135">
        <v>25559.948179271702</v>
      </c>
      <c r="D605" s="135">
        <f t="shared" ref="D605:D606" si="140">ROUND($C605*D$619/$C$619,0)</f>
        <v>33036</v>
      </c>
      <c r="E605" s="135"/>
      <c r="F605" s="190">
        <v>7.14</v>
      </c>
      <c r="G605" s="190"/>
      <c r="H605" s="139">
        <f t="shared" si="138"/>
        <v>182498</v>
      </c>
      <c r="I605" s="139">
        <f t="shared" si="138"/>
        <v>235877</v>
      </c>
      <c r="J605" s="135"/>
      <c r="K605" s="190">
        <v>7.36</v>
      </c>
      <c r="L605" s="190"/>
      <c r="M605" s="139">
        <f t="shared" si="139"/>
        <v>243145</v>
      </c>
    </row>
    <row r="606" spans="1:13">
      <c r="A606" s="136" t="s">
        <v>150</v>
      </c>
      <c r="C606" s="135">
        <v>0</v>
      </c>
      <c r="D606" s="135">
        <f t="shared" si="140"/>
        <v>0</v>
      </c>
      <c r="E606" s="135"/>
      <c r="F606" s="190">
        <v>-2.0499999999999998</v>
      </c>
      <c r="G606" s="190"/>
      <c r="H606" s="139">
        <f t="shared" si="138"/>
        <v>0</v>
      </c>
      <c r="I606" s="139">
        <f t="shared" si="138"/>
        <v>0</v>
      </c>
      <c r="J606" s="135"/>
      <c r="K606" s="190">
        <v>-2.0499999999999998</v>
      </c>
      <c r="L606" s="190"/>
      <c r="M606" s="139">
        <f t="shared" si="139"/>
        <v>0</v>
      </c>
    </row>
    <row r="607" spans="1:13">
      <c r="A607" s="136" t="s">
        <v>205</v>
      </c>
      <c r="C607" s="135">
        <v>3135796</v>
      </c>
      <c r="D607" s="135">
        <f>ROUND($C607*D$619/($C$619-$C$618),0)</f>
        <v>4053118</v>
      </c>
      <c r="E607" s="135"/>
      <c r="F607" s="211">
        <v>7.1125999999999996</v>
      </c>
      <c r="G607" s="163" t="s">
        <v>112</v>
      </c>
      <c r="H607" s="139">
        <f t="shared" ref="H607:I610" si="141">ROUND($F607*C607/100,0)</f>
        <v>223037</v>
      </c>
      <c r="I607" s="139">
        <f t="shared" si="141"/>
        <v>288282</v>
      </c>
      <c r="J607" s="135"/>
      <c r="K607" s="211">
        <v>7.3357000000000001</v>
      </c>
      <c r="L607" s="163" t="s">
        <v>112</v>
      </c>
      <c r="M607" s="139">
        <f>ROUND($K607*D607/100,0)</f>
        <v>297325</v>
      </c>
    </row>
    <row r="608" spans="1:13">
      <c r="A608" s="136" t="s">
        <v>206</v>
      </c>
      <c r="C608" s="135">
        <v>2036917</v>
      </c>
      <c r="D608" s="135">
        <f t="shared" ref="D608:D610" si="142">ROUND($C608*D$619/($C$619-$C$618),0)</f>
        <v>2632781</v>
      </c>
      <c r="E608" s="135"/>
      <c r="F608" s="211">
        <v>5.2572999999999999</v>
      </c>
      <c r="G608" s="163" t="s">
        <v>112</v>
      </c>
      <c r="H608" s="139">
        <f t="shared" si="141"/>
        <v>107087</v>
      </c>
      <c r="I608" s="139">
        <f t="shared" si="141"/>
        <v>138413</v>
      </c>
      <c r="J608" s="135"/>
      <c r="K608" s="211">
        <v>5.4166999999999996</v>
      </c>
      <c r="L608" s="163" t="s">
        <v>112</v>
      </c>
      <c r="M608" s="139">
        <f>ROUND($K608*D608/100,0)</f>
        <v>142610</v>
      </c>
    </row>
    <row r="609" spans="1:13">
      <c r="A609" s="136" t="s">
        <v>207</v>
      </c>
      <c r="C609" s="135">
        <v>78940</v>
      </c>
      <c r="D609" s="135">
        <f t="shared" si="142"/>
        <v>102032</v>
      </c>
      <c r="E609" s="135"/>
      <c r="F609" s="211">
        <v>14.052</v>
      </c>
      <c r="G609" s="199" t="s">
        <v>112</v>
      </c>
      <c r="H609" s="139">
        <f t="shared" si="141"/>
        <v>11093</v>
      </c>
      <c r="I609" s="139">
        <f t="shared" si="141"/>
        <v>14338</v>
      </c>
      <c r="J609" s="135"/>
      <c r="K609" s="211">
        <v>14.478</v>
      </c>
      <c r="L609" s="199" t="s">
        <v>112</v>
      </c>
      <c r="M609" s="139">
        <f>ROUND($K609*D609/100,0)</f>
        <v>14772</v>
      </c>
    </row>
    <row r="610" spans="1:13">
      <c r="A610" s="136" t="s">
        <v>208</v>
      </c>
      <c r="C610" s="214">
        <v>230502</v>
      </c>
      <c r="D610" s="214">
        <f t="shared" si="142"/>
        <v>297931</v>
      </c>
      <c r="E610" s="214"/>
      <c r="F610" s="215">
        <v>4.0491999999999999</v>
      </c>
      <c r="G610" s="218" t="s">
        <v>112</v>
      </c>
      <c r="H610" s="217">
        <f t="shared" si="141"/>
        <v>9333</v>
      </c>
      <c r="I610" s="217">
        <f t="shared" si="141"/>
        <v>12064</v>
      </c>
      <c r="J610" s="214"/>
      <c r="K610" s="215">
        <v>4.1719999999999997</v>
      </c>
      <c r="L610" s="218" t="s">
        <v>112</v>
      </c>
      <c r="M610" s="217">
        <f>ROUND($K610*D610/100,0)</f>
        <v>12430</v>
      </c>
    </row>
    <row r="611" spans="1:13">
      <c r="A611" s="136" t="s">
        <v>209</v>
      </c>
      <c r="C611" s="135">
        <f>SUM(C607:C610)</f>
        <v>5482155</v>
      </c>
      <c r="D611" s="135">
        <f>SUM(D607:D610)</f>
        <v>7085862</v>
      </c>
      <c r="E611" s="135"/>
      <c r="F611" s="193"/>
      <c r="G611" s="163"/>
      <c r="H611" s="139">
        <f>SUM(H600:H610)</f>
        <v>540571</v>
      </c>
      <c r="I611" s="139">
        <f>SUM(I600:I610)</f>
        <v>697878</v>
      </c>
      <c r="J611" s="135"/>
      <c r="K611" s="193"/>
      <c r="L611" s="163"/>
      <c r="M611" s="139">
        <f>SUM(M600:M604,M605:M610)</f>
        <v>719282</v>
      </c>
    </row>
    <row r="612" spans="1:13">
      <c r="A612" s="136" t="s">
        <v>210</v>
      </c>
      <c r="C612" s="135"/>
      <c r="D612" s="135"/>
      <c r="E612" s="135"/>
      <c r="F612" s="193"/>
      <c r="G612" s="163"/>
      <c r="H612" s="139"/>
      <c r="I612" s="139"/>
      <c r="J612" s="135"/>
      <c r="K612" s="193"/>
      <c r="L612" s="163"/>
      <c r="M612" s="139"/>
    </row>
    <row r="613" spans="1:13">
      <c r="A613" s="136" t="s">
        <v>211</v>
      </c>
      <c r="C613" s="135">
        <v>194.68285714285702</v>
      </c>
      <c r="D613" s="135">
        <f>ROUND($C613*(D$579+D$578)/($C$579+$C$578),0)</f>
        <v>193</v>
      </c>
      <c r="E613" s="135"/>
      <c r="F613" s="190">
        <v>14</v>
      </c>
      <c r="G613" s="190"/>
      <c r="H613" s="139">
        <f t="shared" ref="H613:I615" si="143">ROUND($F613*C613,0)</f>
        <v>2726</v>
      </c>
      <c r="I613" s="139">
        <f t="shared" si="143"/>
        <v>2702</v>
      </c>
      <c r="J613" s="135"/>
      <c r="K613" s="190">
        <v>14</v>
      </c>
      <c r="L613" s="190"/>
      <c r="M613" s="139">
        <f>ROUND($K613*D613,0)</f>
        <v>2702</v>
      </c>
    </row>
    <row r="614" spans="1:13">
      <c r="A614" s="136" t="s">
        <v>212</v>
      </c>
      <c r="C614" s="135">
        <v>16</v>
      </c>
      <c r="D614" s="135">
        <f>ROUND($C614*(D$579+D$578)/($C$579+$C$578),0)</f>
        <v>16</v>
      </c>
      <c r="E614" s="135"/>
      <c r="F614" s="190">
        <v>2</v>
      </c>
      <c r="G614" s="190"/>
      <c r="H614" s="139">
        <f t="shared" si="143"/>
        <v>32</v>
      </c>
      <c r="I614" s="139">
        <f t="shared" si="143"/>
        <v>32</v>
      </c>
      <c r="J614" s="135"/>
      <c r="K614" s="190">
        <v>2</v>
      </c>
      <c r="L614" s="190"/>
      <c r="M614" s="139">
        <f>ROUND($K614*D614,0)</f>
        <v>32</v>
      </c>
    </row>
    <row r="615" spans="1:13">
      <c r="A615" s="136" t="s">
        <v>213</v>
      </c>
      <c r="C615" s="135">
        <v>82</v>
      </c>
      <c r="D615" s="135">
        <v>134.15299070854857</v>
      </c>
      <c r="E615" s="135"/>
      <c r="F615" s="138">
        <v>-0.5</v>
      </c>
      <c r="G615" s="138"/>
      <c r="H615" s="139">
        <f t="shared" si="143"/>
        <v>-41</v>
      </c>
      <c r="I615" s="139">
        <f t="shared" si="143"/>
        <v>-67</v>
      </c>
      <c r="J615" s="135"/>
      <c r="K615" s="138">
        <v>-0.5</v>
      </c>
      <c r="L615" s="138"/>
      <c r="M615" s="139">
        <f>ROUND($K615*D615,0)</f>
        <v>-67</v>
      </c>
    </row>
    <row r="616" spans="1:13">
      <c r="A616" s="136" t="s">
        <v>214</v>
      </c>
      <c r="C616" s="214">
        <v>1632237</v>
      </c>
      <c r="D616" s="214">
        <f>ROUND($C616*D$619/($C$619-$C$618),0)</f>
        <v>2109719</v>
      </c>
      <c r="E616" s="214"/>
      <c r="F616" s="215">
        <v>4.8788999999999998</v>
      </c>
      <c r="G616" s="216" t="s">
        <v>112</v>
      </c>
      <c r="H616" s="217">
        <f>ROUND($F616*C616/100,0)</f>
        <v>79635</v>
      </c>
      <c r="I616" s="217">
        <f>ROUND($F616*D616/100,0)</f>
        <v>102931</v>
      </c>
      <c r="J616" s="214"/>
      <c r="K616" s="215">
        <v>5.0267999999999997</v>
      </c>
      <c r="L616" s="216" t="s">
        <v>112</v>
      </c>
      <c r="M616" s="217">
        <f>ROUND($K616*D616/100,0)</f>
        <v>106051</v>
      </c>
    </row>
    <row r="617" spans="1:13">
      <c r="A617" s="136" t="s">
        <v>215</v>
      </c>
      <c r="C617" s="135">
        <f>SUM(C616)</f>
        <v>1632237</v>
      </c>
      <c r="D617" s="135">
        <f>SUM(D616)</f>
        <v>2109719</v>
      </c>
      <c r="E617" s="135"/>
      <c r="F617" s="138"/>
      <c r="G617" s="138"/>
      <c r="H617" s="139">
        <f>SUM(H613:H616)</f>
        <v>82352</v>
      </c>
      <c r="I617" s="139">
        <f>SUM(I613:I616)</f>
        <v>105598</v>
      </c>
      <c r="J617" s="135"/>
      <c r="K617" s="138"/>
      <c r="L617" s="138"/>
      <c r="M617" s="139">
        <f>SUM(M613:M616)</f>
        <v>108718</v>
      </c>
    </row>
    <row r="618" spans="1:13">
      <c r="A618" s="172" t="s">
        <v>125</v>
      </c>
      <c r="B618" s="173"/>
      <c r="C618" s="135">
        <v>322</v>
      </c>
      <c r="D618" s="135"/>
      <c r="E618" s="135"/>
      <c r="F618" s="174"/>
      <c r="G618" s="13"/>
      <c r="H618" s="139">
        <v>-40</v>
      </c>
      <c r="I618" s="139"/>
      <c r="J618" s="135"/>
      <c r="K618" s="174"/>
      <c r="L618" s="13"/>
      <c r="M618" s="139"/>
    </row>
    <row r="619" spans="1:13" ht="16.5" thickBot="1">
      <c r="A619" s="176" t="s">
        <v>127</v>
      </c>
      <c r="B619" s="177"/>
      <c r="C619" s="178">
        <f>SUM(C611,C617:C618)</f>
        <v>7114714</v>
      </c>
      <c r="D619" s="178">
        <v>9195581.3520375416</v>
      </c>
      <c r="E619" s="178"/>
      <c r="F619" s="177"/>
      <c r="G619" s="177"/>
      <c r="H619" s="179">
        <f>SUM(H611,H617:H618)</f>
        <v>622883</v>
      </c>
      <c r="I619" s="179">
        <f>SUM(I611,I617:I618)</f>
        <v>803476</v>
      </c>
      <c r="J619" s="178"/>
      <c r="K619" s="177"/>
      <c r="L619" s="177"/>
      <c r="M619" s="179">
        <f>SUM(M611,M617:M618)</f>
        <v>828000</v>
      </c>
    </row>
    <row r="620" spans="1:13" ht="16.5" thickTop="1">
      <c r="A620" s="136"/>
      <c r="C620" s="135"/>
      <c r="D620" s="135"/>
      <c r="E620" s="135"/>
      <c r="H620" s="139"/>
      <c r="I620" s="139"/>
      <c r="J620" s="135"/>
      <c r="M620" s="139"/>
    </row>
    <row r="621" spans="1:13">
      <c r="A621" s="133" t="s">
        <v>216</v>
      </c>
      <c r="C621" s="135"/>
      <c r="D621" s="135"/>
      <c r="E621" s="135"/>
      <c r="H621" s="139"/>
      <c r="I621" s="139"/>
      <c r="J621" s="135"/>
      <c r="M621" s="139"/>
    </row>
    <row r="622" spans="1:13">
      <c r="A622" s="172" t="s">
        <v>217</v>
      </c>
      <c r="B622" s="132"/>
      <c r="C622" s="135"/>
      <c r="D622" s="135">
        <v>42695274.524540722</v>
      </c>
      <c r="E622" s="135"/>
      <c r="F622" s="184"/>
      <c r="G622" s="13"/>
      <c r="H622" s="139"/>
      <c r="I622" s="139"/>
      <c r="J622" s="135"/>
      <c r="K622" s="184">
        <v>14.5708</v>
      </c>
      <c r="L622" s="13" t="s">
        <v>112</v>
      </c>
      <c r="M622" s="139">
        <f>ROUND($K622*D622/100,0)</f>
        <v>6221043</v>
      </c>
    </row>
    <row r="623" spans="1:13">
      <c r="A623" s="172" t="s">
        <v>219</v>
      </c>
      <c r="B623" s="132"/>
      <c r="C623" s="135"/>
      <c r="D623" s="135">
        <f>D624-D622</f>
        <v>136162244.47545928</v>
      </c>
      <c r="E623" s="135"/>
      <c r="F623" s="184"/>
      <c r="G623" s="13"/>
      <c r="H623" s="139"/>
      <c r="I623" s="139"/>
      <c r="J623" s="135"/>
      <c r="K623" s="184">
        <v>4.1631</v>
      </c>
      <c r="L623" s="13" t="s">
        <v>112</v>
      </c>
      <c r="M623" s="139">
        <f>ROUND($K623*D623/100,0)</f>
        <v>5668570</v>
      </c>
    </row>
    <row r="624" spans="1:13" ht="16.5" thickBot="1">
      <c r="A624" s="176" t="s">
        <v>127</v>
      </c>
      <c r="B624" s="177"/>
      <c r="C624" s="178"/>
      <c r="D624" s="178">
        <f>SUM(D589,D611)</f>
        <v>178857519</v>
      </c>
      <c r="E624" s="178"/>
      <c r="F624" s="177"/>
      <c r="G624" s="177"/>
      <c r="H624" s="179"/>
      <c r="I624" s="179"/>
      <c r="J624" s="178"/>
      <c r="K624" s="177"/>
      <c r="L624" s="177"/>
      <c r="M624" s="179">
        <f>SUM(M622:M623)</f>
        <v>11889613</v>
      </c>
    </row>
    <row r="625" spans="1:13" ht="16.5" thickTop="1">
      <c r="A625" s="136"/>
      <c r="C625" s="135"/>
      <c r="D625" s="135"/>
      <c r="E625" s="135"/>
      <c r="H625" s="139"/>
      <c r="I625" s="139"/>
      <c r="J625" s="135"/>
      <c r="M625" s="139"/>
    </row>
    <row r="626" spans="1:13">
      <c r="A626" s="133" t="s">
        <v>221</v>
      </c>
      <c r="C626" s="135"/>
      <c r="D626" s="135"/>
      <c r="E626" s="135"/>
      <c r="J626" s="135"/>
    </row>
    <row r="627" spans="1:13">
      <c r="A627" s="136" t="s">
        <v>173</v>
      </c>
      <c r="C627" s="135">
        <v>575</v>
      </c>
      <c r="D627" s="135">
        <v>795</v>
      </c>
      <c r="E627" s="135"/>
      <c r="F627" s="201"/>
      <c r="G627" s="138"/>
      <c r="H627" s="139"/>
      <c r="I627" s="139"/>
      <c r="J627" s="135"/>
      <c r="K627" s="201"/>
      <c r="L627" s="138"/>
      <c r="M627" s="139"/>
    </row>
    <row r="628" spans="1:13">
      <c r="A628" s="136" t="s">
        <v>174</v>
      </c>
      <c r="C628" s="135">
        <v>12316825.99443122</v>
      </c>
      <c r="D628" s="135">
        <f>D648</f>
        <v>13419473.87727958</v>
      </c>
      <c r="E628" s="135"/>
      <c r="F628" s="201"/>
      <c r="G628" s="138"/>
      <c r="H628" s="139"/>
      <c r="I628" s="139"/>
      <c r="J628" s="135"/>
      <c r="K628" s="201"/>
      <c r="L628" s="138"/>
      <c r="M628" s="139"/>
    </row>
    <row r="629" spans="1:13">
      <c r="A629" s="133" t="s">
        <v>222</v>
      </c>
      <c r="B629" s="219" t="s">
        <v>223</v>
      </c>
      <c r="C629" s="135"/>
      <c r="D629" s="135"/>
      <c r="E629" s="135"/>
      <c r="J629" s="135"/>
    </row>
    <row r="630" spans="1:13">
      <c r="A630" s="136" t="s">
        <v>224</v>
      </c>
      <c r="B630" s="220" t="s">
        <v>225</v>
      </c>
      <c r="C630" s="135">
        <v>29257.770727580355</v>
      </c>
      <c r="D630" s="135">
        <f>ROUND($C630*D$648/($C$648-$C$647),0)</f>
        <v>31877</v>
      </c>
      <c r="E630" s="135"/>
      <c r="F630" s="201">
        <v>11.82</v>
      </c>
      <c r="G630" s="138"/>
      <c r="H630" s="139">
        <f t="shared" ref="H630:I635" si="144">ROUND(C630*$F630,0)</f>
        <v>345827</v>
      </c>
      <c r="I630" s="139">
        <f t="shared" si="144"/>
        <v>376786</v>
      </c>
      <c r="J630" s="135"/>
      <c r="K630" s="201">
        <v>11.87</v>
      </c>
      <c r="L630" s="138"/>
      <c r="M630" s="139">
        <f t="shared" ref="M630:M635" si="145">ROUND(D630*$K630,0)</f>
        <v>378380</v>
      </c>
    </row>
    <row r="631" spans="1:13">
      <c r="A631" s="136" t="s">
        <v>226</v>
      </c>
      <c r="B631" s="220" t="s">
        <v>227</v>
      </c>
      <c r="C631" s="135">
        <v>184243.17346938769</v>
      </c>
      <c r="D631" s="135">
        <f t="shared" ref="D631:D646" si="146">ROUND($C631*D$648/($C$648-$C$647),0)</f>
        <v>200737</v>
      </c>
      <c r="E631" s="135"/>
      <c r="F631" s="201">
        <v>12.74</v>
      </c>
      <c r="G631" s="138"/>
      <c r="H631" s="139">
        <f t="shared" si="144"/>
        <v>2347258</v>
      </c>
      <c r="I631" s="139">
        <f t="shared" si="144"/>
        <v>2557389</v>
      </c>
      <c r="J631" s="135"/>
      <c r="K631" s="201">
        <v>12.8</v>
      </c>
      <c r="L631" s="138"/>
      <c r="M631" s="139">
        <f t="shared" si="145"/>
        <v>2569434</v>
      </c>
    </row>
    <row r="632" spans="1:13">
      <c r="A632" s="136" t="s">
        <v>228</v>
      </c>
      <c r="B632" s="220" t="s">
        <v>229</v>
      </c>
      <c r="C632" s="135">
        <v>18351.686884003058</v>
      </c>
      <c r="D632" s="135">
        <f t="shared" si="146"/>
        <v>19995</v>
      </c>
      <c r="E632" s="135"/>
      <c r="F632" s="201">
        <v>13.19</v>
      </c>
      <c r="G632" s="138"/>
      <c r="H632" s="139">
        <f t="shared" si="144"/>
        <v>242059</v>
      </c>
      <c r="I632" s="139">
        <f t="shared" si="144"/>
        <v>263734</v>
      </c>
      <c r="J632" s="135"/>
      <c r="K632" s="201">
        <v>13.25</v>
      </c>
      <c r="L632" s="138"/>
      <c r="M632" s="139">
        <f t="shared" si="145"/>
        <v>264934</v>
      </c>
    </row>
    <row r="633" spans="1:13">
      <c r="A633" s="136" t="s">
        <v>230</v>
      </c>
      <c r="B633" s="220" t="s">
        <v>231</v>
      </c>
      <c r="C633" s="135">
        <v>414.56673960612699</v>
      </c>
      <c r="D633" s="135">
        <f t="shared" si="146"/>
        <v>452</v>
      </c>
      <c r="E633" s="135"/>
      <c r="F633" s="201">
        <v>13.71</v>
      </c>
      <c r="G633" s="138"/>
      <c r="H633" s="139">
        <f t="shared" si="144"/>
        <v>5684</v>
      </c>
      <c r="I633" s="139">
        <f t="shared" si="144"/>
        <v>6197</v>
      </c>
      <c r="J633" s="135"/>
      <c r="K633" s="201">
        <v>13.77</v>
      </c>
      <c r="L633" s="138"/>
      <c r="M633" s="139">
        <f t="shared" si="145"/>
        <v>6224</v>
      </c>
    </row>
    <row r="634" spans="1:13">
      <c r="A634" s="136" t="s">
        <v>232</v>
      </c>
      <c r="B634" s="220" t="s">
        <v>233</v>
      </c>
      <c r="C634" s="135">
        <v>18659.322602739714</v>
      </c>
      <c r="D634" s="135">
        <f t="shared" si="146"/>
        <v>20330</v>
      </c>
      <c r="E634" s="135"/>
      <c r="F634" s="201">
        <v>14.6</v>
      </c>
      <c r="G634" s="138"/>
      <c r="H634" s="139">
        <f t="shared" si="144"/>
        <v>272426</v>
      </c>
      <c r="I634" s="139">
        <f t="shared" si="144"/>
        <v>296818</v>
      </c>
      <c r="J634" s="135"/>
      <c r="K634" s="201">
        <v>14.66</v>
      </c>
      <c r="L634" s="138"/>
      <c r="M634" s="139">
        <f t="shared" si="145"/>
        <v>298038</v>
      </c>
    </row>
    <row r="635" spans="1:13">
      <c r="A635" s="136" t="s">
        <v>234</v>
      </c>
      <c r="B635" s="220" t="s">
        <v>235</v>
      </c>
      <c r="C635" s="135">
        <v>6734.4518309859168</v>
      </c>
      <c r="D635" s="135">
        <f t="shared" si="146"/>
        <v>7337</v>
      </c>
      <c r="E635" s="135"/>
      <c r="F635" s="201">
        <v>17.75</v>
      </c>
      <c r="G635" s="138"/>
      <c r="H635" s="139">
        <f t="shared" si="144"/>
        <v>119537</v>
      </c>
      <c r="I635" s="139">
        <f t="shared" si="144"/>
        <v>130232</v>
      </c>
      <c r="J635" s="135"/>
      <c r="K635" s="201">
        <v>17.829999999999998</v>
      </c>
      <c r="L635" s="138"/>
      <c r="M635" s="139">
        <f t="shared" si="145"/>
        <v>130819</v>
      </c>
    </row>
    <row r="636" spans="1:13">
      <c r="A636" s="133" t="s">
        <v>236</v>
      </c>
      <c r="B636" s="220"/>
      <c r="C636" s="135"/>
      <c r="D636" s="135"/>
      <c r="E636" s="135"/>
      <c r="F636" s="201"/>
      <c r="G636" s="138"/>
      <c r="H636" s="139"/>
      <c r="I636" s="139"/>
      <c r="J636" s="135"/>
      <c r="K636" s="201"/>
      <c r="L636" s="138"/>
      <c r="M636" s="139"/>
    </row>
    <row r="637" spans="1:13">
      <c r="A637" s="136" t="s">
        <v>228</v>
      </c>
      <c r="B637" s="220" t="s">
        <v>237</v>
      </c>
      <c r="C637" s="135">
        <v>3182.0427645788341</v>
      </c>
      <c r="D637" s="135">
        <f t="shared" si="146"/>
        <v>3467</v>
      </c>
      <c r="E637" s="135"/>
      <c r="F637" s="201">
        <v>23.15</v>
      </c>
      <c r="G637" s="138"/>
      <c r="H637" s="139">
        <f>ROUND(C637*$F637,0)</f>
        <v>73664</v>
      </c>
      <c r="I637" s="139">
        <f>ROUND(D637*$F637,0)</f>
        <v>80261</v>
      </c>
      <c r="J637" s="135"/>
      <c r="K637" s="201">
        <v>23.25</v>
      </c>
      <c r="L637" s="138"/>
      <c r="M637" s="139">
        <f>ROUND(D637*$K637,0)</f>
        <v>80608</v>
      </c>
    </row>
    <row r="638" spans="1:13">
      <c r="A638" s="133" t="s">
        <v>238</v>
      </c>
      <c r="B638" s="220"/>
      <c r="C638" s="135"/>
      <c r="D638" s="135"/>
      <c r="E638" s="135"/>
      <c r="F638" s="201"/>
      <c r="G638" s="138"/>
      <c r="H638" s="139"/>
      <c r="I638" s="139"/>
      <c r="J638" s="135"/>
      <c r="K638" s="201"/>
      <c r="L638" s="138"/>
      <c r="M638" s="139"/>
    </row>
    <row r="639" spans="1:13">
      <c r="A639" s="136" t="s">
        <v>224</v>
      </c>
      <c r="B639" s="220" t="s">
        <v>225</v>
      </c>
      <c r="C639" s="135">
        <v>1159.5</v>
      </c>
      <c r="D639" s="135">
        <f t="shared" si="146"/>
        <v>1263</v>
      </c>
      <c r="E639" s="135"/>
      <c r="F639" s="201">
        <v>6.04</v>
      </c>
      <c r="G639" s="138"/>
      <c r="H639" s="139">
        <f t="shared" ref="H639:I644" si="147">ROUND(C639*$F639,0)</f>
        <v>7003</v>
      </c>
      <c r="I639" s="139">
        <f t="shared" si="147"/>
        <v>7629</v>
      </c>
      <c r="J639" s="135"/>
      <c r="K639" s="201">
        <v>6.07</v>
      </c>
      <c r="L639" s="138"/>
      <c r="M639" s="139">
        <f t="shared" ref="M639:M644" si="148">ROUND(D639*$K639,0)</f>
        <v>7666</v>
      </c>
    </row>
    <row r="640" spans="1:13">
      <c r="A640" s="136" t="s">
        <v>226</v>
      </c>
      <c r="B640" s="220" t="s">
        <v>227</v>
      </c>
      <c r="C640" s="135">
        <v>16471.8554033486</v>
      </c>
      <c r="D640" s="135">
        <f t="shared" si="146"/>
        <v>17946</v>
      </c>
      <c r="E640" s="135"/>
      <c r="F640" s="201">
        <v>6.57</v>
      </c>
      <c r="G640" s="138"/>
      <c r="H640" s="139">
        <f t="shared" si="147"/>
        <v>108220</v>
      </c>
      <c r="I640" s="139">
        <f t="shared" si="147"/>
        <v>117905</v>
      </c>
      <c r="J640" s="135"/>
      <c r="K640" s="201">
        <v>6.6</v>
      </c>
      <c r="L640" s="138"/>
      <c r="M640" s="139">
        <f t="shared" si="148"/>
        <v>118444</v>
      </c>
    </row>
    <row r="641" spans="1:13">
      <c r="A641" s="136" t="s">
        <v>228</v>
      </c>
      <c r="B641" s="220" t="s">
        <v>229</v>
      </c>
      <c r="C641" s="135">
        <v>3007.4806866952799</v>
      </c>
      <c r="D641" s="135">
        <f t="shared" si="146"/>
        <v>3277</v>
      </c>
      <c r="E641" s="135"/>
      <c r="F641" s="201">
        <v>6.99</v>
      </c>
      <c r="G641" s="138"/>
      <c r="H641" s="139">
        <f t="shared" si="147"/>
        <v>21022</v>
      </c>
      <c r="I641" s="139">
        <f t="shared" si="147"/>
        <v>22906</v>
      </c>
      <c r="J641" s="135"/>
      <c r="K641" s="201">
        <v>7.02</v>
      </c>
      <c r="L641" s="138"/>
      <c r="M641" s="139">
        <f t="shared" si="148"/>
        <v>23005</v>
      </c>
    </row>
    <row r="642" spans="1:13">
      <c r="A642" s="136" t="s">
        <v>230</v>
      </c>
      <c r="B642" s="220" t="s">
        <v>231</v>
      </c>
      <c r="C642" s="135">
        <v>0</v>
      </c>
      <c r="D642" s="135">
        <f t="shared" si="146"/>
        <v>0</v>
      </c>
      <c r="E642" s="135"/>
      <c r="F642" s="201">
        <v>7.46</v>
      </c>
      <c r="G642" s="138"/>
      <c r="H642" s="139">
        <f t="shared" si="147"/>
        <v>0</v>
      </c>
      <c r="I642" s="139">
        <f t="shared" si="147"/>
        <v>0</v>
      </c>
      <c r="J642" s="135"/>
      <c r="K642" s="201">
        <v>7.49</v>
      </c>
      <c r="L642" s="138"/>
      <c r="M642" s="139">
        <f t="shared" si="148"/>
        <v>0</v>
      </c>
    </row>
    <row r="643" spans="1:13">
      <c r="A643" s="136" t="s">
        <v>232</v>
      </c>
      <c r="B643" s="220" t="s">
        <v>233</v>
      </c>
      <c r="C643" s="135">
        <v>2547.2662500000001</v>
      </c>
      <c r="D643" s="135">
        <f t="shared" si="146"/>
        <v>2775</v>
      </c>
      <c r="E643" s="135"/>
      <c r="F643" s="201">
        <v>8</v>
      </c>
      <c r="G643" s="138"/>
      <c r="H643" s="139">
        <f t="shared" si="147"/>
        <v>20378</v>
      </c>
      <c r="I643" s="139">
        <f t="shared" si="147"/>
        <v>22200</v>
      </c>
      <c r="J643" s="135"/>
      <c r="K643" s="201">
        <v>8.0299999999999994</v>
      </c>
      <c r="L643" s="138"/>
      <c r="M643" s="139">
        <f t="shared" si="148"/>
        <v>22283</v>
      </c>
    </row>
    <row r="644" spans="1:13">
      <c r="A644" s="136" t="s">
        <v>234</v>
      </c>
      <c r="B644" s="220" t="s">
        <v>235</v>
      </c>
      <c r="C644" s="135">
        <v>1103.13271604938</v>
      </c>
      <c r="D644" s="135">
        <f t="shared" si="146"/>
        <v>1202</v>
      </c>
      <c r="E644" s="135"/>
      <c r="F644" s="201">
        <v>9.7200000000000006</v>
      </c>
      <c r="G644" s="138"/>
      <c r="H644" s="139">
        <f t="shared" si="147"/>
        <v>10722</v>
      </c>
      <c r="I644" s="139">
        <f t="shared" si="147"/>
        <v>11683</v>
      </c>
      <c r="J644" s="135"/>
      <c r="K644" s="201">
        <v>9.76</v>
      </c>
      <c r="L644" s="138"/>
      <c r="M644" s="139">
        <f t="shared" si="148"/>
        <v>11732</v>
      </c>
    </row>
    <row r="645" spans="1:13">
      <c r="A645" s="133" t="s">
        <v>239</v>
      </c>
      <c r="B645" s="220"/>
      <c r="C645" s="135"/>
      <c r="D645" s="135"/>
      <c r="E645" s="135"/>
      <c r="F645" s="201"/>
      <c r="G645" s="138"/>
      <c r="H645" s="139"/>
      <c r="I645" s="139"/>
      <c r="J645" s="135"/>
      <c r="K645" s="201"/>
      <c r="L645" s="138"/>
      <c r="M645" s="139"/>
    </row>
    <row r="646" spans="1:13">
      <c r="A646" s="136" t="s">
        <v>228</v>
      </c>
      <c r="B646" s="220" t="s">
        <v>237</v>
      </c>
      <c r="C646" s="135">
        <v>597.67572463768101</v>
      </c>
      <c r="D646" s="135">
        <f t="shared" si="146"/>
        <v>651</v>
      </c>
      <c r="E646" s="135"/>
      <c r="F646" s="201">
        <v>5.52</v>
      </c>
      <c r="G646" s="138"/>
      <c r="H646" s="139">
        <f>ROUND(C646*$F646,0)</f>
        <v>3299</v>
      </c>
      <c r="I646" s="139">
        <f>ROUND(D646*$F646,0)</f>
        <v>3594</v>
      </c>
      <c r="J646" s="135"/>
      <c r="K646" s="201">
        <v>5.54</v>
      </c>
      <c r="L646" s="138"/>
      <c r="M646" s="139">
        <f>ROUND(D646*$K646,0)</f>
        <v>3607</v>
      </c>
    </row>
    <row r="647" spans="1:13">
      <c r="A647" s="172" t="s">
        <v>125</v>
      </c>
      <c r="B647" s="173"/>
      <c r="C647" s="135">
        <v>16468</v>
      </c>
      <c r="D647" s="135"/>
      <c r="E647" s="135"/>
      <c r="F647" s="174"/>
      <c r="G647" s="13"/>
      <c r="H647" s="139">
        <v>4799</v>
      </c>
      <c r="I647" s="139"/>
      <c r="J647" s="135"/>
      <c r="K647" s="174"/>
      <c r="L647" s="13"/>
      <c r="M647" s="139"/>
    </row>
    <row r="648" spans="1:13" ht="16.5" thickBot="1">
      <c r="A648" s="176" t="s">
        <v>178</v>
      </c>
      <c r="B648" s="221"/>
      <c r="C648" s="203">
        <f>C628+C647</f>
        <v>12333293.99443122</v>
      </c>
      <c r="D648" s="203">
        <v>13419473.87727958</v>
      </c>
      <c r="E648" s="203"/>
      <c r="F648" s="222"/>
      <c r="G648" s="222"/>
      <c r="H648" s="222">
        <f>SUM(H630:H647)</f>
        <v>3581898</v>
      </c>
      <c r="I648" s="222">
        <f>SUM(I630:I647)</f>
        <v>3897334</v>
      </c>
      <c r="J648" s="203"/>
      <c r="K648" s="222"/>
      <c r="L648" s="222"/>
      <c r="M648" s="222">
        <f>SUM(M630:M647)</f>
        <v>3915174</v>
      </c>
    </row>
    <row r="649" spans="1:13" ht="16.5" thickTop="1">
      <c r="C649" s="135"/>
      <c r="D649" s="135"/>
      <c r="E649" s="135"/>
      <c r="J649" s="135"/>
    </row>
    <row r="650" spans="1:13">
      <c r="A650" s="133" t="s">
        <v>240</v>
      </c>
      <c r="C650" s="135"/>
      <c r="D650" s="135"/>
      <c r="E650" s="135"/>
      <c r="J650" s="135"/>
    </row>
    <row r="651" spans="1:13">
      <c r="A651" s="223" t="s">
        <v>241</v>
      </c>
      <c r="C651" s="135"/>
      <c r="D651" s="135"/>
      <c r="E651" s="135"/>
      <c r="H651" s="139"/>
      <c r="I651" s="139"/>
      <c r="J651" s="135"/>
      <c r="M651" s="139"/>
    </row>
    <row r="652" spans="1:13">
      <c r="A652" s="224" t="s">
        <v>242</v>
      </c>
      <c r="C652" s="135"/>
      <c r="D652" s="135"/>
      <c r="E652" s="135"/>
      <c r="H652" s="139"/>
      <c r="I652" s="139"/>
      <c r="J652" s="135"/>
      <c r="M652" s="139"/>
    </row>
    <row r="653" spans="1:13">
      <c r="A653" s="136" t="s">
        <v>243</v>
      </c>
      <c r="C653" s="135">
        <v>23734.097744360901</v>
      </c>
      <c r="D653" s="135">
        <f>ROUND($C653*D$666/($C$666-$C$665),0)</f>
        <v>18153</v>
      </c>
      <c r="E653" s="135"/>
      <c r="F653" s="138">
        <v>1.33</v>
      </c>
      <c r="G653" s="138"/>
      <c r="H653" s="139">
        <f t="shared" ref="H653:I657" si="149">ROUND(C653*$F653,0)</f>
        <v>31566</v>
      </c>
      <c r="I653" s="139">
        <f t="shared" si="149"/>
        <v>24143</v>
      </c>
      <c r="J653" s="135"/>
      <c r="K653" s="138">
        <v>1.34</v>
      </c>
      <c r="L653" s="138"/>
      <c r="M653" s="139">
        <f>ROUND(D653*$K653,0)</f>
        <v>24325</v>
      </c>
    </row>
    <row r="654" spans="1:13">
      <c r="A654" s="136" t="s">
        <v>244</v>
      </c>
      <c r="C654" s="135">
        <v>101519.480662983</v>
      </c>
      <c r="D654" s="135">
        <f t="shared" ref="D654:D664" si="150">ROUND($C654*D$666/($C$666-$C$665),0)</f>
        <v>77646</v>
      </c>
      <c r="E654" s="135"/>
      <c r="F654" s="138">
        <v>1.81</v>
      </c>
      <c r="G654" s="138"/>
      <c r="H654" s="139">
        <f t="shared" si="149"/>
        <v>183750</v>
      </c>
      <c r="I654" s="139">
        <f t="shared" si="149"/>
        <v>140539</v>
      </c>
      <c r="J654" s="135"/>
      <c r="K654" s="138">
        <v>1.82</v>
      </c>
      <c r="L654" s="138"/>
      <c r="M654" s="139">
        <f>ROUND(D654*$K654,0)</f>
        <v>141316</v>
      </c>
    </row>
    <row r="655" spans="1:13">
      <c r="A655" s="136" t="s">
        <v>245</v>
      </c>
      <c r="C655" s="135">
        <v>28166.2830188679</v>
      </c>
      <c r="D655" s="135">
        <f t="shared" si="150"/>
        <v>21543</v>
      </c>
      <c r="E655" s="135"/>
      <c r="F655" s="138">
        <v>2.65</v>
      </c>
      <c r="G655" s="138"/>
      <c r="H655" s="139">
        <f t="shared" si="149"/>
        <v>74641</v>
      </c>
      <c r="I655" s="139">
        <f t="shared" si="149"/>
        <v>57089</v>
      </c>
      <c r="J655" s="135"/>
      <c r="K655" s="138">
        <v>2.66</v>
      </c>
      <c r="L655" s="138"/>
      <c r="M655" s="139">
        <f>ROUND(D655*$K655,0)</f>
        <v>57304</v>
      </c>
    </row>
    <row r="656" spans="1:13">
      <c r="A656" s="136" t="s">
        <v>246</v>
      </c>
      <c r="C656" s="135">
        <v>20594.515856236801</v>
      </c>
      <c r="D656" s="135">
        <f t="shared" si="150"/>
        <v>15752</v>
      </c>
      <c r="E656" s="135"/>
      <c r="F656" s="138">
        <v>4.7300000000000004</v>
      </c>
      <c r="G656" s="138"/>
      <c r="H656" s="139">
        <f t="shared" si="149"/>
        <v>97412</v>
      </c>
      <c r="I656" s="139">
        <f t="shared" si="149"/>
        <v>74507</v>
      </c>
      <c r="J656" s="135"/>
      <c r="K656" s="138">
        <v>4.75</v>
      </c>
      <c r="L656" s="138"/>
      <c r="M656" s="139">
        <f>ROUND(D656*$K656,0)</f>
        <v>74822</v>
      </c>
    </row>
    <row r="657" spans="1:13">
      <c r="A657" s="136" t="s">
        <v>247</v>
      </c>
      <c r="C657" s="135">
        <v>13581.5873452545</v>
      </c>
      <c r="D657" s="135">
        <f t="shared" si="150"/>
        <v>10388</v>
      </c>
      <c r="E657" s="135"/>
      <c r="F657" s="138">
        <v>7.27</v>
      </c>
      <c r="G657" s="138"/>
      <c r="H657" s="139">
        <f t="shared" si="149"/>
        <v>98738</v>
      </c>
      <c r="I657" s="139">
        <f t="shared" si="149"/>
        <v>75521</v>
      </c>
      <c r="J657" s="135"/>
      <c r="K657" s="138">
        <v>7.3</v>
      </c>
      <c r="L657" s="138"/>
      <c r="M657" s="139">
        <f>ROUND(D657*$K657,0)</f>
        <v>75832</v>
      </c>
    </row>
    <row r="658" spans="1:13">
      <c r="A658" s="224" t="s">
        <v>248</v>
      </c>
      <c r="C658" s="135"/>
      <c r="D658" s="135"/>
      <c r="E658" s="135"/>
      <c r="F658" s="190"/>
      <c r="G658" s="190"/>
      <c r="H658" s="139"/>
      <c r="I658" s="139"/>
      <c r="J658" s="135"/>
      <c r="K658" s="190"/>
      <c r="L658" s="190"/>
      <c r="M658" s="139"/>
    </row>
    <row r="659" spans="1:13">
      <c r="A659" s="136" t="s">
        <v>249</v>
      </c>
      <c r="C659" s="135">
        <v>6569.7621621621602</v>
      </c>
      <c r="D659" s="135">
        <f t="shared" si="150"/>
        <v>5025</v>
      </c>
      <c r="E659" s="135"/>
      <c r="F659" s="138">
        <v>1.85</v>
      </c>
      <c r="G659" s="138"/>
      <c r="H659" s="139">
        <f t="shared" ref="H659:I662" si="151">ROUND(C659*$F659,0)</f>
        <v>12154</v>
      </c>
      <c r="I659" s="139">
        <f t="shared" si="151"/>
        <v>9296</v>
      </c>
      <c r="J659" s="135"/>
      <c r="K659" s="138">
        <v>1.86</v>
      </c>
      <c r="L659" s="138"/>
      <c r="M659" s="139">
        <f>ROUND(D659*$K659,0)</f>
        <v>9347</v>
      </c>
    </row>
    <row r="660" spans="1:13">
      <c r="A660" s="136" t="s">
        <v>250</v>
      </c>
      <c r="C660" s="135">
        <v>11131.567901234601</v>
      </c>
      <c r="D660" s="135">
        <f t="shared" si="150"/>
        <v>8514</v>
      </c>
      <c r="E660" s="135"/>
      <c r="F660" s="138">
        <v>3.24</v>
      </c>
      <c r="G660" s="138"/>
      <c r="H660" s="139">
        <f t="shared" si="151"/>
        <v>36066</v>
      </c>
      <c r="I660" s="139">
        <f t="shared" si="151"/>
        <v>27585</v>
      </c>
      <c r="J660" s="135"/>
      <c r="K660" s="138">
        <v>3.25</v>
      </c>
      <c r="L660" s="138"/>
      <c r="M660" s="139">
        <f>ROUND(D660*$K660,0)</f>
        <v>27671</v>
      </c>
    </row>
    <row r="661" spans="1:13">
      <c r="A661" s="136" t="s">
        <v>251</v>
      </c>
      <c r="C661" s="135">
        <v>13239.808035714301</v>
      </c>
      <c r="D661" s="135">
        <f t="shared" si="150"/>
        <v>10126</v>
      </c>
      <c r="E661" s="135"/>
      <c r="F661" s="138">
        <v>4.4800000000000004</v>
      </c>
      <c r="G661" s="138"/>
      <c r="H661" s="139">
        <f t="shared" si="151"/>
        <v>59314</v>
      </c>
      <c r="I661" s="139">
        <f t="shared" si="151"/>
        <v>45364</v>
      </c>
      <c r="J661" s="135"/>
      <c r="K661" s="138">
        <v>4.5</v>
      </c>
      <c r="L661" s="138"/>
      <c r="M661" s="139">
        <f>ROUND(D661*$K661,0)</f>
        <v>45567</v>
      </c>
    </row>
    <row r="662" spans="1:13">
      <c r="A662" s="136" t="s">
        <v>252</v>
      </c>
      <c r="C662" s="135">
        <v>5912.6727785613502</v>
      </c>
      <c r="D662" s="135">
        <f t="shared" si="150"/>
        <v>4522</v>
      </c>
      <c r="E662" s="135"/>
      <c r="F662" s="138">
        <v>7.09</v>
      </c>
      <c r="G662" s="138"/>
      <c r="H662" s="139">
        <f t="shared" si="151"/>
        <v>41921</v>
      </c>
      <c r="I662" s="139">
        <f t="shared" si="151"/>
        <v>32061</v>
      </c>
      <c r="J662" s="135"/>
      <c r="K662" s="138">
        <v>7.12</v>
      </c>
      <c r="L662" s="138"/>
      <c r="M662" s="139">
        <f>ROUND(D662*$K662,0)</f>
        <v>32197</v>
      </c>
    </row>
    <row r="663" spans="1:13">
      <c r="A663" s="224" t="s">
        <v>253</v>
      </c>
      <c r="C663" s="135">
        <v>22698274.211023536</v>
      </c>
      <c r="D663" s="135">
        <f t="shared" si="150"/>
        <v>17360581</v>
      </c>
      <c r="E663" s="135"/>
      <c r="F663" s="225">
        <v>4.5465</v>
      </c>
      <c r="G663" s="163" t="s">
        <v>112</v>
      </c>
      <c r="H663" s="139">
        <f>ROUND(C663*$F663/100,0)</f>
        <v>1031977</v>
      </c>
      <c r="I663" s="139">
        <f>ROUND(D663*$F663/100,0)</f>
        <v>789299</v>
      </c>
      <c r="J663" s="135"/>
      <c r="K663" s="225">
        <v>4.5654000000000003</v>
      </c>
      <c r="L663" s="163" t="s">
        <v>112</v>
      </c>
      <c r="M663" s="139">
        <f>ROUND(D663*$K663/100,0)</f>
        <v>792580</v>
      </c>
    </row>
    <row r="664" spans="1:13">
      <c r="A664" s="224" t="s">
        <v>254</v>
      </c>
      <c r="C664" s="226">
        <v>13385712.23983039</v>
      </c>
      <c r="D664" s="226">
        <f t="shared" si="150"/>
        <v>10237948</v>
      </c>
      <c r="E664" s="226"/>
      <c r="F664" s="227"/>
      <c r="G664" s="163"/>
      <c r="H664" s="228"/>
      <c r="I664" s="228"/>
      <c r="J664" s="226"/>
      <c r="K664" s="227"/>
      <c r="L664" s="163"/>
      <c r="M664" s="228"/>
    </row>
    <row r="665" spans="1:13">
      <c r="A665" s="172" t="s">
        <v>125</v>
      </c>
      <c r="B665" s="173"/>
      <c r="C665" s="135">
        <v>48246</v>
      </c>
      <c r="D665" s="135"/>
      <c r="E665" s="135"/>
      <c r="F665" s="174"/>
      <c r="G665" s="13"/>
      <c r="H665" s="139">
        <v>2237</v>
      </c>
      <c r="I665" s="139"/>
      <c r="J665" s="135"/>
      <c r="K665" s="174"/>
      <c r="L665" s="13"/>
      <c r="M665" s="139"/>
    </row>
    <row r="666" spans="1:13">
      <c r="A666" s="224" t="s">
        <v>127</v>
      </c>
      <c r="C666" s="135">
        <f>SUM(C663:C665)</f>
        <v>36132232.450853929</v>
      </c>
      <c r="D666" s="135">
        <v>27598529.259610202</v>
      </c>
      <c r="E666" s="135"/>
      <c r="F666" s="225"/>
      <c r="G666" s="163"/>
      <c r="H666" s="139">
        <f>SUM(H653:H665)</f>
        <v>1669776</v>
      </c>
      <c r="I666" s="139">
        <f>SUM(I653:I665)</f>
        <v>1275404</v>
      </c>
      <c r="J666" s="135"/>
      <c r="K666" s="225"/>
      <c r="L666" s="163"/>
      <c r="M666" s="139">
        <f>SUM(M653:M665)</f>
        <v>1280961</v>
      </c>
    </row>
    <row r="667" spans="1:13">
      <c r="A667" s="224" t="s">
        <v>11</v>
      </c>
      <c r="C667" s="226">
        <v>990</v>
      </c>
      <c r="D667" s="226">
        <v>1132</v>
      </c>
      <c r="E667" s="226"/>
      <c r="F667" s="227"/>
      <c r="G667" s="163"/>
      <c r="H667" s="228"/>
      <c r="I667" s="228"/>
      <c r="J667" s="226"/>
      <c r="K667" s="227"/>
      <c r="L667" s="163"/>
      <c r="M667" s="228"/>
    </row>
    <row r="668" spans="1:13">
      <c r="A668" s="229" t="s">
        <v>255</v>
      </c>
      <c r="C668" s="135"/>
      <c r="D668" s="135"/>
      <c r="E668" s="135"/>
      <c r="J668" s="135"/>
    </row>
    <row r="669" spans="1:13">
      <c r="A669" s="224" t="s">
        <v>256</v>
      </c>
      <c r="C669" s="135"/>
      <c r="D669" s="135"/>
      <c r="E669" s="135"/>
      <c r="H669" s="139"/>
      <c r="I669" s="139"/>
      <c r="J669" s="135"/>
      <c r="M669" s="139"/>
    </row>
    <row r="670" spans="1:13">
      <c r="A670" s="136" t="s">
        <v>257</v>
      </c>
      <c r="C670" s="135">
        <v>72</v>
      </c>
      <c r="D670" s="135">
        <f>ROUND($C670*D$698/($C$698-$C$697),0)</f>
        <v>74</v>
      </c>
      <c r="E670" s="135"/>
      <c r="F670" s="138">
        <v>6.5</v>
      </c>
      <c r="G670" s="138"/>
      <c r="H670" s="139">
        <f>ROUND(C670*$F670,0)</f>
        <v>468</v>
      </c>
      <c r="I670" s="139">
        <f>ROUND(D670*$F670,0)</f>
        <v>481</v>
      </c>
      <c r="J670" s="135"/>
      <c r="K670" s="138">
        <v>6.53</v>
      </c>
      <c r="L670" s="138"/>
      <c r="M670" s="139">
        <f>ROUND(D670*$K670,0)</f>
        <v>483</v>
      </c>
    </row>
    <row r="671" spans="1:13">
      <c r="A671" s="136" t="s">
        <v>258</v>
      </c>
      <c r="C671" s="135">
        <v>36</v>
      </c>
      <c r="D671" s="135">
        <f>ROUND($C671*D$698/($C$698-$C$697),0)</f>
        <v>37</v>
      </c>
      <c r="E671" s="135"/>
      <c r="F671" s="138">
        <v>8.84</v>
      </c>
      <c r="G671" s="138"/>
      <c r="H671" s="139">
        <f>ROUND(C671*$F671,0)</f>
        <v>318</v>
      </c>
      <c r="I671" s="139">
        <f>ROUND(D671*$F671,0)</f>
        <v>327</v>
      </c>
      <c r="J671" s="135"/>
      <c r="K671" s="138">
        <v>8.8800000000000008</v>
      </c>
      <c r="L671" s="138"/>
      <c r="M671" s="139">
        <f>ROUND(D671*$K671,0)</f>
        <v>329</v>
      </c>
    </row>
    <row r="672" spans="1:13">
      <c r="A672" s="224" t="s">
        <v>259</v>
      </c>
      <c r="C672" s="135"/>
      <c r="D672" s="135"/>
      <c r="E672" s="135"/>
      <c r="F672" s="138"/>
      <c r="G672" s="138"/>
      <c r="J672" s="135"/>
      <c r="K672" s="138"/>
      <c r="L672" s="138"/>
    </row>
    <row r="673" spans="1:13">
      <c r="A673" s="136" t="s">
        <v>260</v>
      </c>
      <c r="C673" s="135">
        <v>576</v>
      </c>
      <c r="D673" s="135">
        <f>ROUND($C673*D$698/($C$698-$C$697),0)</f>
        <v>594</v>
      </c>
      <c r="E673" s="135"/>
      <c r="F673" s="190">
        <v>5.08</v>
      </c>
      <c r="G673" s="138"/>
      <c r="H673" s="139">
        <f t="shared" ref="H673:I675" si="152">ROUND(C673*$F673,0)</f>
        <v>2926</v>
      </c>
      <c r="I673" s="139">
        <f t="shared" si="152"/>
        <v>3018</v>
      </c>
      <c r="J673" s="135"/>
      <c r="K673" s="138">
        <v>5.0999999999999996</v>
      </c>
      <c r="L673" s="138"/>
      <c r="M673" s="139">
        <f>ROUND(D673*$K673,0)</f>
        <v>3029</v>
      </c>
    </row>
    <row r="674" spans="1:13">
      <c r="A674" s="136" t="s">
        <v>261</v>
      </c>
      <c r="C674" s="135">
        <v>84</v>
      </c>
      <c r="D674" s="135">
        <f>ROUND($C674*D$698/($C$698-$C$697),0)</f>
        <v>87</v>
      </c>
      <c r="E674" s="135"/>
      <c r="F674" s="138">
        <v>9.67</v>
      </c>
      <c r="G674" s="138"/>
      <c r="H674" s="139">
        <f t="shared" si="152"/>
        <v>812</v>
      </c>
      <c r="I674" s="139">
        <f t="shared" si="152"/>
        <v>841</v>
      </c>
      <c r="J674" s="135"/>
      <c r="K674" s="138">
        <v>9.7100000000000009</v>
      </c>
      <c r="L674" s="138"/>
      <c r="M674" s="139">
        <f>ROUND(D674*$K674,0)</f>
        <v>845</v>
      </c>
    </row>
    <row r="675" spans="1:13">
      <c r="A675" s="136" t="s">
        <v>262</v>
      </c>
      <c r="C675" s="135">
        <v>0</v>
      </c>
      <c r="D675" s="135">
        <f>ROUND($C675*D$698/($C$698-$C$697),0)</f>
        <v>0</v>
      </c>
      <c r="E675" s="135"/>
      <c r="F675" s="138">
        <v>20.59</v>
      </c>
      <c r="G675" s="138"/>
      <c r="H675" s="139">
        <f t="shared" si="152"/>
        <v>0</v>
      </c>
      <c r="I675" s="139">
        <f t="shared" si="152"/>
        <v>0</v>
      </c>
      <c r="J675" s="135"/>
      <c r="K675" s="138">
        <v>20.68</v>
      </c>
      <c r="L675" s="138"/>
      <c r="M675" s="139">
        <f>ROUND(D675*$K675,0)</f>
        <v>0</v>
      </c>
    </row>
    <row r="676" spans="1:13">
      <c r="A676" s="224" t="s">
        <v>263</v>
      </c>
      <c r="C676" s="135"/>
      <c r="D676" s="135"/>
      <c r="E676" s="135"/>
      <c r="F676" s="138"/>
      <c r="G676" s="138"/>
      <c r="H676" s="139"/>
      <c r="I676" s="139"/>
      <c r="J676" s="135"/>
      <c r="K676" s="138"/>
      <c r="L676" s="138"/>
      <c r="M676" s="139"/>
    </row>
    <row r="677" spans="1:13">
      <c r="A677" s="136" t="s">
        <v>243</v>
      </c>
      <c r="C677" s="135">
        <v>660</v>
      </c>
      <c r="D677" s="135">
        <f t="shared" ref="D677:D686" si="153">ROUND($C677*D$698/($C$698-$C$697),0)</f>
        <v>680</v>
      </c>
      <c r="E677" s="135"/>
      <c r="F677" s="138">
        <v>2.96</v>
      </c>
      <c r="G677" s="138"/>
      <c r="H677" s="139">
        <f t="shared" ref="H677:I686" si="154">ROUND(C677*$F677,0)</f>
        <v>1954</v>
      </c>
      <c r="I677" s="139">
        <f t="shared" si="154"/>
        <v>2013</v>
      </c>
      <c r="J677" s="135"/>
      <c r="K677" s="138">
        <v>2.97</v>
      </c>
      <c r="L677" s="138"/>
      <c r="M677" s="139">
        <f t="shared" ref="M677:M686" si="155">ROUND(D677*$K677,0)</f>
        <v>2020</v>
      </c>
    </row>
    <row r="678" spans="1:13">
      <c r="A678" s="136" t="s">
        <v>244</v>
      </c>
      <c r="C678" s="135">
        <v>2555.91025641026</v>
      </c>
      <c r="D678" s="135">
        <f t="shared" si="153"/>
        <v>2635</v>
      </c>
      <c r="E678" s="135"/>
      <c r="F678" s="138">
        <v>3.9</v>
      </c>
      <c r="G678" s="138"/>
      <c r="H678" s="139">
        <f t="shared" si="154"/>
        <v>9968</v>
      </c>
      <c r="I678" s="139">
        <f t="shared" si="154"/>
        <v>10277</v>
      </c>
      <c r="J678" s="135"/>
      <c r="K678" s="138">
        <v>3.92</v>
      </c>
      <c r="L678" s="138"/>
      <c r="M678" s="139">
        <f t="shared" si="155"/>
        <v>10329</v>
      </c>
    </row>
    <row r="679" spans="1:13">
      <c r="A679" s="136" t="s">
        <v>264</v>
      </c>
      <c r="C679" s="135">
        <v>5448.1762376237602</v>
      </c>
      <c r="D679" s="135">
        <f t="shared" si="153"/>
        <v>5617</v>
      </c>
      <c r="E679" s="135"/>
      <c r="F679" s="138">
        <v>5.05</v>
      </c>
      <c r="G679" s="138"/>
      <c r="H679" s="139">
        <f t="shared" si="154"/>
        <v>27513</v>
      </c>
      <c r="I679" s="139">
        <f t="shared" si="154"/>
        <v>28366</v>
      </c>
      <c r="J679" s="135"/>
      <c r="K679" s="138">
        <v>5.07</v>
      </c>
      <c r="L679" s="138"/>
      <c r="M679" s="139">
        <f t="shared" si="155"/>
        <v>28478</v>
      </c>
    </row>
    <row r="680" spans="1:13">
      <c r="A680" s="136" t="s">
        <v>245</v>
      </c>
      <c r="C680" s="135">
        <v>302.98097251585602</v>
      </c>
      <c r="D680" s="135">
        <f t="shared" si="153"/>
        <v>312</v>
      </c>
      <c r="E680" s="135"/>
      <c r="F680" s="138">
        <v>4.7300000000000004</v>
      </c>
      <c r="G680" s="138"/>
      <c r="H680" s="139">
        <f t="shared" si="154"/>
        <v>1433</v>
      </c>
      <c r="I680" s="139">
        <f t="shared" si="154"/>
        <v>1476</v>
      </c>
      <c r="J680" s="135"/>
      <c r="K680" s="138">
        <v>4.75</v>
      </c>
      <c r="L680" s="138"/>
      <c r="M680" s="139">
        <f t="shared" si="155"/>
        <v>1482</v>
      </c>
    </row>
    <row r="681" spans="1:13">
      <c r="A681" s="136" t="s">
        <v>265</v>
      </c>
      <c r="C681" s="135">
        <v>300</v>
      </c>
      <c r="D681" s="135">
        <f t="shared" si="153"/>
        <v>309</v>
      </c>
      <c r="E681" s="135"/>
      <c r="F681" s="138">
        <v>6</v>
      </c>
      <c r="G681" s="138"/>
      <c r="H681" s="139">
        <f t="shared" si="154"/>
        <v>1800</v>
      </c>
      <c r="I681" s="139">
        <f t="shared" si="154"/>
        <v>1854</v>
      </c>
      <c r="J681" s="135"/>
      <c r="K681" s="138">
        <v>6.03</v>
      </c>
      <c r="L681" s="138"/>
      <c r="M681" s="139">
        <f t="shared" si="155"/>
        <v>1863</v>
      </c>
    </row>
    <row r="682" spans="1:13">
      <c r="A682" s="136" t="s">
        <v>266</v>
      </c>
      <c r="C682" s="135">
        <v>0</v>
      </c>
      <c r="D682" s="135">
        <f t="shared" si="153"/>
        <v>0</v>
      </c>
      <c r="E682" s="135"/>
      <c r="F682" s="138">
        <v>5.99</v>
      </c>
      <c r="G682" s="138"/>
      <c r="H682" s="139">
        <f t="shared" si="154"/>
        <v>0</v>
      </c>
      <c r="I682" s="139">
        <f t="shared" si="154"/>
        <v>0</v>
      </c>
      <c r="J682" s="135"/>
      <c r="K682" s="138">
        <v>6.02</v>
      </c>
      <c r="L682" s="138"/>
      <c r="M682" s="139">
        <f t="shared" si="155"/>
        <v>0</v>
      </c>
    </row>
    <row r="683" spans="1:13">
      <c r="A683" s="136" t="s">
        <v>246</v>
      </c>
      <c r="C683" s="135">
        <v>893.58620689655197</v>
      </c>
      <c r="D683" s="135">
        <f t="shared" si="153"/>
        <v>921</v>
      </c>
      <c r="E683" s="135"/>
      <c r="F683" s="138">
        <v>6.96</v>
      </c>
      <c r="G683" s="138"/>
      <c r="H683" s="139">
        <f t="shared" si="154"/>
        <v>6219</v>
      </c>
      <c r="I683" s="139">
        <f t="shared" si="154"/>
        <v>6410</v>
      </c>
      <c r="J683" s="135"/>
      <c r="K683" s="138">
        <v>6.99</v>
      </c>
      <c r="L683" s="138"/>
      <c r="M683" s="139">
        <f t="shared" si="155"/>
        <v>6438</v>
      </c>
    </row>
    <row r="684" spans="1:13">
      <c r="A684" s="136" t="s">
        <v>267</v>
      </c>
      <c r="C684" s="135">
        <v>112.564161849711</v>
      </c>
      <c r="D684" s="135">
        <f t="shared" si="153"/>
        <v>116</v>
      </c>
      <c r="E684" s="135"/>
      <c r="F684" s="138">
        <v>8.65</v>
      </c>
      <c r="G684" s="138"/>
      <c r="H684" s="139">
        <f t="shared" si="154"/>
        <v>974</v>
      </c>
      <c r="I684" s="139">
        <f t="shared" si="154"/>
        <v>1003</v>
      </c>
      <c r="J684" s="135"/>
      <c r="K684" s="138">
        <v>8.69</v>
      </c>
      <c r="L684" s="138"/>
      <c r="M684" s="139">
        <f t="shared" si="155"/>
        <v>1008</v>
      </c>
    </row>
    <row r="685" spans="1:13">
      <c r="A685" s="136" t="s">
        <v>247</v>
      </c>
      <c r="C685" s="135">
        <v>4839.6108374384203</v>
      </c>
      <c r="D685" s="135">
        <f t="shared" si="153"/>
        <v>4989</v>
      </c>
      <c r="E685" s="135"/>
      <c r="F685" s="138">
        <v>10.15</v>
      </c>
      <c r="G685" s="138"/>
      <c r="H685" s="139">
        <f t="shared" si="154"/>
        <v>49122</v>
      </c>
      <c r="I685" s="139">
        <f t="shared" si="154"/>
        <v>50638</v>
      </c>
      <c r="J685" s="135"/>
      <c r="K685" s="138">
        <v>10.19</v>
      </c>
      <c r="L685" s="138"/>
      <c r="M685" s="139">
        <f t="shared" si="155"/>
        <v>50838</v>
      </c>
    </row>
    <row r="686" spans="1:13">
      <c r="A686" s="136" t="s">
        <v>268</v>
      </c>
      <c r="C686" s="135">
        <v>72</v>
      </c>
      <c r="D686" s="135">
        <f t="shared" si="153"/>
        <v>74</v>
      </c>
      <c r="E686" s="135"/>
      <c r="F686" s="138">
        <v>11.29</v>
      </c>
      <c r="G686" s="138"/>
      <c r="H686" s="139">
        <f t="shared" si="154"/>
        <v>813</v>
      </c>
      <c r="I686" s="139">
        <f t="shared" si="154"/>
        <v>835</v>
      </c>
      <c r="J686" s="135"/>
      <c r="K686" s="138">
        <v>11.34</v>
      </c>
      <c r="L686" s="138"/>
      <c r="M686" s="139">
        <f t="shared" si="155"/>
        <v>839</v>
      </c>
    </row>
    <row r="687" spans="1:13">
      <c r="A687" s="224" t="s">
        <v>248</v>
      </c>
      <c r="C687" s="135"/>
      <c r="D687" s="135"/>
      <c r="E687" s="135"/>
      <c r="F687" s="138"/>
      <c r="G687" s="138"/>
      <c r="J687" s="135"/>
      <c r="K687" s="138"/>
      <c r="L687" s="138"/>
    </row>
    <row r="688" spans="1:13">
      <c r="A688" s="136" t="s">
        <v>269</v>
      </c>
      <c r="C688" s="135">
        <v>340</v>
      </c>
      <c r="D688" s="135">
        <f t="shared" ref="D688:D694" si="156">ROUND($C688*D$698/($C$698-$C$697),0)</f>
        <v>351</v>
      </c>
      <c r="E688" s="135"/>
      <c r="F688" s="138">
        <v>6.67</v>
      </c>
      <c r="G688" s="138"/>
      <c r="H688" s="139">
        <f t="shared" ref="H688:I694" si="157">ROUND(C688*$F688,0)</f>
        <v>2268</v>
      </c>
      <c r="I688" s="139">
        <f t="shared" si="157"/>
        <v>2341</v>
      </c>
      <c r="J688" s="135"/>
      <c r="K688" s="138">
        <v>6.7</v>
      </c>
      <c r="L688" s="138"/>
      <c r="M688" s="139">
        <f t="shared" ref="M688:M694" si="158">ROUND(D688*$K688,0)</f>
        <v>2352</v>
      </c>
    </row>
    <row r="689" spans="1:13">
      <c r="A689" s="136" t="s">
        <v>250</v>
      </c>
      <c r="C689" s="135">
        <v>312.20426829268303</v>
      </c>
      <c r="D689" s="135">
        <f t="shared" si="156"/>
        <v>322</v>
      </c>
      <c r="E689" s="135"/>
      <c r="F689" s="138">
        <v>9.84</v>
      </c>
      <c r="G689" s="138"/>
      <c r="H689" s="139">
        <f t="shared" si="157"/>
        <v>3072</v>
      </c>
      <c r="I689" s="139">
        <f t="shared" si="157"/>
        <v>3168</v>
      </c>
      <c r="J689" s="135"/>
      <c r="K689" s="138">
        <v>9.8800000000000008</v>
      </c>
      <c r="L689" s="138"/>
      <c r="M689" s="139">
        <f t="shared" si="158"/>
        <v>3181</v>
      </c>
    </row>
    <row r="690" spans="1:13">
      <c r="A690" s="136" t="s">
        <v>270</v>
      </c>
      <c r="C690" s="135">
        <v>0</v>
      </c>
      <c r="D690" s="135">
        <f t="shared" si="156"/>
        <v>0</v>
      </c>
      <c r="E690" s="135"/>
      <c r="F690" s="138">
        <v>8.0399999999999991</v>
      </c>
      <c r="G690" s="138"/>
      <c r="H690" s="139">
        <f t="shared" si="157"/>
        <v>0</v>
      </c>
      <c r="I690" s="139">
        <f t="shared" si="157"/>
        <v>0</v>
      </c>
      <c r="J690" s="135"/>
      <c r="K690" s="138">
        <v>8.07</v>
      </c>
      <c r="L690" s="138"/>
      <c r="M690" s="139">
        <f t="shared" si="158"/>
        <v>0</v>
      </c>
    </row>
    <row r="691" spans="1:13">
      <c r="A691" s="136" t="s">
        <v>251</v>
      </c>
      <c r="C691" s="135">
        <v>200.913480885312</v>
      </c>
      <c r="D691" s="135">
        <f t="shared" si="156"/>
        <v>207</v>
      </c>
      <c r="E691" s="135"/>
      <c r="F691" s="138">
        <v>9.94</v>
      </c>
      <c r="G691" s="138"/>
      <c r="H691" s="139">
        <f t="shared" si="157"/>
        <v>1997</v>
      </c>
      <c r="I691" s="139">
        <f t="shared" si="157"/>
        <v>2058</v>
      </c>
      <c r="J691" s="135"/>
      <c r="K691" s="138">
        <v>9.98</v>
      </c>
      <c r="L691" s="138"/>
      <c r="M691" s="139">
        <f t="shared" si="158"/>
        <v>2066</v>
      </c>
    </row>
    <row r="692" spans="1:13">
      <c r="A692" s="136" t="s">
        <v>271</v>
      </c>
      <c r="C692" s="135">
        <v>1134</v>
      </c>
      <c r="D692" s="135">
        <f t="shared" si="156"/>
        <v>1169</v>
      </c>
      <c r="E692" s="135"/>
      <c r="F692" s="138">
        <v>10.25</v>
      </c>
      <c r="G692" s="138"/>
      <c r="H692" s="139">
        <f t="shared" si="157"/>
        <v>11624</v>
      </c>
      <c r="I692" s="139">
        <f t="shared" si="157"/>
        <v>11982</v>
      </c>
      <c r="J692" s="135"/>
      <c r="K692" s="138">
        <v>10.29</v>
      </c>
      <c r="L692" s="138"/>
      <c r="M692" s="139">
        <f t="shared" si="158"/>
        <v>12029</v>
      </c>
    </row>
    <row r="693" spans="1:13">
      <c r="A693" s="136" t="s">
        <v>252</v>
      </c>
      <c r="C693" s="135">
        <v>185.11342155009501</v>
      </c>
      <c r="D693" s="135">
        <f t="shared" si="156"/>
        <v>191</v>
      </c>
      <c r="E693" s="135"/>
      <c r="F693" s="138">
        <v>10.58</v>
      </c>
      <c r="G693" s="138"/>
      <c r="H693" s="139">
        <f t="shared" si="157"/>
        <v>1959</v>
      </c>
      <c r="I693" s="139">
        <f t="shared" si="157"/>
        <v>2021</v>
      </c>
      <c r="J693" s="135"/>
      <c r="K693" s="138">
        <v>10.63</v>
      </c>
      <c r="L693" s="138"/>
      <c r="M693" s="139">
        <f t="shared" si="158"/>
        <v>2030</v>
      </c>
    </row>
    <row r="694" spans="1:13">
      <c r="A694" s="136" t="s">
        <v>272</v>
      </c>
      <c r="C694" s="135">
        <v>431.75720524017498</v>
      </c>
      <c r="D694" s="135">
        <f t="shared" si="156"/>
        <v>445</v>
      </c>
      <c r="E694" s="135"/>
      <c r="F694" s="138">
        <v>11.45</v>
      </c>
      <c r="G694" s="138"/>
      <c r="H694" s="139">
        <f t="shared" si="157"/>
        <v>4944</v>
      </c>
      <c r="I694" s="139">
        <f t="shared" si="157"/>
        <v>5095</v>
      </c>
      <c r="J694" s="135"/>
      <c r="K694" s="138">
        <v>11.5</v>
      </c>
      <c r="L694" s="138"/>
      <c r="M694" s="139">
        <f t="shared" si="158"/>
        <v>5118</v>
      </c>
    </row>
    <row r="695" spans="1:13">
      <c r="A695" s="224" t="s">
        <v>273</v>
      </c>
      <c r="C695" s="135"/>
      <c r="D695" s="135"/>
      <c r="E695" s="135"/>
      <c r="F695" s="138"/>
      <c r="G695" s="138"/>
      <c r="H695" s="139"/>
      <c r="I695" s="139"/>
      <c r="J695" s="135"/>
      <c r="K695" s="138"/>
      <c r="L695" s="138"/>
      <c r="M695" s="139"/>
    </row>
    <row r="696" spans="1:13">
      <c r="A696" s="136" t="s">
        <v>274</v>
      </c>
      <c r="C696" s="135">
        <v>12</v>
      </c>
      <c r="D696" s="135">
        <f>ROUND($C696*D$698/($C$698-$C$697),0)</f>
        <v>12</v>
      </c>
      <c r="E696" s="135"/>
      <c r="F696" s="138">
        <v>10.1</v>
      </c>
      <c r="G696" s="138"/>
      <c r="H696" s="139">
        <f>ROUND(C696*$F696,0)</f>
        <v>121</v>
      </c>
      <c r="I696" s="139">
        <f>ROUND(D696*$F696,0)</f>
        <v>121</v>
      </c>
      <c r="J696" s="135"/>
      <c r="K696" s="138">
        <v>10.14</v>
      </c>
      <c r="L696" s="138"/>
      <c r="M696" s="139">
        <f>ROUND(D696*$K696,0)</f>
        <v>122</v>
      </c>
    </row>
    <row r="697" spans="1:13">
      <c r="A697" s="172" t="s">
        <v>125</v>
      </c>
      <c r="B697" s="173"/>
      <c r="C697" s="135">
        <v>2005</v>
      </c>
      <c r="D697" s="135"/>
      <c r="E697" s="135"/>
      <c r="F697" s="174"/>
      <c r="G697" s="13"/>
      <c r="H697" s="139">
        <v>175</v>
      </c>
      <c r="I697" s="139"/>
      <c r="J697" s="135"/>
      <c r="K697" s="174"/>
      <c r="L697" s="13"/>
      <c r="M697" s="139"/>
    </row>
    <row r="698" spans="1:13">
      <c r="A698" s="224" t="s">
        <v>127</v>
      </c>
      <c r="C698" s="226">
        <v>1501840.3791054089</v>
      </c>
      <c r="D698" s="226">
        <v>1546241</v>
      </c>
      <c r="E698" s="226"/>
      <c r="F698" s="227"/>
      <c r="G698" s="163"/>
      <c r="H698" s="228">
        <f>SUM(H670:H697)</f>
        <v>130480</v>
      </c>
      <c r="I698" s="228">
        <f>SUM(I670:I697)</f>
        <v>134325</v>
      </c>
      <c r="J698" s="226"/>
      <c r="K698" s="227"/>
      <c r="L698" s="163"/>
      <c r="M698" s="228">
        <f>SUM(M670:M697)</f>
        <v>134879</v>
      </c>
    </row>
    <row r="699" spans="1:13">
      <c r="A699" s="224" t="s">
        <v>11</v>
      </c>
      <c r="C699" s="226">
        <v>137</v>
      </c>
      <c r="D699" s="226">
        <v>140</v>
      </c>
      <c r="E699" s="226"/>
      <c r="F699" s="227"/>
      <c r="G699" s="163"/>
      <c r="H699" s="228"/>
      <c r="I699" s="228"/>
      <c r="J699" s="226"/>
      <c r="K699" s="227"/>
      <c r="L699" s="163"/>
      <c r="M699" s="228"/>
    </row>
    <row r="700" spans="1:13">
      <c r="A700" s="229" t="s">
        <v>275</v>
      </c>
      <c r="C700" s="135"/>
      <c r="D700" s="135"/>
      <c r="E700" s="135"/>
      <c r="F700" s="138"/>
      <c r="G700" s="138"/>
      <c r="J700" s="135"/>
      <c r="K700" s="138"/>
      <c r="L700" s="138"/>
    </row>
    <row r="701" spans="1:13">
      <c r="A701" s="224" t="s">
        <v>256</v>
      </c>
      <c r="C701" s="135"/>
      <c r="D701" s="135"/>
      <c r="E701" s="135"/>
      <c r="F701" s="138"/>
      <c r="G701" s="138"/>
      <c r="H701" s="139"/>
      <c r="I701" s="139"/>
      <c r="J701" s="135"/>
      <c r="K701" s="138"/>
      <c r="L701" s="138"/>
      <c r="M701" s="139"/>
    </row>
    <row r="702" spans="1:13">
      <c r="A702" s="136" t="s">
        <v>276</v>
      </c>
      <c r="C702" s="135">
        <v>36</v>
      </c>
      <c r="D702" s="135">
        <f>ROUND($C702*D$719/$C$719,0)</f>
        <v>37</v>
      </c>
      <c r="E702" s="135"/>
      <c r="F702" s="138">
        <v>12.86</v>
      </c>
      <c r="G702" s="138"/>
      <c r="H702" s="139">
        <f>ROUND(C702*$F702,0)</f>
        <v>463</v>
      </c>
      <c r="I702" s="139">
        <f>ROUND(D702*$F702,0)</f>
        <v>476</v>
      </c>
      <c r="J702" s="135"/>
      <c r="K702" s="138">
        <v>12.92</v>
      </c>
      <c r="L702" s="138"/>
      <c r="M702" s="139">
        <f>ROUND(D702*$K702,0)</f>
        <v>478</v>
      </c>
    </row>
    <row r="703" spans="1:13">
      <c r="A703" s="136" t="s">
        <v>277</v>
      </c>
      <c r="C703" s="135">
        <v>12</v>
      </c>
      <c r="D703" s="135">
        <f>ROUND($C703*D$719/$C$719,0)</f>
        <v>12</v>
      </c>
      <c r="E703" s="135"/>
      <c r="F703" s="138">
        <v>16.97</v>
      </c>
      <c r="G703" s="138"/>
      <c r="H703" s="139">
        <f>ROUND(C703*$F703,0)</f>
        <v>204</v>
      </c>
      <c r="I703" s="139">
        <f>ROUND(D703*$F703,0)</f>
        <v>204</v>
      </c>
      <c r="J703" s="135"/>
      <c r="K703" s="138">
        <v>17.04</v>
      </c>
      <c r="L703" s="138"/>
      <c r="M703" s="139">
        <f>ROUND(D703*$K703,0)</f>
        <v>204</v>
      </c>
    </row>
    <row r="704" spans="1:13">
      <c r="A704" s="224" t="s">
        <v>259</v>
      </c>
      <c r="C704" s="135"/>
      <c r="D704" s="135"/>
      <c r="E704" s="135"/>
      <c r="J704" s="135"/>
    </row>
    <row r="705" spans="1:13" ht="14.25" customHeight="1">
      <c r="A705" s="136" t="s">
        <v>260</v>
      </c>
      <c r="C705" s="135">
        <v>24</v>
      </c>
      <c r="D705" s="135">
        <f>ROUND($C705*D$719/$C$719,0)</f>
        <v>24</v>
      </c>
      <c r="E705" s="135"/>
      <c r="F705" s="138">
        <v>5.82</v>
      </c>
      <c r="G705" s="190"/>
      <c r="H705" s="139">
        <f t="shared" ref="H705:I706" si="159">ROUND(C705*$F705,0)</f>
        <v>140</v>
      </c>
      <c r="I705" s="139">
        <f t="shared" si="159"/>
        <v>140</v>
      </c>
      <c r="J705" s="135"/>
      <c r="K705" s="138">
        <v>5.85</v>
      </c>
      <c r="L705" s="190"/>
      <c r="M705" s="139">
        <f>ROUND(D705*$K705,0)</f>
        <v>140</v>
      </c>
    </row>
    <row r="706" spans="1:13">
      <c r="A706" s="136" t="s">
        <v>262</v>
      </c>
      <c r="C706" s="135">
        <v>0</v>
      </c>
      <c r="D706" s="135">
        <f>ROUND($C706*D$719/$C$719,0)</f>
        <v>0</v>
      </c>
      <c r="E706" s="135"/>
      <c r="F706" s="138">
        <v>23.56</v>
      </c>
      <c r="G706" s="138"/>
      <c r="H706" s="139">
        <f t="shared" si="159"/>
        <v>0</v>
      </c>
      <c r="I706" s="139">
        <f t="shared" si="159"/>
        <v>0</v>
      </c>
      <c r="J706" s="135"/>
      <c r="K706" s="138">
        <v>23.66</v>
      </c>
      <c r="L706" s="138"/>
      <c r="M706" s="139">
        <f>ROUND(D706*$K706,0)</f>
        <v>0</v>
      </c>
    </row>
    <row r="707" spans="1:13">
      <c r="A707" s="224" t="s">
        <v>278</v>
      </c>
      <c r="C707" s="135"/>
      <c r="D707" s="135"/>
      <c r="E707" s="135"/>
      <c r="F707" s="190"/>
      <c r="G707" s="138"/>
      <c r="H707" s="139"/>
      <c r="I707" s="139"/>
      <c r="J707" s="135"/>
      <c r="K707" s="190"/>
      <c r="L707" s="138"/>
      <c r="M707" s="139"/>
    </row>
    <row r="708" spans="1:13">
      <c r="A708" s="136" t="s">
        <v>243</v>
      </c>
      <c r="C708" s="135">
        <v>3504.10324483776</v>
      </c>
      <c r="D708" s="135">
        <f>ROUND($C708*D$719/$C$719,0)</f>
        <v>3568</v>
      </c>
      <c r="E708" s="135"/>
      <c r="F708" s="138">
        <v>3.39</v>
      </c>
      <c r="G708" s="138"/>
      <c r="H708" s="139">
        <f t="shared" ref="H708:I712" si="160">ROUND(C708*$F708,0)</f>
        <v>11879</v>
      </c>
      <c r="I708" s="139">
        <f t="shared" si="160"/>
        <v>12096</v>
      </c>
      <c r="J708" s="135"/>
      <c r="K708" s="138">
        <v>3.4</v>
      </c>
      <c r="L708" s="138"/>
      <c r="M708" s="139">
        <f>ROUND(D708*$K708,0)</f>
        <v>12131</v>
      </c>
    </row>
    <row r="709" spans="1:13">
      <c r="A709" s="136" t="s">
        <v>244</v>
      </c>
      <c r="C709" s="135">
        <v>6166.3355704697997</v>
      </c>
      <c r="D709" s="135">
        <f>ROUND($C709*D$719/$C$719,0)</f>
        <v>6280</v>
      </c>
      <c r="E709" s="135"/>
      <c r="F709" s="138">
        <v>4.47</v>
      </c>
      <c r="G709" s="138"/>
      <c r="H709" s="139">
        <f t="shared" si="160"/>
        <v>27564</v>
      </c>
      <c r="I709" s="139">
        <f t="shared" si="160"/>
        <v>28072</v>
      </c>
      <c r="J709" s="135"/>
      <c r="K709" s="138">
        <v>4.49</v>
      </c>
      <c r="L709" s="138"/>
      <c r="M709" s="139">
        <f>ROUND(D709*$K709,0)</f>
        <v>28197</v>
      </c>
    </row>
    <row r="710" spans="1:13">
      <c r="A710" s="136" t="s">
        <v>245</v>
      </c>
      <c r="C710" s="135">
        <v>336</v>
      </c>
      <c r="D710" s="135">
        <f>ROUND($C710*D$719/$C$719,0)</f>
        <v>342</v>
      </c>
      <c r="E710" s="135"/>
      <c r="F710" s="138">
        <v>5.42</v>
      </c>
      <c r="G710" s="138"/>
      <c r="H710" s="139">
        <f t="shared" si="160"/>
        <v>1821</v>
      </c>
      <c r="I710" s="139">
        <f t="shared" si="160"/>
        <v>1854</v>
      </c>
      <c r="J710" s="135"/>
      <c r="K710" s="138">
        <v>5.44</v>
      </c>
      <c r="L710" s="138"/>
      <c r="M710" s="139">
        <f>ROUND(D710*$K710,0)</f>
        <v>1860</v>
      </c>
    </row>
    <row r="711" spans="1:13">
      <c r="A711" s="136" t="s">
        <v>246</v>
      </c>
      <c r="C711" s="135">
        <v>708</v>
      </c>
      <c r="D711" s="135">
        <f>ROUND($C711*D$719/$C$719,0)</f>
        <v>721</v>
      </c>
      <c r="E711" s="135"/>
      <c r="F711" s="138">
        <v>7.97</v>
      </c>
      <c r="G711" s="138"/>
      <c r="H711" s="139">
        <f t="shared" si="160"/>
        <v>5643</v>
      </c>
      <c r="I711" s="139">
        <f t="shared" si="160"/>
        <v>5746</v>
      </c>
      <c r="J711" s="135"/>
      <c r="K711" s="138">
        <v>8</v>
      </c>
      <c r="L711" s="138"/>
      <c r="M711" s="139">
        <f>ROUND(D711*$K711,0)</f>
        <v>5768</v>
      </c>
    </row>
    <row r="712" spans="1:13">
      <c r="A712" s="136" t="s">
        <v>247</v>
      </c>
      <c r="C712" s="135">
        <v>1392</v>
      </c>
      <c r="D712" s="135">
        <f>ROUND($C712*D$719/$C$719,0)</f>
        <v>1418</v>
      </c>
      <c r="E712" s="135"/>
      <c r="F712" s="138">
        <v>11.62</v>
      </c>
      <c r="G712" s="190"/>
      <c r="H712" s="139">
        <f t="shared" si="160"/>
        <v>16175</v>
      </c>
      <c r="I712" s="139">
        <f t="shared" si="160"/>
        <v>16477</v>
      </c>
      <c r="J712" s="135"/>
      <c r="K712" s="138">
        <v>11.67</v>
      </c>
      <c r="L712" s="190"/>
      <c r="M712" s="139">
        <f>ROUND(D712*$K712,0)</f>
        <v>16548</v>
      </c>
    </row>
    <row r="713" spans="1:13">
      <c r="A713" s="224" t="s">
        <v>248</v>
      </c>
      <c r="C713" s="135"/>
      <c r="D713" s="135"/>
      <c r="E713" s="135"/>
      <c r="J713" s="135"/>
    </row>
    <row r="714" spans="1:13">
      <c r="A714" s="136" t="s">
        <v>250</v>
      </c>
      <c r="C714" s="135">
        <v>24</v>
      </c>
      <c r="D714" s="135">
        <f>ROUND($C714*D$719/$C$719,0)</f>
        <v>24</v>
      </c>
      <c r="E714" s="135"/>
      <c r="F714" s="138">
        <v>11.3</v>
      </c>
      <c r="G714" s="138"/>
      <c r="H714" s="139">
        <f t="shared" ref="H714:I717" si="161">ROUND(C714*$F714,0)</f>
        <v>271</v>
      </c>
      <c r="I714" s="139">
        <f t="shared" si="161"/>
        <v>271</v>
      </c>
      <c r="J714" s="135"/>
      <c r="K714" s="138">
        <v>11.35</v>
      </c>
      <c r="L714" s="138"/>
      <c r="M714" s="139">
        <f>ROUND(D714*$K714,0)</f>
        <v>272</v>
      </c>
    </row>
    <row r="715" spans="1:13">
      <c r="A715" s="136" t="s">
        <v>251</v>
      </c>
      <c r="C715" s="135">
        <v>612</v>
      </c>
      <c r="D715" s="135">
        <f>ROUND($C715*D$719/$C$719,0)</f>
        <v>623</v>
      </c>
      <c r="E715" s="135"/>
      <c r="F715" s="138">
        <v>11.41</v>
      </c>
      <c r="G715" s="138"/>
      <c r="H715" s="139">
        <f t="shared" si="161"/>
        <v>6983</v>
      </c>
      <c r="I715" s="139">
        <f t="shared" si="161"/>
        <v>7108</v>
      </c>
      <c r="J715" s="135"/>
      <c r="K715" s="138">
        <v>11.46</v>
      </c>
      <c r="L715" s="138"/>
      <c r="M715" s="139">
        <f>ROUND(D715*$K715,0)</f>
        <v>7140</v>
      </c>
    </row>
    <row r="716" spans="1:13">
      <c r="A716" s="136" t="s">
        <v>252</v>
      </c>
      <c r="C716" s="135">
        <v>216</v>
      </c>
      <c r="D716" s="135">
        <f>ROUND($C716*D$719/$C$719,0)</f>
        <v>220</v>
      </c>
      <c r="E716" s="135"/>
      <c r="F716" s="138">
        <v>12.13</v>
      </c>
      <c r="G716" s="138"/>
      <c r="H716" s="139">
        <f t="shared" si="161"/>
        <v>2620</v>
      </c>
      <c r="I716" s="139">
        <f t="shared" si="161"/>
        <v>2669</v>
      </c>
      <c r="J716" s="135"/>
      <c r="K716" s="138">
        <v>12.18</v>
      </c>
      <c r="L716" s="138"/>
      <c r="M716" s="139">
        <f>ROUND(D716*$K716,0)</f>
        <v>2680</v>
      </c>
    </row>
    <row r="717" spans="1:13">
      <c r="A717" s="136" t="s">
        <v>279</v>
      </c>
      <c r="C717" s="135">
        <v>0</v>
      </c>
      <c r="D717" s="135">
        <f>ROUND($C717*D$719/$C$719,0)</f>
        <v>0</v>
      </c>
      <c r="E717" s="135"/>
      <c r="F717" s="138">
        <v>23.97</v>
      </c>
      <c r="G717" s="138"/>
      <c r="H717" s="139">
        <f t="shared" si="161"/>
        <v>0</v>
      </c>
      <c r="I717" s="139">
        <f t="shared" si="161"/>
        <v>0</v>
      </c>
      <c r="J717" s="135"/>
      <c r="K717" s="138">
        <v>24.07</v>
      </c>
      <c r="L717" s="138"/>
      <c r="M717" s="139">
        <f>ROUND(D717*$K717,0)</f>
        <v>0</v>
      </c>
    </row>
    <row r="718" spans="1:13">
      <c r="A718" s="172" t="s">
        <v>125</v>
      </c>
      <c r="B718" s="173"/>
      <c r="C718" s="135">
        <v>978</v>
      </c>
      <c r="D718" s="135"/>
      <c r="E718" s="135"/>
      <c r="F718" s="174"/>
      <c r="G718" s="13"/>
      <c r="H718" s="139">
        <v>99</v>
      </c>
      <c r="I718" s="139"/>
      <c r="J718" s="135"/>
      <c r="K718" s="174"/>
      <c r="L718" s="13"/>
      <c r="M718" s="139"/>
    </row>
    <row r="719" spans="1:13">
      <c r="A719" s="224" t="s">
        <v>127</v>
      </c>
      <c r="C719" s="226">
        <v>732339.97810377926</v>
      </c>
      <c r="D719" s="226">
        <v>745784.22413793101</v>
      </c>
      <c r="E719" s="226"/>
      <c r="F719" s="227"/>
      <c r="G719" s="163"/>
      <c r="H719" s="228">
        <f>SUM(H702:H718)</f>
        <v>73862</v>
      </c>
      <c r="I719" s="228">
        <f>SUM(I702:I718)</f>
        <v>75113</v>
      </c>
      <c r="J719" s="226"/>
      <c r="K719" s="227"/>
      <c r="L719" s="163"/>
      <c r="M719" s="228">
        <f>SUM(M702:M718)</f>
        <v>75418</v>
      </c>
    </row>
    <row r="720" spans="1:13">
      <c r="A720" s="224" t="s">
        <v>11</v>
      </c>
      <c r="C720" s="135">
        <v>56</v>
      </c>
      <c r="D720" s="135">
        <v>59</v>
      </c>
      <c r="E720" s="135"/>
      <c r="F720" s="225"/>
      <c r="G720" s="163"/>
      <c r="H720" s="139"/>
      <c r="I720" s="139"/>
      <c r="J720" s="135"/>
      <c r="K720" s="225"/>
      <c r="L720" s="163"/>
      <c r="M720" s="139"/>
    </row>
    <row r="721" spans="1:13">
      <c r="A721" s="136"/>
      <c r="C721" s="135"/>
      <c r="D721" s="135"/>
      <c r="E721" s="135"/>
      <c r="F721" s="138"/>
      <c r="G721" s="138"/>
      <c r="H721" s="139"/>
      <c r="I721" s="139"/>
      <c r="J721" s="135"/>
      <c r="K721" s="138"/>
      <c r="L721" s="138"/>
      <c r="M721" s="139"/>
    </row>
    <row r="722" spans="1:13">
      <c r="A722" s="172" t="s">
        <v>280</v>
      </c>
      <c r="B722" s="173"/>
      <c r="C722" s="135">
        <f>C665+C697+C718</f>
        <v>51229</v>
      </c>
      <c r="D722" s="135"/>
      <c r="E722" s="135"/>
      <c r="F722" s="174"/>
      <c r="G722" s="13"/>
      <c r="H722" s="139">
        <f>H665+H697+H718</f>
        <v>2511</v>
      </c>
      <c r="I722" s="139"/>
      <c r="J722" s="135"/>
      <c r="K722" s="174"/>
      <c r="L722" s="13"/>
      <c r="M722" s="139"/>
    </row>
    <row r="723" spans="1:13">
      <c r="A723" s="136" t="s">
        <v>281</v>
      </c>
      <c r="C723" s="230">
        <f>C666+C698+C719</f>
        <v>38366412.80806312</v>
      </c>
      <c r="D723" s="230">
        <f>D666+D698+D719</f>
        <v>29890554.483748134</v>
      </c>
      <c r="E723" s="230"/>
      <c r="F723" s="227"/>
      <c r="H723" s="228"/>
      <c r="I723" s="228"/>
      <c r="J723" s="230"/>
      <c r="K723" s="227"/>
      <c r="M723" s="228"/>
    </row>
    <row r="724" spans="1:13">
      <c r="A724" s="136" t="s">
        <v>282</v>
      </c>
      <c r="C724" s="230">
        <f>C667+C699+C720</f>
        <v>1183</v>
      </c>
      <c r="D724" s="230">
        <f>D667+D699+D720</f>
        <v>1331</v>
      </c>
      <c r="E724" s="137"/>
      <c r="J724" s="137"/>
    </row>
    <row r="725" spans="1:13" ht="16.5" thickBot="1">
      <c r="A725" s="176" t="s">
        <v>127</v>
      </c>
      <c r="B725" s="177"/>
      <c r="C725" s="203">
        <f>C723</f>
        <v>38366412.80806312</v>
      </c>
      <c r="D725" s="203">
        <f t="shared" ref="D725" si="162">D723</f>
        <v>29890554.483748134</v>
      </c>
      <c r="E725" s="203"/>
      <c r="F725" s="231"/>
      <c r="G725" s="222"/>
      <c r="H725" s="231">
        <f>H666+H698+H719</f>
        <v>1874118</v>
      </c>
      <c r="I725" s="231">
        <f>I666+I698+I719</f>
        <v>1484842</v>
      </c>
      <c r="J725" s="203"/>
      <c r="K725" s="231"/>
      <c r="L725" s="222"/>
      <c r="M725" s="231">
        <f>M666+M698+M719</f>
        <v>1491258</v>
      </c>
    </row>
    <row r="726" spans="1:13" ht="16.5" thickTop="1">
      <c r="A726" s="136"/>
      <c r="C726" s="137"/>
      <c r="D726" s="137"/>
      <c r="E726" s="137"/>
      <c r="H726" s="139"/>
      <c r="I726" s="139"/>
      <c r="J726" s="137"/>
      <c r="M726" s="139"/>
    </row>
    <row r="727" spans="1:13">
      <c r="A727" s="229" t="s">
        <v>283</v>
      </c>
      <c r="C727" s="135"/>
      <c r="D727" s="135"/>
      <c r="E727" s="135"/>
      <c r="J727" s="135"/>
    </row>
    <row r="728" spans="1:13">
      <c r="A728" s="136" t="s">
        <v>284</v>
      </c>
      <c r="C728" s="135">
        <f t="shared" ref="C728:D734" si="163">C737+C746+C755</f>
        <v>19945.30478578186</v>
      </c>
      <c r="D728" s="135">
        <f t="shared" si="163"/>
        <v>20197</v>
      </c>
      <c r="E728" s="135"/>
      <c r="F728" s="138">
        <v>7</v>
      </c>
      <c r="G728" s="138"/>
      <c r="H728" s="139">
        <f t="shared" ref="H728:I730" si="164">ROUND(C728*$F728,0)</f>
        <v>139617</v>
      </c>
      <c r="I728" s="139">
        <f t="shared" si="164"/>
        <v>141379</v>
      </c>
      <c r="J728" s="135"/>
      <c r="K728" s="138">
        <v>7</v>
      </c>
      <c r="L728" s="138"/>
      <c r="M728" s="139">
        <f>ROUND(D728*$K728,0)</f>
        <v>141379</v>
      </c>
    </row>
    <row r="729" spans="1:13">
      <c r="A729" s="136" t="s">
        <v>285</v>
      </c>
      <c r="C729" s="135">
        <f t="shared" si="163"/>
        <v>800.41914523719299</v>
      </c>
      <c r="D729" s="135">
        <f t="shared" si="163"/>
        <v>780</v>
      </c>
      <c r="E729" s="135"/>
      <c r="F729" s="138">
        <v>49.02</v>
      </c>
      <c r="G729" s="138"/>
      <c r="H729" s="139">
        <f t="shared" si="164"/>
        <v>39237</v>
      </c>
      <c r="I729" s="139">
        <f t="shared" si="164"/>
        <v>38236</v>
      </c>
      <c r="J729" s="135"/>
      <c r="K729" s="138">
        <v>51.18</v>
      </c>
      <c r="L729" s="138"/>
      <c r="M729" s="139">
        <f>ROUND(D729*$K729,0)</f>
        <v>39920</v>
      </c>
    </row>
    <row r="730" spans="1:13">
      <c r="A730" s="136" t="s">
        <v>286</v>
      </c>
      <c r="C730" s="135">
        <f t="shared" si="163"/>
        <v>9553.2649164677896</v>
      </c>
      <c r="D730" s="135">
        <f t="shared" si="163"/>
        <v>9360</v>
      </c>
      <c r="E730" s="135"/>
      <c r="F730" s="138">
        <v>4.1900000000000004</v>
      </c>
      <c r="G730" s="138"/>
      <c r="H730" s="139">
        <f t="shared" si="164"/>
        <v>40028</v>
      </c>
      <c r="I730" s="139">
        <f t="shared" si="164"/>
        <v>39218</v>
      </c>
      <c r="J730" s="135"/>
      <c r="K730" s="138">
        <v>4.37</v>
      </c>
      <c r="L730" s="138"/>
      <c r="M730" s="139">
        <f>ROUND(D730*$K730,0)</f>
        <v>40903</v>
      </c>
    </row>
    <row r="731" spans="1:13">
      <c r="A731" s="136" t="s">
        <v>109</v>
      </c>
      <c r="C731" s="135">
        <f t="shared" si="163"/>
        <v>3920</v>
      </c>
      <c r="D731" s="135">
        <f t="shared" si="163"/>
        <v>6506.0725027565513</v>
      </c>
      <c r="E731" s="135"/>
      <c r="F731" s="138">
        <v>-0.5</v>
      </c>
      <c r="G731" s="138"/>
      <c r="H731" s="139">
        <f>ROUND($F731*C731,0)</f>
        <v>-1960</v>
      </c>
      <c r="I731" s="139">
        <f>ROUND($F731*D731,0)</f>
        <v>-3253</v>
      </c>
      <c r="J731" s="135"/>
      <c r="K731" s="138">
        <v>-0.5</v>
      </c>
      <c r="L731" s="138"/>
      <c r="M731" s="139">
        <f>ROUND($K731*D731,0)</f>
        <v>-3253</v>
      </c>
    </row>
    <row r="732" spans="1:13">
      <c r="A732" s="136" t="s">
        <v>287</v>
      </c>
      <c r="C732" s="135">
        <f t="shared" si="163"/>
        <v>15598585</v>
      </c>
      <c r="D732" s="135">
        <f t="shared" si="163"/>
        <v>15798908.622976987</v>
      </c>
      <c r="E732" s="135"/>
      <c r="F732" s="208">
        <v>3.5697000000000001</v>
      </c>
      <c r="G732" s="163" t="s">
        <v>112</v>
      </c>
      <c r="H732" s="139">
        <f>ROUND(C732*$F732/100,0)</f>
        <v>556823</v>
      </c>
      <c r="I732" s="139">
        <f>ROUND(D732*$F732/100,0)</f>
        <v>563974</v>
      </c>
      <c r="J732" s="135"/>
      <c r="K732" s="209">
        <v>3.7658</v>
      </c>
      <c r="L732" s="163" t="s">
        <v>112</v>
      </c>
      <c r="M732" s="139">
        <f>ROUND(D732*$K732/100,0)</f>
        <v>594955</v>
      </c>
    </row>
    <row r="733" spans="1:13">
      <c r="A733" s="172" t="s">
        <v>125</v>
      </c>
      <c r="B733" s="173"/>
      <c r="C733" s="135">
        <f t="shared" si="163"/>
        <v>113075</v>
      </c>
      <c r="D733" s="135"/>
      <c r="E733" s="135"/>
      <c r="F733" s="174"/>
      <c r="G733" s="13"/>
      <c r="H733" s="139">
        <f t="shared" ref="H733" si="165">H742+H751+H760</f>
        <v>5547</v>
      </c>
      <c r="I733" s="139"/>
      <c r="J733" s="135"/>
      <c r="K733" s="174"/>
      <c r="L733" s="13"/>
      <c r="M733" s="139"/>
    </row>
    <row r="734" spans="1:13" ht="16.5" thickBot="1">
      <c r="A734" s="232" t="s">
        <v>127</v>
      </c>
      <c r="B734" s="177"/>
      <c r="C734" s="178">
        <f t="shared" si="163"/>
        <v>15711660</v>
      </c>
      <c r="D734" s="178">
        <f t="shared" si="163"/>
        <v>15798908.622976987</v>
      </c>
      <c r="E734" s="178"/>
      <c r="F734" s="177"/>
      <c r="G734" s="177"/>
      <c r="H734" s="179">
        <f>SUM(H728:H733)</f>
        <v>779292</v>
      </c>
      <c r="I734" s="179">
        <f>SUM(I728:I733)</f>
        <v>779554</v>
      </c>
      <c r="J734" s="178"/>
      <c r="K734" s="177"/>
      <c r="L734" s="177"/>
      <c r="M734" s="179">
        <f>SUM(M728:M733)</f>
        <v>813904</v>
      </c>
    </row>
    <row r="735" spans="1:13" ht="16.5" thickTop="1">
      <c r="A735" s="136"/>
      <c r="C735" s="137"/>
      <c r="D735" s="137"/>
      <c r="E735" s="137"/>
      <c r="H735" s="139"/>
      <c r="I735" s="139"/>
      <c r="J735" s="137"/>
      <c r="M735" s="139"/>
    </row>
    <row r="736" spans="1:13" hidden="1">
      <c r="A736" s="229" t="s">
        <v>478</v>
      </c>
      <c r="C736" s="135"/>
      <c r="D736" s="135"/>
      <c r="E736" s="135"/>
      <c r="J736" s="135"/>
    </row>
    <row r="737" spans="1:13" hidden="1">
      <c r="A737" s="136" t="s">
        <v>284</v>
      </c>
      <c r="C737" s="135">
        <v>18948.058300338998</v>
      </c>
      <c r="D737" s="135">
        <f>ROUND($C737*D741/$C$741,0)</f>
        <v>19247</v>
      </c>
      <c r="E737" s="135"/>
      <c r="F737" s="138">
        <v>7</v>
      </c>
      <c r="G737" s="138"/>
      <c r="H737" s="139">
        <f t="shared" ref="H737:I739" si="166">ROUND(C737*$F737,0)</f>
        <v>132636</v>
      </c>
      <c r="I737" s="139">
        <f t="shared" si="166"/>
        <v>134729</v>
      </c>
      <c r="J737" s="135"/>
      <c r="K737" s="138">
        <v>7</v>
      </c>
      <c r="L737" s="138"/>
      <c r="M737" s="139">
        <f>ROUND(D737*$K737,0)</f>
        <v>134729</v>
      </c>
    </row>
    <row r="738" spans="1:13" hidden="1">
      <c r="A738" s="136" t="s">
        <v>285</v>
      </c>
      <c r="C738" s="135">
        <v>691.41089142446401</v>
      </c>
      <c r="D738" s="135">
        <f>ROUND($C738*D$739/$C$739,0)</f>
        <v>671</v>
      </c>
      <c r="E738" s="135"/>
      <c r="F738" s="138">
        <v>49.02</v>
      </c>
      <c r="G738" s="138"/>
      <c r="H738" s="139">
        <f t="shared" si="166"/>
        <v>33893</v>
      </c>
      <c r="I738" s="139">
        <f t="shared" si="166"/>
        <v>32892</v>
      </c>
      <c r="J738" s="135"/>
      <c r="K738" s="138">
        <v>51.18</v>
      </c>
      <c r="L738" s="138"/>
      <c r="M738" s="139">
        <f>ROUND(D738*$K738,0)</f>
        <v>34342</v>
      </c>
    </row>
    <row r="739" spans="1:13" hidden="1">
      <c r="A739" s="136" t="s">
        <v>286</v>
      </c>
      <c r="C739" s="135">
        <v>8228.9976133651599</v>
      </c>
      <c r="D739" s="135">
        <v>7992</v>
      </c>
      <c r="E739" s="135"/>
      <c r="F739" s="138">
        <v>4.1900000000000004</v>
      </c>
      <c r="G739" s="138"/>
      <c r="H739" s="139">
        <f t="shared" si="166"/>
        <v>34480</v>
      </c>
      <c r="I739" s="139">
        <f t="shared" si="166"/>
        <v>33486</v>
      </c>
      <c r="J739" s="135"/>
      <c r="K739" s="138">
        <v>4.37</v>
      </c>
      <c r="L739" s="138"/>
      <c r="M739" s="139">
        <f>ROUND(D739*$K739,0)</f>
        <v>34925</v>
      </c>
    </row>
    <row r="740" spans="1:13" hidden="1">
      <c r="A740" s="136" t="s">
        <v>109</v>
      </c>
      <c r="C740" s="135">
        <v>3640</v>
      </c>
      <c r="D740" s="135">
        <v>5555.1849831229019</v>
      </c>
      <c r="E740" s="135"/>
      <c r="F740" s="138">
        <v>-0.5</v>
      </c>
      <c r="G740" s="138"/>
      <c r="H740" s="139">
        <f>ROUND($F740*C740,0)</f>
        <v>-1820</v>
      </c>
      <c r="I740" s="139">
        <f>ROUND($F740*D740,0)</f>
        <v>-2778</v>
      </c>
      <c r="J740" s="135"/>
      <c r="K740" s="138">
        <v>-0.5</v>
      </c>
      <c r="L740" s="138"/>
      <c r="M740" s="139">
        <f>ROUND($K740*D740,0)</f>
        <v>-2778</v>
      </c>
    </row>
    <row r="741" spans="1:13" hidden="1">
      <c r="A741" s="136" t="s">
        <v>287</v>
      </c>
      <c r="C741" s="135">
        <v>14666500</v>
      </c>
      <c r="D741" s="135">
        <v>14897514.622976987</v>
      </c>
      <c r="E741" s="135"/>
      <c r="F741" s="208">
        <v>3.5697000000000001</v>
      </c>
      <c r="G741" s="163" t="s">
        <v>112</v>
      </c>
      <c r="H741" s="139">
        <f>ROUND(C741*$F741/100,0)</f>
        <v>523550</v>
      </c>
      <c r="I741" s="139">
        <f>ROUND(D741*$F741/100,0)</f>
        <v>531797</v>
      </c>
      <c r="J741" s="135"/>
      <c r="K741" s="209">
        <v>3.7658</v>
      </c>
      <c r="L741" s="163" t="s">
        <v>112</v>
      </c>
      <c r="M741" s="139">
        <f>ROUND(D741*$K741/100,0)</f>
        <v>561011</v>
      </c>
    </row>
    <row r="742" spans="1:13" hidden="1">
      <c r="A742" s="172" t="s">
        <v>125</v>
      </c>
      <c r="B742" s="173"/>
      <c r="C742" s="135">
        <v>111836</v>
      </c>
      <c r="D742" s="135"/>
      <c r="E742" s="135"/>
      <c r="F742" s="174"/>
      <c r="G742" s="13"/>
      <c r="H742" s="139">
        <v>5478</v>
      </c>
      <c r="I742" s="139"/>
      <c r="J742" s="135"/>
      <c r="K742" s="174"/>
      <c r="L742" s="13"/>
      <c r="M742" s="139"/>
    </row>
    <row r="743" spans="1:13" ht="16.5" hidden="1" thickBot="1">
      <c r="A743" s="232" t="s">
        <v>127</v>
      </c>
      <c r="B743" s="177"/>
      <c r="C743" s="178">
        <f>C741+C742</f>
        <v>14778336</v>
      </c>
      <c r="D743" s="178">
        <f>D741</f>
        <v>14897514.622976987</v>
      </c>
      <c r="E743" s="178"/>
      <c r="F743" s="177"/>
      <c r="G743" s="177"/>
      <c r="H743" s="179">
        <f>SUM(H737:H742)</f>
        <v>728217</v>
      </c>
      <c r="I743" s="179">
        <f>SUM(I737:I742)</f>
        <v>730126</v>
      </c>
      <c r="J743" s="178"/>
      <c r="K743" s="177"/>
      <c r="L743" s="177"/>
      <c r="M743" s="179">
        <f>SUM(M737:M742)</f>
        <v>762229</v>
      </c>
    </row>
    <row r="744" spans="1:13" hidden="1">
      <c r="A744" s="136"/>
      <c r="C744" s="137"/>
      <c r="D744" s="137"/>
      <c r="E744" s="137"/>
      <c r="H744" s="139"/>
      <c r="I744" s="139"/>
      <c r="J744" s="137"/>
      <c r="M744" s="139"/>
    </row>
    <row r="745" spans="1:13" hidden="1">
      <c r="A745" s="229" t="s">
        <v>479</v>
      </c>
      <c r="C745" s="135"/>
      <c r="D745" s="135"/>
      <c r="E745" s="135"/>
      <c r="J745" s="135"/>
    </row>
    <row r="746" spans="1:13" hidden="1">
      <c r="A746" s="136" t="s">
        <v>284</v>
      </c>
      <c r="C746" s="135">
        <v>0</v>
      </c>
      <c r="D746" s="135">
        <f>ROUND($C746*D750/$C$750,0)</f>
        <v>0</v>
      </c>
      <c r="E746" s="135"/>
      <c r="F746" s="138">
        <v>7</v>
      </c>
      <c r="G746" s="138"/>
      <c r="H746" s="139">
        <f t="shared" ref="H746:I748" si="167">ROUND(C746*$F746,0)</f>
        <v>0</v>
      </c>
      <c r="I746" s="139">
        <f t="shared" si="167"/>
        <v>0</v>
      </c>
      <c r="J746" s="135"/>
      <c r="K746" s="138">
        <v>7</v>
      </c>
      <c r="L746" s="138"/>
      <c r="M746" s="139">
        <f>ROUND(D746*$K746,0)</f>
        <v>0</v>
      </c>
    </row>
    <row r="747" spans="1:13" hidden="1">
      <c r="A747" s="136" t="s">
        <v>285</v>
      </c>
      <c r="C747" s="135">
        <v>0</v>
      </c>
      <c r="D747" s="135">
        <f>ROUND($C747*D$748/$C$748,0)</f>
        <v>0</v>
      </c>
      <c r="E747" s="135"/>
      <c r="F747" s="138">
        <v>49.02</v>
      </c>
      <c r="G747" s="138"/>
      <c r="H747" s="139">
        <f t="shared" si="167"/>
        <v>0</v>
      </c>
      <c r="I747" s="139">
        <f t="shared" si="167"/>
        <v>0</v>
      </c>
      <c r="J747" s="135"/>
      <c r="K747" s="138">
        <v>51.18</v>
      </c>
      <c r="L747" s="138"/>
      <c r="M747" s="139">
        <f>ROUND(D747*$K747,0)</f>
        <v>0</v>
      </c>
    </row>
    <row r="748" spans="1:13" hidden="1">
      <c r="A748" s="136" t="s">
        <v>286</v>
      </c>
      <c r="C748" s="135">
        <v>24</v>
      </c>
      <c r="D748" s="135">
        <v>72</v>
      </c>
      <c r="E748" s="135"/>
      <c r="F748" s="138">
        <v>4.1900000000000004</v>
      </c>
      <c r="G748" s="138"/>
      <c r="H748" s="139">
        <f t="shared" si="167"/>
        <v>101</v>
      </c>
      <c r="I748" s="139">
        <f t="shared" si="167"/>
        <v>302</v>
      </c>
      <c r="J748" s="135"/>
      <c r="K748" s="138">
        <v>4.37</v>
      </c>
      <c r="L748" s="138"/>
      <c r="M748" s="139">
        <f>ROUND(D748*$K748,0)</f>
        <v>315</v>
      </c>
    </row>
    <row r="749" spans="1:13" hidden="1">
      <c r="A749" s="136" t="s">
        <v>109</v>
      </c>
      <c r="C749" s="135">
        <v>12</v>
      </c>
      <c r="D749" s="135">
        <v>50.046711559665788</v>
      </c>
      <c r="E749" s="135"/>
      <c r="F749" s="138">
        <v>-0.5</v>
      </c>
      <c r="G749" s="138"/>
      <c r="H749" s="139">
        <f>ROUND($F749*C749,0)</f>
        <v>-6</v>
      </c>
      <c r="I749" s="139">
        <f>ROUND($F749*D749,0)</f>
        <v>-25</v>
      </c>
      <c r="J749" s="135"/>
      <c r="K749" s="138">
        <v>-0.5</v>
      </c>
      <c r="L749" s="138"/>
      <c r="M749" s="139">
        <f>ROUND($K749*D749,0)</f>
        <v>-25</v>
      </c>
    </row>
    <row r="750" spans="1:13" hidden="1">
      <c r="A750" s="136" t="s">
        <v>287</v>
      </c>
      <c r="C750" s="135">
        <v>6054</v>
      </c>
      <c r="D750" s="135">
        <v>18938</v>
      </c>
      <c r="E750" s="135"/>
      <c r="F750" s="208">
        <v>3.5697000000000001</v>
      </c>
      <c r="G750" s="163" t="s">
        <v>112</v>
      </c>
      <c r="H750" s="139">
        <f>ROUND(C750*$F750/100,0)</f>
        <v>216</v>
      </c>
      <c r="I750" s="139">
        <f>ROUND(D750*$F750/100,0)</f>
        <v>676</v>
      </c>
      <c r="J750" s="135"/>
      <c r="K750" s="209">
        <v>3.7658</v>
      </c>
      <c r="L750" s="163" t="s">
        <v>112</v>
      </c>
      <c r="M750" s="139">
        <f>ROUND(D750*$K750/100,0)</f>
        <v>713</v>
      </c>
    </row>
    <row r="751" spans="1:13" hidden="1">
      <c r="A751" s="172" t="s">
        <v>125</v>
      </c>
      <c r="B751" s="173"/>
      <c r="C751" s="135">
        <v>1</v>
      </c>
      <c r="D751" s="135"/>
      <c r="E751" s="135"/>
      <c r="F751" s="174"/>
      <c r="G751" s="13"/>
      <c r="H751" s="139">
        <v>1</v>
      </c>
      <c r="I751" s="139"/>
      <c r="J751" s="135"/>
      <c r="K751" s="174"/>
      <c r="L751" s="13"/>
      <c r="M751" s="139"/>
    </row>
    <row r="752" spans="1:13" ht="16.5" hidden="1" thickBot="1">
      <c r="A752" s="232" t="s">
        <v>127</v>
      </c>
      <c r="B752" s="177"/>
      <c r="C752" s="178">
        <f>C750+C751</f>
        <v>6055</v>
      </c>
      <c r="D752" s="178">
        <f>D750</f>
        <v>18938</v>
      </c>
      <c r="E752" s="178"/>
      <c r="F752" s="177"/>
      <c r="G752" s="177"/>
      <c r="H752" s="179">
        <f>SUM(H746:H751)</f>
        <v>312</v>
      </c>
      <c r="I752" s="179">
        <f>SUM(I746:I751)</f>
        <v>953</v>
      </c>
      <c r="J752" s="178"/>
      <c r="K752" s="177"/>
      <c r="L752" s="177"/>
      <c r="M752" s="179">
        <f>SUM(M746:M751)</f>
        <v>1003</v>
      </c>
    </row>
    <row r="753" spans="1:13" hidden="1">
      <c r="A753" s="136"/>
      <c r="C753" s="137"/>
      <c r="D753" s="137"/>
      <c r="E753" s="137"/>
      <c r="H753" s="139"/>
      <c r="I753" s="139"/>
      <c r="J753" s="137"/>
      <c r="M753" s="139"/>
    </row>
    <row r="754" spans="1:13" hidden="1">
      <c r="A754" s="229" t="s">
        <v>480</v>
      </c>
      <c r="C754" s="135"/>
      <c r="D754" s="135"/>
      <c r="E754" s="135"/>
      <c r="J754" s="135"/>
    </row>
    <row r="755" spans="1:13" hidden="1">
      <c r="A755" s="136" t="s">
        <v>284</v>
      </c>
      <c r="C755" s="135">
        <v>997.24648544286299</v>
      </c>
      <c r="D755" s="135">
        <f>ROUND($C755*D759/$C$759,0)</f>
        <v>950</v>
      </c>
      <c r="E755" s="135"/>
      <c r="F755" s="138">
        <v>7</v>
      </c>
      <c r="G755" s="138"/>
      <c r="H755" s="139">
        <f t="shared" ref="H755:I757" si="168">ROUND(C755*$F755,0)</f>
        <v>6981</v>
      </c>
      <c r="I755" s="139">
        <f t="shared" si="168"/>
        <v>6650</v>
      </c>
      <c r="J755" s="135"/>
      <c r="K755" s="138">
        <v>7</v>
      </c>
      <c r="L755" s="138"/>
      <c r="M755" s="139">
        <f>ROUND(D755*$K755,0)</f>
        <v>6650</v>
      </c>
    </row>
    <row r="756" spans="1:13" hidden="1">
      <c r="A756" s="136" t="s">
        <v>285</v>
      </c>
      <c r="C756" s="135">
        <v>109.008253812729</v>
      </c>
      <c r="D756" s="135">
        <f>ROUND($C756*D$757/$C$757,0)</f>
        <v>109</v>
      </c>
      <c r="E756" s="135"/>
      <c r="F756" s="138">
        <v>49.02</v>
      </c>
      <c r="G756" s="138"/>
      <c r="H756" s="139">
        <f t="shared" si="168"/>
        <v>5344</v>
      </c>
      <c r="I756" s="139">
        <f t="shared" si="168"/>
        <v>5343</v>
      </c>
      <c r="J756" s="135"/>
      <c r="K756" s="138">
        <v>51.18</v>
      </c>
      <c r="L756" s="138"/>
      <c r="M756" s="139">
        <f>ROUND(D756*$K756,0)</f>
        <v>5579</v>
      </c>
    </row>
    <row r="757" spans="1:13" hidden="1">
      <c r="A757" s="136" t="s">
        <v>286</v>
      </c>
      <c r="C757" s="135">
        <v>1300.26730310263</v>
      </c>
      <c r="D757" s="135">
        <v>1296</v>
      </c>
      <c r="E757" s="135"/>
      <c r="F757" s="138">
        <v>4.1900000000000004</v>
      </c>
      <c r="G757" s="138"/>
      <c r="H757" s="139">
        <f t="shared" si="168"/>
        <v>5448</v>
      </c>
      <c r="I757" s="139">
        <f t="shared" si="168"/>
        <v>5430</v>
      </c>
      <c r="J757" s="135"/>
      <c r="K757" s="138">
        <v>4.37</v>
      </c>
      <c r="L757" s="138"/>
      <c r="M757" s="139">
        <f>ROUND(D757*$K757,0)</f>
        <v>5664</v>
      </c>
    </row>
    <row r="758" spans="1:13" hidden="1">
      <c r="A758" s="136" t="s">
        <v>109</v>
      </c>
      <c r="C758" s="135">
        <v>268</v>
      </c>
      <c r="D758" s="135">
        <v>900.84080807398414</v>
      </c>
      <c r="E758" s="135"/>
      <c r="F758" s="138">
        <v>-0.5</v>
      </c>
      <c r="G758" s="138"/>
      <c r="H758" s="139">
        <f>ROUND($F758*C758,0)</f>
        <v>-134</v>
      </c>
      <c r="I758" s="139">
        <f>ROUND($F758*D758,0)</f>
        <v>-450</v>
      </c>
      <c r="J758" s="135"/>
      <c r="K758" s="138">
        <v>-0.5</v>
      </c>
      <c r="L758" s="138"/>
      <c r="M758" s="139">
        <f>ROUND($K758*D758,0)</f>
        <v>-450</v>
      </c>
    </row>
    <row r="759" spans="1:13" hidden="1">
      <c r="A759" s="136" t="s">
        <v>287</v>
      </c>
      <c r="C759" s="135">
        <v>926031</v>
      </c>
      <c r="D759" s="135">
        <v>882456</v>
      </c>
      <c r="E759" s="135"/>
      <c r="F759" s="208">
        <v>3.5697000000000001</v>
      </c>
      <c r="G759" s="163" t="s">
        <v>112</v>
      </c>
      <c r="H759" s="139">
        <f>ROUND(C759*$F759/100,0)</f>
        <v>33057</v>
      </c>
      <c r="I759" s="139">
        <f>ROUND(D759*$F759/100,0)</f>
        <v>31501</v>
      </c>
      <c r="J759" s="135"/>
      <c r="K759" s="209">
        <v>3.7658</v>
      </c>
      <c r="L759" s="163" t="s">
        <v>112</v>
      </c>
      <c r="M759" s="139">
        <f>ROUND(D759*$K759/100,0)</f>
        <v>33232</v>
      </c>
    </row>
    <row r="760" spans="1:13" hidden="1">
      <c r="A760" s="172" t="s">
        <v>125</v>
      </c>
      <c r="B760" s="173"/>
      <c r="C760" s="135">
        <v>1238</v>
      </c>
      <c r="D760" s="135"/>
      <c r="E760" s="135"/>
      <c r="F760" s="174"/>
      <c r="G760" s="13"/>
      <c r="H760" s="139">
        <v>68</v>
      </c>
      <c r="I760" s="139"/>
      <c r="J760" s="135"/>
      <c r="K760" s="174"/>
      <c r="L760" s="13"/>
      <c r="M760" s="139"/>
    </row>
    <row r="761" spans="1:13" ht="16.5" hidden="1" thickBot="1">
      <c r="A761" s="232" t="s">
        <v>127</v>
      </c>
      <c r="B761" s="177"/>
      <c r="C761" s="178">
        <f>C759+C760</f>
        <v>927269</v>
      </c>
      <c r="D761" s="178">
        <f t="shared" ref="D761" si="169">D759</f>
        <v>882456</v>
      </c>
      <c r="E761" s="178"/>
      <c r="F761" s="177"/>
      <c r="G761" s="177"/>
      <c r="H761" s="179">
        <f>SUM(H755:H760)</f>
        <v>50764</v>
      </c>
      <c r="I761" s="179">
        <f>SUM(I755:I760)</f>
        <v>48474</v>
      </c>
      <c r="J761" s="178"/>
      <c r="K761" s="177"/>
      <c r="L761" s="177"/>
      <c r="M761" s="179">
        <f>SUM(M755:M760)</f>
        <v>50675</v>
      </c>
    </row>
    <row r="762" spans="1:13" hidden="1">
      <c r="C762" s="135"/>
      <c r="D762" s="135"/>
      <c r="E762" s="135"/>
      <c r="J762" s="135"/>
    </row>
    <row r="763" spans="1:13">
      <c r="A763" s="229" t="s">
        <v>288</v>
      </c>
      <c r="C763" s="135"/>
      <c r="D763" s="135"/>
      <c r="E763" s="135"/>
      <c r="H763" s="139"/>
      <c r="I763" s="139"/>
      <c r="J763" s="135"/>
      <c r="M763" s="139"/>
    </row>
    <row r="764" spans="1:13">
      <c r="A764" s="136" t="s">
        <v>143</v>
      </c>
      <c r="C764" s="135">
        <f>C771+C778+C785</f>
        <v>32996.543636363494</v>
      </c>
      <c r="D764" s="135">
        <f t="shared" ref="D764" si="170">D771+D778+D785</f>
        <v>32852.230948936682</v>
      </c>
      <c r="E764" s="135"/>
      <c r="F764" s="138">
        <v>5.5</v>
      </c>
      <c r="G764" s="138"/>
      <c r="H764" s="139">
        <f>ROUND(C764*$F764,0)</f>
        <v>181481</v>
      </c>
      <c r="I764" s="139">
        <f>ROUND(D764*$F764,0)</f>
        <v>180687</v>
      </c>
      <c r="J764" s="135"/>
      <c r="K764" s="138">
        <v>6</v>
      </c>
      <c r="L764" s="138"/>
      <c r="M764" s="139">
        <f>ROUND(D764*$K764,0)</f>
        <v>197113</v>
      </c>
    </row>
    <row r="765" spans="1:13">
      <c r="A765" s="136" t="s">
        <v>109</v>
      </c>
      <c r="C765" s="135">
        <f>C772+C779+C786</f>
        <v>4396</v>
      </c>
      <c r="D765" s="135">
        <f>D772+D779+D786</f>
        <v>22835.362866568881</v>
      </c>
      <c r="E765" s="135"/>
      <c r="F765" s="138">
        <v>-0.5</v>
      </c>
      <c r="G765" s="138"/>
      <c r="H765" s="139">
        <f>ROUND($F765*C765,0)</f>
        <v>-2198</v>
      </c>
      <c r="I765" s="139">
        <f>ROUND($F765*D765,0)</f>
        <v>-11418</v>
      </c>
      <c r="J765" s="135"/>
      <c r="K765" s="138">
        <v>-0.5</v>
      </c>
      <c r="L765" s="138"/>
      <c r="M765" s="139">
        <f>ROUND($K765*D765,0)</f>
        <v>-11418</v>
      </c>
    </row>
    <row r="766" spans="1:13">
      <c r="A766" s="136" t="s">
        <v>287</v>
      </c>
      <c r="C766" s="135">
        <f>C773+C780+C787</f>
        <v>8370348.0083056297</v>
      </c>
      <c r="D766" s="135">
        <f>D773+D780+D787</f>
        <v>8267891.7022853922</v>
      </c>
      <c r="E766" s="135"/>
      <c r="F766" s="209">
        <v>8.0005000000000006</v>
      </c>
      <c r="G766" s="163" t="s">
        <v>112</v>
      </c>
      <c r="H766" s="139">
        <f>ROUND(C766*$F766/100,0)</f>
        <v>669670</v>
      </c>
      <c r="I766" s="139">
        <f>ROUND(D766*$F766/100,0)</f>
        <v>661473</v>
      </c>
      <c r="J766" s="135"/>
      <c r="K766" s="209">
        <v>8.2446999999999999</v>
      </c>
      <c r="L766" s="163" t="s">
        <v>112</v>
      </c>
      <c r="M766" s="139">
        <f>ROUND(D766*$K766/100,0)</f>
        <v>681663</v>
      </c>
    </row>
    <row r="767" spans="1:13">
      <c r="A767" s="172" t="s">
        <v>125</v>
      </c>
      <c r="B767" s="173"/>
      <c r="C767" s="135">
        <f>C774+C781+C788</f>
        <v>34885</v>
      </c>
      <c r="D767" s="135"/>
      <c r="E767" s="135"/>
      <c r="F767" s="174"/>
      <c r="G767" s="13"/>
      <c r="H767" s="139">
        <f>H774+H781+H788</f>
        <v>3516</v>
      </c>
      <c r="I767" s="139"/>
      <c r="J767" s="135"/>
      <c r="K767" s="174"/>
      <c r="L767" s="13"/>
      <c r="M767" s="139"/>
    </row>
    <row r="768" spans="1:13" ht="16.5" thickBot="1">
      <c r="A768" s="232" t="s">
        <v>127</v>
      </c>
      <c r="B768" s="177"/>
      <c r="C768" s="178">
        <f t="shared" ref="C768:D768" si="171">C775+C782+C789</f>
        <v>8405233.0083056297</v>
      </c>
      <c r="D768" s="178">
        <f t="shared" si="171"/>
        <v>8267891.7022853922</v>
      </c>
      <c r="E768" s="178"/>
      <c r="F768" s="177"/>
      <c r="G768" s="177"/>
      <c r="H768" s="179">
        <f>SUM(H764:H767)</f>
        <v>852469</v>
      </c>
      <c r="I768" s="179">
        <f>SUM(I764:I767)</f>
        <v>830742</v>
      </c>
      <c r="J768" s="178"/>
      <c r="K768" s="177"/>
      <c r="L768" s="177"/>
      <c r="M768" s="179">
        <f>SUM(M764:M767)</f>
        <v>867358</v>
      </c>
    </row>
    <row r="769" spans="1:13" ht="16.5" thickTop="1">
      <c r="C769" s="135"/>
      <c r="D769" s="135"/>
      <c r="E769" s="135"/>
      <c r="J769" s="135"/>
    </row>
    <row r="770" spans="1:13" hidden="1">
      <c r="A770" s="229" t="s">
        <v>481</v>
      </c>
      <c r="C770" s="135"/>
      <c r="D770" s="135"/>
      <c r="E770" s="135"/>
      <c r="H770" s="139"/>
      <c r="I770" s="139"/>
      <c r="J770" s="135"/>
      <c r="M770" s="139"/>
    </row>
    <row r="771" spans="1:13" hidden="1">
      <c r="A771" s="136" t="s">
        <v>143</v>
      </c>
      <c r="C771" s="135">
        <v>14405.44</v>
      </c>
      <c r="D771" s="135">
        <v>14363</v>
      </c>
      <c r="E771" s="135"/>
      <c r="F771" s="138">
        <v>5.5</v>
      </c>
      <c r="G771" s="138"/>
      <c r="H771" s="139">
        <f>ROUND(C771*$F771,0)</f>
        <v>79230</v>
      </c>
      <c r="I771" s="139">
        <f>ROUND(D771*$F771,0)</f>
        <v>78997</v>
      </c>
      <c r="J771" s="135"/>
      <c r="K771" s="138">
        <v>6</v>
      </c>
      <c r="L771" s="138"/>
      <c r="M771" s="139">
        <f>ROUND(D771*$K771,0)</f>
        <v>86178</v>
      </c>
    </row>
    <row r="772" spans="1:13" hidden="1">
      <c r="A772" s="136" t="s">
        <v>109</v>
      </c>
      <c r="C772" s="135">
        <v>2993</v>
      </c>
      <c r="D772" s="135">
        <v>9983.6238629372183</v>
      </c>
      <c r="E772" s="135"/>
      <c r="F772" s="138">
        <v>-0.5</v>
      </c>
      <c r="G772" s="138"/>
      <c r="H772" s="139">
        <f>ROUND($F772*C772,0)</f>
        <v>-1497</v>
      </c>
      <c r="I772" s="139">
        <f>ROUND($F772*D772,0)</f>
        <v>-4992</v>
      </c>
      <c r="J772" s="135"/>
      <c r="K772" s="138">
        <v>-0.5</v>
      </c>
      <c r="L772" s="138"/>
      <c r="M772" s="139">
        <f>ROUND($K772*D772,0)</f>
        <v>-4992</v>
      </c>
    </row>
    <row r="773" spans="1:13" hidden="1">
      <c r="A773" s="136" t="s">
        <v>287</v>
      </c>
      <c r="C773" s="135">
        <v>3777726.7833385598</v>
      </c>
      <c r="D773" s="135">
        <v>3706094.2187096043</v>
      </c>
      <c r="E773" s="135"/>
      <c r="F773" s="209">
        <v>8.0005000000000006</v>
      </c>
      <c r="G773" s="163" t="s">
        <v>112</v>
      </c>
      <c r="H773" s="139">
        <f>ROUND(C773*$F773/100,0)</f>
        <v>302237</v>
      </c>
      <c r="I773" s="139">
        <f>ROUND(D773*$F773/100,0)</f>
        <v>296506</v>
      </c>
      <c r="J773" s="135"/>
      <c r="K773" s="209">
        <v>8.2446999999999999</v>
      </c>
      <c r="L773" s="163" t="s">
        <v>112</v>
      </c>
      <c r="M773" s="139">
        <f>ROUND(D773*$K773/100,0)</f>
        <v>305556</v>
      </c>
    </row>
    <row r="774" spans="1:13" hidden="1">
      <c r="A774" s="172" t="s">
        <v>125</v>
      </c>
      <c r="B774" s="173"/>
      <c r="C774" s="135">
        <v>28806</v>
      </c>
      <c r="D774" s="135"/>
      <c r="E774" s="135"/>
      <c r="F774" s="174"/>
      <c r="G774" s="13"/>
      <c r="H774" s="139">
        <v>2882</v>
      </c>
      <c r="I774" s="139"/>
      <c r="J774" s="135"/>
      <c r="K774" s="174"/>
      <c r="L774" s="13"/>
      <c r="M774" s="139"/>
    </row>
    <row r="775" spans="1:13" ht="16.5" hidden="1" thickBot="1">
      <c r="A775" s="232" t="s">
        <v>127</v>
      </c>
      <c r="B775" s="177"/>
      <c r="C775" s="178">
        <f>C773+C774</f>
        <v>3806532.7833385598</v>
      </c>
      <c r="D775" s="178">
        <f>D773</f>
        <v>3706094.2187096043</v>
      </c>
      <c r="E775" s="178"/>
      <c r="F775" s="177"/>
      <c r="G775" s="177"/>
      <c r="H775" s="179">
        <f>SUM(H771:H774)</f>
        <v>382852</v>
      </c>
      <c r="I775" s="179">
        <f>SUM(I771:I774)</f>
        <v>370511</v>
      </c>
      <c r="J775" s="178"/>
      <c r="K775" s="177"/>
      <c r="L775" s="177"/>
      <c r="M775" s="179">
        <f>SUM(M771:M774)</f>
        <v>386742</v>
      </c>
    </row>
    <row r="776" spans="1:13" hidden="1">
      <c r="C776" s="135"/>
      <c r="D776" s="135"/>
      <c r="E776" s="135"/>
      <c r="J776" s="135"/>
    </row>
    <row r="777" spans="1:13" hidden="1">
      <c r="A777" s="229" t="s">
        <v>482</v>
      </c>
      <c r="C777" s="135"/>
      <c r="D777" s="135"/>
      <c r="E777" s="135"/>
      <c r="H777" s="139"/>
      <c r="I777" s="139"/>
      <c r="J777" s="135"/>
      <c r="M777" s="139"/>
    </row>
    <row r="778" spans="1:13" hidden="1">
      <c r="A778" s="136" t="s">
        <v>143</v>
      </c>
      <c r="C778" s="135">
        <v>102.169090909091</v>
      </c>
      <c r="D778" s="135">
        <v>132</v>
      </c>
      <c r="E778" s="135"/>
      <c r="F778" s="138">
        <v>5.5</v>
      </c>
      <c r="G778" s="138"/>
      <c r="H778" s="139">
        <f>ROUND(C778*$F778,0)</f>
        <v>562</v>
      </c>
      <c r="I778" s="139">
        <f>ROUND(D778*$F778,0)</f>
        <v>726</v>
      </c>
      <c r="J778" s="135"/>
      <c r="K778" s="138">
        <v>6</v>
      </c>
      <c r="L778" s="138"/>
      <c r="M778" s="139">
        <f>ROUND(D778*$K778,0)</f>
        <v>792</v>
      </c>
    </row>
    <row r="779" spans="1:13" hidden="1">
      <c r="A779" s="136" t="s">
        <v>109</v>
      </c>
      <c r="C779" s="135">
        <v>30</v>
      </c>
      <c r="D779" s="135">
        <v>91.752304526053933</v>
      </c>
      <c r="E779" s="135"/>
      <c r="F779" s="138">
        <v>-0.5</v>
      </c>
      <c r="G779" s="138"/>
      <c r="H779" s="139">
        <f>ROUND($F779*C779,0)</f>
        <v>-15</v>
      </c>
      <c r="I779" s="139">
        <f>ROUND($F779*D779,0)</f>
        <v>-46</v>
      </c>
      <c r="J779" s="135"/>
      <c r="K779" s="138">
        <v>-0.5</v>
      </c>
      <c r="L779" s="138"/>
      <c r="M779" s="139">
        <f>ROUND($K779*D779,0)</f>
        <v>-46</v>
      </c>
    </row>
    <row r="780" spans="1:13" hidden="1">
      <c r="A780" s="136" t="s">
        <v>287</v>
      </c>
      <c r="C780" s="135">
        <v>57700</v>
      </c>
      <c r="D780" s="135">
        <v>111816</v>
      </c>
      <c r="E780" s="135"/>
      <c r="F780" s="209">
        <v>8.0005000000000006</v>
      </c>
      <c r="G780" s="163" t="s">
        <v>112</v>
      </c>
      <c r="H780" s="139">
        <f>ROUND(C780*$F780/100,0)</f>
        <v>4616</v>
      </c>
      <c r="I780" s="139">
        <f>ROUND(D780*$F780/100,0)</f>
        <v>8946</v>
      </c>
      <c r="J780" s="135"/>
      <c r="K780" s="209">
        <v>8.2446999999999999</v>
      </c>
      <c r="L780" s="163" t="s">
        <v>112</v>
      </c>
      <c r="M780" s="139">
        <f>ROUND(D780*$K780/100,0)</f>
        <v>9219</v>
      </c>
    </row>
    <row r="781" spans="1:13" hidden="1">
      <c r="A781" s="172" t="s">
        <v>125</v>
      </c>
      <c r="B781" s="173"/>
      <c r="C781" s="135">
        <v>14</v>
      </c>
      <c r="D781" s="135"/>
      <c r="E781" s="135"/>
      <c r="F781" s="174"/>
      <c r="G781" s="13"/>
      <c r="H781" s="139">
        <v>12</v>
      </c>
      <c r="I781" s="139"/>
      <c r="J781" s="135"/>
      <c r="K781" s="174"/>
      <c r="L781" s="13"/>
      <c r="M781" s="139"/>
    </row>
    <row r="782" spans="1:13" ht="16.5" hidden="1" thickBot="1">
      <c r="A782" s="232" t="s">
        <v>127</v>
      </c>
      <c r="B782" s="177"/>
      <c r="C782" s="178">
        <f>C780+C781</f>
        <v>57714</v>
      </c>
      <c r="D782" s="178">
        <f>D780</f>
        <v>111816</v>
      </c>
      <c r="E782" s="178"/>
      <c r="F782" s="177"/>
      <c r="G782" s="177"/>
      <c r="H782" s="179">
        <f>SUM(H778:H781)</f>
        <v>5175</v>
      </c>
      <c r="I782" s="179">
        <f>SUM(I778:I781)</f>
        <v>9626</v>
      </c>
      <c r="J782" s="178"/>
      <c r="K782" s="177"/>
      <c r="L782" s="177"/>
      <c r="M782" s="179">
        <f>SUM(M778:M781)</f>
        <v>9965</v>
      </c>
    </row>
    <row r="783" spans="1:13" hidden="1">
      <c r="C783" s="135"/>
      <c r="D783" s="135"/>
      <c r="E783" s="135"/>
      <c r="J783" s="135"/>
    </row>
    <row r="784" spans="1:13" hidden="1">
      <c r="A784" s="229" t="s">
        <v>483</v>
      </c>
      <c r="C784" s="135"/>
      <c r="D784" s="135"/>
      <c r="E784" s="135"/>
      <c r="H784" s="139"/>
      <c r="I784" s="139"/>
      <c r="J784" s="135"/>
      <c r="M784" s="139"/>
    </row>
    <row r="785" spans="1:13" hidden="1">
      <c r="A785" s="136" t="s">
        <v>143</v>
      </c>
      <c r="C785" s="135">
        <v>18488.934545454402</v>
      </c>
      <c r="D785" s="135">
        <v>18357.230948936682</v>
      </c>
      <c r="E785" s="135"/>
      <c r="F785" s="138">
        <v>5.5</v>
      </c>
      <c r="G785" s="138"/>
      <c r="H785" s="139">
        <f>ROUND(C785*$F785,0)</f>
        <v>101689</v>
      </c>
      <c r="I785" s="139">
        <f>ROUND(D785*$F785,0)</f>
        <v>100965</v>
      </c>
      <c r="J785" s="135"/>
      <c r="K785" s="138">
        <v>6</v>
      </c>
      <c r="L785" s="138"/>
      <c r="M785" s="139">
        <f>ROUND(D785*$K785,0)</f>
        <v>110143</v>
      </c>
    </row>
    <row r="786" spans="1:13" hidden="1">
      <c r="A786" s="136" t="s">
        <v>109</v>
      </c>
      <c r="C786" s="135">
        <v>1373</v>
      </c>
      <c r="D786" s="135">
        <v>12759.98669910561</v>
      </c>
      <c r="E786" s="135"/>
      <c r="F786" s="138">
        <v>-0.5</v>
      </c>
      <c r="G786" s="138"/>
      <c r="H786" s="139">
        <f>ROUND($F786*C786,0)</f>
        <v>-687</v>
      </c>
      <c r="I786" s="139">
        <f>ROUND($F786*D786,0)</f>
        <v>-6380</v>
      </c>
      <c r="J786" s="135"/>
      <c r="K786" s="138">
        <v>-0.5</v>
      </c>
      <c r="L786" s="138"/>
      <c r="M786" s="139">
        <f>ROUND($K786*D786,0)</f>
        <v>-6380</v>
      </c>
    </row>
    <row r="787" spans="1:13" hidden="1">
      <c r="A787" s="136" t="s">
        <v>287</v>
      </c>
      <c r="C787" s="135">
        <v>4534921.2249670699</v>
      </c>
      <c r="D787" s="135">
        <v>4449981.4835757874</v>
      </c>
      <c r="E787" s="135"/>
      <c r="F787" s="209">
        <v>8.0005000000000006</v>
      </c>
      <c r="G787" s="163" t="s">
        <v>112</v>
      </c>
      <c r="H787" s="139">
        <f>ROUND(C787*$F787/100,0)</f>
        <v>362816</v>
      </c>
      <c r="I787" s="139">
        <f>ROUND(D787*$F787/100,0)</f>
        <v>356021</v>
      </c>
      <c r="J787" s="135"/>
      <c r="K787" s="209">
        <v>8.2446999999999999</v>
      </c>
      <c r="L787" s="163" t="s">
        <v>112</v>
      </c>
      <c r="M787" s="139">
        <f>ROUND(D787*$K787/100,0)</f>
        <v>366888</v>
      </c>
    </row>
    <row r="788" spans="1:13" hidden="1">
      <c r="A788" s="172" t="s">
        <v>125</v>
      </c>
      <c r="B788" s="173"/>
      <c r="C788" s="135">
        <v>6065</v>
      </c>
      <c r="D788" s="135"/>
      <c r="E788" s="135"/>
      <c r="F788" s="174"/>
      <c r="G788" s="13"/>
      <c r="H788" s="139">
        <v>622</v>
      </c>
      <c r="I788" s="139"/>
      <c r="J788" s="135"/>
      <c r="K788" s="174"/>
      <c r="L788" s="13"/>
      <c r="M788" s="139"/>
    </row>
    <row r="789" spans="1:13" ht="16.5" hidden="1" thickBot="1">
      <c r="A789" s="232" t="s">
        <v>127</v>
      </c>
      <c r="B789" s="177"/>
      <c r="C789" s="178">
        <f>C787+C788</f>
        <v>4540986.2249670699</v>
      </c>
      <c r="D789" s="178">
        <f t="shared" ref="D789" si="172">D787</f>
        <v>4449981.4835757874</v>
      </c>
      <c r="E789" s="178"/>
      <c r="F789" s="177"/>
      <c r="G789" s="177"/>
      <c r="H789" s="179">
        <f>SUM(H785:H788)</f>
        <v>464440</v>
      </c>
      <c r="I789" s="179">
        <f>SUM(I785:I788)</f>
        <v>450606</v>
      </c>
      <c r="J789" s="178"/>
      <c r="K789" s="177"/>
      <c r="L789" s="177"/>
      <c r="M789" s="179">
        <f>SUM(M785:M788)</f>
        <v>470651</v>
      </c>
    </row>
    <row r="790" spans="1:13" hidden="1">
      <c r="A790" s="136"/>
      <c r="C790" s="135"/>
      <c r="D790" s="135"/>
      <c r="E790" s="135"/>
      <c r="F790" s="233"/>
      <c r="G790" s="234"/>
      <c r="H790" s="139"/>
      <c r="I790" s="139"/>
      <c r="J790" s="135"/>
      <c r="K790" s="233"/>
      <c r="L790" s="234"/>
      <c r="M790" s="139"/>
    </row>
    <row r="791" spans="1:13">
      <c r="A791" s="133" t="s">
        <v>289</v>
      </c>
      <c r="C791" s="135"/>
      <c r="D791" s="135"/>
      <c r="E791" s="135"/>
      <c r="J791" s="135"/>
    </row>
    <row r="792" spans="1:13">
      <c r="A792" s="136" t="s">
        <v>143</v>
      </c>
      <c r="C792" s="135">
        <f>C808+C824+C840</f>
        <v>1178294.4469998989</v>
      </c>
      <c r="D792" s="135">
        <f>D808+D824+D840</f>
        <v>1212908.1003307132</v>
      </c>
      <c r="E792" s="135"/>
      <c r="F792" s="190">
        <v>10</v>
      </c>
      <c r="G792" s="190"/>
      <c r="H792" s="139">
        <f t="shared" ref="H792:I797" si="173">ROUND($F792*C792,0)</f>
        <v>11782944</v>
      </c>
      <c r="I792" s="139">
        <f t="shared" si="173"/>
        <v>12129081</v>
      </c>
      <c r="J792" s="135"/>
      <c r="K792" s="190">
        <v>10</v>
      </c>
      <c r="L792" s="190"/>
      <c r="M792" s="139">
        <f t="shared" ref="M792:M797" si="174">ROUND($K792*D792,0)</f>
        <v>12129081</v>
      </c>
    </row>
    <row r="793" spans="1:13">
      <c r="A793" s="136" t="s">
        <v>290</v>
      </c>
      <c r="C793" s="135">
        <f>C809+C825+C841</f>
        <v>75.600000000000009</v>
      </c>
      <c r="D793" s="135">
        <f>D809+D825+D841</f>
        <v>78</v>
      </c>
      <c r="E793" s="135"/>
      <c r="F793" s="190">
        <v>10</v>
      </c>
      <c r="G793" s="190"/>
      <c r="H793" s="139">
        <f t="shared" si="173"/>
        <v>756</v>
      </c>
      <c r="I793" s="139">
        <f t="shared" si="173"/>
        <v>780</v>
      </c>
      <c r="J793" s="135"/>
      <c r="K793" s="190">
        <v>10</v>
      </c>
      <c r="L793" s="190"/>
      <c r="M793" s="139">
        <f t="shared" si="174"/>
        <v>780</v>
      </c>
    </row>
    <row r="794" spans="1:13">
      <c r="A794" s="136" t="s">
        <v>106</v>
      </c>
      <c r="C794" s="135">
        <f t="shared" ref="C794:D805" si="175">C810+C826+C842</f>
        <v>0</v>
      </c>
      <c r="D794" s="135">
        <f>ROUND($C794/$C$10*D$10,0)</f>
        <v>0</v>
      </c>
      <c r="E794" s="135"/>
      <c r="F794" s="138">
        <v>2</v>
      </c>
      <c r="G794" s="138"/>
      <c r="H794" s="139">
        <f t="shared" si="173"/>
        <v>0</v>
      </c>
      <c r="I794" s="139">
        <f t="shared" si="173"/>
        <v>0</v>
      </c>
      <c r="J794" s="135"/>
      <c r="K794" s="138">
        <v>2</v>
      </c>
      <c r="L794" s="138"/>
      <c r="M794" s="139">
        <f t="shared" si="174"/>
        <v>0</v>
      </c>
    </row>
    <row r="795" spans="1:13">
      <c r="A795" s="136" t="s">
        <v>109</v>
      </c>
      <c r="C795" s="135">
        <f t="shared" si="175"/>
        <v>557019</v>
      </c>
      <c r="D795" s="135">
        <v>843084.19230046356</v>
      </c>
      <c r="E795" s="135"/>
      <c r="F795" s="138">
        <v>-0.5</v>
      </c>
      <c r="G795" s="138"/>
      <c r="H795" s="139">
        <f t="shared" si="173"/>
        <v>-278510</v>
      </c>
      <c r="I795" s="139">
        <f t="shared" si="173"/>
        <v>-421542</v>
      </c>
      <c r="J795" s="135"/>
      <c r="K795" s="138">
        <v>-0.5</v>
      </c>
      <c r="L795" s="138"/>
      <c r="M795" s="139">
        <f t="shared" si="174"/>
        <v>-421542</v>
      </c>
    </row>
    <row r="796" spans="1:13">
      <c r="A796" s="136" t="s">
        <v>291</v>
      </c>
      <c r="C796" s="135">
        <f t="shared" si="175"/>
        <v>317572.45106861461</v>
      </c>
      <c r="D796" s="135">
        <f t="shared" si="175"/>
        <v>380982</v>
      </c>
      <c r="E796" s="135"/>
      <c r="F796" s="190">
        <v>8.89</v>
      </c>
      <c r="G796" s="190"/>
      <c r="H796" s="139">
        <f t="shared" si="173"/>
        <v>2823219</v>
      </c>
      <c r="I796" s="139">
        <f t="shared" si="173"/>
        <v>3386930</v>
      </c>
      <c r="J796" s="135"/>
      <c r="K796" s="190">
        <v>9.16</v>
      </c>
      <c r="L796" s="190"/>
      <c r="M796" s="139">
        <f t="shared" si="174"/>
        <v>3489795</v>
      </c>
    </row>
    <row r="797" spans="1:13">
      <c r="A797" s="136" t="s">
        <v>292</v>
      </c>
      <c r="C797" s="135">
        <f t="shared" si="175"/>
        <v>386452.48030495248</v>
      </c>
      <c r="D797" s="135">
        <f t="shared" si="175"/>
        <v>462611</v>
      </c>
      <c r="E797" s="135"/>
      <c r="F797" s="190">
        <v>7.87</v>
      </c>
      <c r="G797" s="190"/>
      <c r="H797" s="139">
        <f t="shared" si="173"/>
        <v>3041381</v>
      </c>
      <c r="I797" s="139">
        <f t="shared" si="173"/>
        <v>3640749</v>
      </c>
      <c r="J797" s="135"/>
      <c r="K797" s="190">
        <v>8.11</v>
      </c>
      <c r="L797" s="190"/>
      <c r="M797" s="139">
        <f t="shared" si="174"/>
        <v>3751775</v>
      </c>
    </row>
    <row r="798" spans="1:13">
      <c r="A798" s="136" t="s">
        <v>293</v>
      </c>
      <c r="C798" s="135">
        <f t="shared" si="175"/>
        <v>264284599</v>
      </c>
      <c r="D798" s="135">
        <f t="shared" si="175"/>
        <v>320576251.76313418</v>
      </c>
      <c r="E798" s="135"/>
      <c r="F798" s="193">
        <v>11.712</v>
      </c>
      <c r="G798" s="202" t="s">
        <v>112</v>
      </c>
      <c r="H798" s="139">
        <f t="shared" ref="H798:I801" si="176">ROUND($F798*C798/100,0)</f>
        <v>30953012</v>
      </c>
      <c r="I798" s="139">
        <f t="shared" si="176"/>
        <v>37545891</v>
      </c>
      <c r="J798" s="135"/>
      <c r="K798" s="193">
        <v>12.1052</v>
      </c>
      <c r="L798" s="202" t="s">
        <v>112</v>
      </c>
      <c r="M798" s="139">
        <f>ROUND($K798*D798/100,0)</f>
        <v>38806396</v>
      </c>
    </row>
    <row r="799" spans="1:13">
      <c r="A799" s="136" t="s">
        <v>294</v>
      </c>
      <c r="C799" s="135">
        <f t="shared" si="175"/>
        <v>267496252.07428494</v>
      </c>
      <c r="D799" s="135">
        <f t="shared" si="175"/>
        <v>325604478.68349415</v>
      </c>
      <c r="E799" s="135"/>
      <c r="F799" s="193">
        <v>6.5567000000000002</v>
      </c>
      <c r="G799" s="202" t="s">
        <v>112</v>
      </c>
      <c r="H799" s="139">
        <f t="shared" si="176"/>
        <v>17538927</v>
      </c>
      <c r="I799" s="139">
        <f t="shared" si="176"/>
        <v>21348909</v>
      </c>
      <c r="J799" s="135"/>
      <c r="K799" s="193">
        <v>6.7554999999999996</v>
      </c>
      <c r="L799" s="202" t="s">
        <v>112</v>
      </c>
      <c r="M799" s="139">
        <f>ROUND($K799*D799/100,0)</f>
        <v>21996211</v>
      </c>
    </row>
    <row r="800" spans="1:13">
      <c r="A800" s="136" t="s">
        <v>295</v>
      </c>
      <c r="C800" s="135">
        <f t="shared" si="175"/>
        <v>528045944</v>
      </c>
      <c r="D800" s="135">
        <f t="shared" si="175"/>
        <v>628523600.49702084</v>
      </c>
      <c r="E800" s="135"/>
      <c r="F800" s="193">
        <v>10.364599999999999</v>
      </c>
      <c r="G800" s="202" t="s">
        <v>112</v>
      </c>
      <c r="H800" s="139">
        <f t="shared" si="176"/>
        <v>54729850</v>
      </c>
      <c r="I800" s="139">
        <f t="shared" si="176"/>
        <v>65143957</v>
      </c>
      <c r="J800" s="135"/>
      <c r="K800" s="193">
        <v>10.7126</v>
      </c>
      <c r="L800" s="202" t="s">
        <v>112</v>
      </c>
      <c r="M800" s="139">
        <f>ROUND($K800*D800/100,0)</f>
        <v>67331219</v>
      </c>
    </row>
    <row r="801" spans="1:13">
      <c r="A801" s="136" t="s">
        <v>297</v>
      </c>
      <c r="C801" s="135">
        <f t="shared" si="175"/>
        <v>434379627.97725922</v>
      </c>
      <c r="D801" s="135">
        <f t="shared" si="175"/>
        <v>518415821.36793309</v>
      </c>
      <c r="E801" s="135"/>
      <c r="F801" s="193">
        <v>5.8023999999999996</v>
      </c>
      <c r="G801" s="202" t="s">
        <v>112</v>
      </c>
      <c r="H801" s="139">
        <f t="shared" si="176"/>
        <v>25204444</v>
      </c>
      <c r="I801" s="139">
        <f t="shared" si="176"/>
        <v>30080560</v>
      </c>
      <c r="J801" s="135"/>
      <c r="K801" s="193">
        <v>5.9782999999999999</v>
      </c>
      <c r="L801" s="202" t="s">
        <v>112</v>
      </c>
      <c r="M801" s="139">
        <f>ROUND($K801*D801/100,0)</f>
        <v>30992453</v>
      </c>
    </row>
    <row r="802" spans="1:13">
      <c r="A802" s="136" t="s">
        <v>150</v>
      </c>
      <c r="C802" s="135">
        <f t="shared" si="175"/>
        <v>16560.729166666701</v>
      </c>
      <c r="D802" s="135">
        <f t="shared" si="175"/>
        <v>19835</v>
      </c>
      <c r="E802" s="135"/>
      <c r="F802" s="190">
        <v>-0.48</v>
      </c>
      <c r="G802" s="163"/>
      <c r="H802" s="139">
        <f>ROUND($F802*C802,0)</f>
        <v>-7949</v>
      </c>
      <c r="I802" s="139">
        <f>ROUND($F802*D802,0)</f>
        <v>-9521</v>
      </c>
      <c r="J802" s="135"/>
      <c r="K802" s="190">
        <v>-0.48</v>
      </c>
      <c r="L802" s="163"/>
      <c r="M802" s="139">
        <f>ROUND($K802*D802,0)</f>
        <v>-9521</v>
      </c>
    </row>
    <row r="803" spans="1:13">
      <c r="A803" s="172" t="s">
        <v>123</v>
      </c>
      <c r="C803" s="135">
        <f t="shared" si="175"/>
        <v>3202574</v>
      </c>
      <c r="D803" s="135">
        <f t="shared" si="175"/>
        <v>3838343</v>
      </c>
      <c r="E803" s="135"/>
      <c r="F803" s="174">
        <v>10.3811</v>
      </c>
      <c r="G803" s="13" t="s">
        <v>112</v>
      </c>
      <c r="H803" s="139">
        <f>ROUND($F803*C803/100,0)</f>
        <v>332462</v>
      </c>
      <c r="I803" s="139">
        <f>ROUND($F803*D803/100,0)</f>
        <v>398462</v>
      </c>
      <c r="J803" s="135"/>
      <c r="K803" s="174">
        <v>11.267099999999999</v>
      </c>
      <c r="L803" s="13" t="s">
        <v>112</v>
      </c>
      <c r="M803" s="139">
        <f>ROUND($K803*D803/100,0)</f>
        <v>432470</v>
      </c>
    </row>
    <row r="804" spans="1:13">
      <c r="A804" s="172" t="s">
        <v>125</v>
      </c>
      <c r="B804" s="173"/>
      <c r="C804" s="135">
        <f t="shared" si="175"/>
        <v>10625042</v>
      </c>
      <c r="D804" s="135"/>
      <c r="E804" s="135"/>
      <c r="F804" s="174"/>
      <c r="G804" s="13"/>
      <c r="H804" s="139">
        <f t="shared" ref="H804" si="177">H820+H836+H852</f>
        <v>1041247</v>
      </c>
      <c r="I804" s="139"/>
      <c r="J804" s="135"/>
      <c r="K804" s="174"/>
      <c r="L804" s="13"/>
      <c r="M804" s="139"/>
    </row>
    <row r="805" spans="1:13" ht="16.5" thickBot="1">
      <c r="A805" s="176" t="s">
        <v>127</v>
      </c>
      <c r="B805" s="177"/>
      <c r="C805" s="178">
        <f t="shared" si="175"/>
        <v>1508034039.0515442</v>
      </c>
      <c r="D805" s="178">
        <f t="shared" si="175"/>
        <v>1796958495.3115826</v>
      </c>
      <c r="E805" s="178"/>
      <c r="F805" s="177"/>
      <c r="G805" s="177"/>
      <c r="H805" s="179">
        <f>SUM(H792:H804)</f>
        <v>147161783</v>
      </c>
      <c r="I805" s="179">
        <f>SUM(I792:I804)</f>
        <v>173244256</v>
      </c>
      <c r="J805" s="178"/>
      <c r="K805" s="177"/>
      <c r="L805" s="177"/>
      <c r="M805" s="179">
        <f>SUM(M792:M804)</f>
        <v>178499117</v>
      </c>
    </row>
    <row r="806" spans="1:13" ht="16.5" thickTop="1">
      <c r="C806" s="135"/>
      <c r="D806" s="135"/>
      <c r="E806" s="135"/>
      <c r="J806" s="135"/>
    </row>
    <row r="807" spans="1:13" hidden="1">
      <c r="A807" s="133" t="s">
        <v>484</v>
      </c>
      <c r="C807" s="135"/>
      <c r="D807" s="135"/>
      <c r="E807" s="135"/>
      <c r="J807" s="135"/>
    </row>
    <row r="808" spans="1:13" hidden="1">
      <c r="A808" s="136" t="s">
        <v>143</v>
      </c>
      <c r="C808" s="135">
        <v>968033.14699988998</v>
      </c>
      <c r="D808" s="135">
        <v>994250.43962440221</v>
      </c>
      <c r="E808" s="135"/>
      <c r="F808" s="190">
        <v>10</v>
      </c>
      <c r="G808" s="190"/>
      <c r="H808" s="139">
        <f t="shared" ref="H808:I813" si="178">ROUND($F808*C808,0)</f>
        <v>9680331</v>
      </c>
      <c r="I808" s="139">
        <f t="shared" si="178"/>
        <v>9942504</v>
      </c>
      <c r="J808" s="135"/>
      <c r="K808" s="190">
        <v>10</v>
      </c>
      <c r="L808" s="190"/>
      <c r="M808" s="139">
        <f t="shared" ref="M808:M813" si="179">ROUND($K808*D808,0)</f>
        <v>9942504</v>
      </c>
    </row>
    <row r="809" spans="1:13" hidden="1">
      <c r="A809" s="136" t="s">
        <v>290</v>
      </c>
      <c r="C809" s="135">
        <v>61.033000000000001</v>
      </c>
      <c r="D809" s="135">
        <f>ROUND($C809*D$808/$C$808,0)</f>
        <v>63</v>
      </c>
      <c r="E809" s="135"/>
      <c r="F809" s="190">
        <v>10</v>
      </c>
      <c r="G809" s="190"/>
      <c r="H809" s="139">
        <f t="shared" si="178"/>
        <v>610</v>
      </c>
      <c r="I809" s="139">
        <f t="shared" si="178"/>
        <v>630</v>
      </c>
      <c r="J809" s="135"/>
      <c r="K809" s="190">
        <v>10</v>
      </c>
      <c r="L809" s="190"/>
      <c r="M809" s="139">
        <f t="shared" si="179"/>
        <v>630</v>
      </c>
    </row>
    <row r="810" spans="1:13" hidden="1">
      <c r="A810" s="136" t="s">
        <v>106</v>
      </c>
      <c r="C810" s="135">
        <v>0</v>
      </c>
      <c r="D810" s="135">
        <f>ROUND($C810*D$808/$C$808,0)</f>
        <v>0</v>
      </c>
      <c r="E810" s="135"/>
      <c r="F810" s="138">
        <v>2</v>
      </c>
      <c r="G810" s="138"/>
      <c r="H810" s="139">
        <f t="shared" si="178"/>
        <v>0</v>
      </c>
      <c r="I810" s="139">
        <f t="shared" si="178"/>
        <v>0</v>
      </c>
      <c r="J810" s="135"/>
      <c r="K810" s="138">
        <v>2</v>
      </c>
      <c r="L810" s="138"/>
      <c r="M810" s="139">
        <f t="shared" si="179"/>
        <v>0</v>
      </c>
    </row>
    <row r="811" spans="1:13" hidden="1">
      <c r="A811" s="136" t="s">
        <v>109</v>
      </c>
      <c r="C811" s="135">
        <v>480948</v>
      </c>
      <c r="D811" s="135">
        <v>691096.73569379665</v>
      </c>
      <c r="E811" s="135"/>
      <c r="F811" s="138">
        <v>-0.5</v>
      </c>
      <c r="G811" s="138"/>
      <c r="H811" s="139">
        <f t="shared" si="178"/>
        <v>-240474</v>
      </c>
      <c r="I811" s="139">
        <f t="shared" si="178"/>
        <v>-345548</v>
      </c>
      <c r="J811" s="135"/>
      <c r="K811" s="138">
        <v>-0.5</v>
      </c>
      <c r="L811" s="138"/>
      <c r="M811" s="139">
        <f t="shared" si="179"/>
        <v>-345548</v>
      </c>
    </row>
    <row r="812" spans="1:13" hidden="1">
      <c r="A812" s="136" t="s">
        <v>291</v>
      </c>
      <c r="C812" s="135">
        <v>297711.55230595998</v>
      </c>
      <c r="D812" s="135">
        <f>ROUND(D$821*$C812/$C$821,0)</f>
        <v>359886</v>
      </c>
      <c r="E812" s="135"/>
      <c r="F812" s="190">
        <v>8.89</v>
      </c>
      <c r="G812" s="190"/>
      <c r="H812" s="139">
        <f t="shared" si="178"/>
        <v>2646656</v>
      </c>
      <c r="I812" s="139">
        <f t="shared" si="178"/>
        <v>3199387</v>
      </c>
      <c r="J812" s="135"/>
      <c r="K812" s="190">
        <v>9.16</v>
      </c>
      <c r="L812" s="190"/>
      <c r="M812" s="139">
        <f t="shared" si="179"/>
        <v>3296556</v>
      </c>
    </row>
    <row r="813" spans="1:13" hidden="1">
      <c r="A813" s="136" t="s">
        <v>292</v>
      </c>
      <c r="C813" s="135">
        <v>355582.12579415197</v>
      </c>
      <c r="D813" s="135">
        <f>ROUND(D$821*$C813/$C$821,0)</f>
        <v>429843</v>
      </c>
      <c r="E813" s="135"/>
      <c r="F813" s="190">
        <v>7.87</v>
      </c>
      <c r="G813" s="190"/>
      <c r="H813" s="139">
        <f t="shared" si="178"/>
        <v>2798431</v>
      </c>
      <c r="I813" s="139">
        <f t="shared" si="178"/>
        <v>3382864</v>
      </c>
      <c r="J813" s="135"/>
      <c r="K813" s="190">
        <v>8.11</v>
      </c>
      <c r="L813" s="190"/>
      <c r="M813" s="139">
        <f t="shared" si="179"/>
        <v>3486027</v>
      </c>
    </row>
    <row r="814" spans="1:13" hidden="1">
      <c r="A814" s="136" t="s">
        <v>293</v>
      </c>
      <c r="C814" s="135">
        <v>237084829</v>
      </c>
      <c r="D814" s="135">
        <v>290928510.46871942</v>
      </c>
      <c r="E814" s="135"/>
      <c r="F814" s="193">
        <v>11.712</v>
      </c>
      <c r="G814" s="202" t="s">
        <v>112</v>
      </c>
      <c r="H814" s="139">
        <f t="shared" ref="H814:I817" si="180">ROUND($F814*C814/100,0)</f>
        <v>27767375</v>
      </c>
      <c r="I814" s="139">
        <f t="shared" si="180"/>
        <v>34073547</v>
      </c>
      <c r="J814" s="135"/>
      <c r="K814" s="193">
        <v>12.1052</v>
      </c>
      <c r="L814" s="202" t="s">
        <v>112</v>
      </c>
      <c r="M814" s="139">
        <f>ROUND($K814*D814/100,0)</f>
        <v>35217478</v>
      </c>
    </row>
    <row r="815" spans="1:13" hidden="1">
      <c r="A815" s="136" t="s">
        <v>294</v>
      </c>
      <c r="C815" s="135">
        <v>246818743.89453647</v>
      </c>
      <c r="D815" s="135">
        <v>302873067.92202133</v>
      </c>
      <c r="E815" s="135"/>
      <c r="F815" s="193">
        <v>6.5567000000000002</v>
      </c>
      <c r="G815" s="202" t="s">
        <v>112</v>
      </c>
      <c r="H815" s="139">
        <f t="shared" si="180"/>
        <v>16183165</v>
      </c>
      <c r="I815" s="139">
        <f t="shared" si="180"/>
        <v>19858478</v>
      </c>
      <c r="J815" s="135"/>
      <c r="K815" s="193">
        <v>6.7554999999999996</v>
      </c>
      <c r="L815" s="202" t="s">
        <v>112</v>
      </c>
      <c r="M815" s="139">
        <f>ROUND($K815*D815/100,0)</f>
        <v>20460590</v>
      </c>
    </row>
    <row r="816" spans="1:13" hidden="1">
      <c r="A816" s="136" t="s">
        <v>295</v>
      </c>
      <c r="C816" s="135">
        <v>466762887</v>
      </c>
      <c r="D816" s="135">
        <v>566219606.16186285</v>
      </c>
      <c r="E816" s="135"/>
      <c r="F816" s="193">
        <v>10.364599999999999</v>
      </c>
      <c r="G816" s="202" t="s">
        <v>112</v>
      </c>
      <c r="H816" s="139">
        <f t="shared" si="180"/>
        <v>48378106</v>
      </c>
      <c r="I816" s="139">
        <f t="shared" si="180"/>
        <v>58686397</v>
      </c>
      <c r="J816" s="135"/>
      <c r="K816" s="193">
        <v>10.7126</v>
      </c>
      <c r="L816" s="202" t="s">
        <v>112</v>
      </c>
      <c r="M816" s="139">
        <f>ROUND($K816*D816/100,0)</f>
        <v>60656842</v>
      </c>
    </row>
    <row r="817" spans="1:13" hidden="1">
      <c r="A817" s="136" t="s">
        <v>297</v>
      </c>
      <c r="C817" s="135">
        <v>390220069.57729995</v>
      </c>
      <c r="D817" s="135">
        <f>D821-D814-D815-D816-D819</f>
        <v>473367228.34288549</v>
      </c>
      <c r="E817" s="135"/>
      <c r="F817" s="193">
        <v>5.8023999999999996</v>
      </c>
      <c r="G817" s="202" t="s">
        <v>112</v>
      </c>
      <c r="H817" s="139">
        <f t="shared" si="180"/>
        <v>22642129</v>
      </c>
      <c r="I817" s="139">
        <f t="shared" si="180"/>
        <v>27466660</v>
      </c>
      <c r="J817" s="135"/>
      <c r="K817" s="193">
        <v>5.9782999999999999</v>
      </c>
      <c r="L817" s="202" t="s">
        <v>112</v>
      </c>
      <c r="M817" s="139">
        <f>ROUND($K817*D817/100,0)</f>
        <v>28299313</v>
      </c>
    </row>
    <row r="818" spans="1:13" hidden="1">
      <c r="A818" s="136" t="s">
        <v>150</v>
      </c>
      <c r="C818" s="135">
        <v>14962.729166666701</v>
      </c>
      <c r="D818" s="135">
        <f>ROUND(D$821*$C818/$C$821,0)</f>
        <v>18088</v>
      </c>
      <c r="E818" s="135"/>
      <c r="F818" s="190">
        <v>-0.48</v>
      </c>
      <c r="G818" s="163"/>
      <c r="H818" s="139">
        <f>ROUND($F818*C818,0)</f>
        <v>-7182</v>
      </c>
      <c r="I818" s="139">
        <f>ROUND($F818*D818,0)</f>
        <v>-8682</v>
      </c>
      <c r="J818" s="135"/>
      <c r="K818" s="190">
        <v>-0.48</v>
      </c>
      <c r="L818" s="163"/>
      <c r="M818" s="139">
        <f>ROUND($K818*D818,0)</f>
        <v>-8682</v>
      </c>
    </row>
    <row r="819" spans="1:13" hidden="1">
      <c r="A819" s="172" t="s">
        <v>123</v>
      </c>
      <c r="C819" s="135">
        <v>2949489</v>
      </c>
      <c r="D819" s="135">
        <f>ROUND(D$821*$C819/$C$821,0)</f>
        <v>3565468</v>
      </c>
      <c r="E819" s="135"/>
      <c r="F819" s="174">
        <v>10.3811</v>
      </c>
      <c r="G819" s="13" t="s">
        <v>112</v>
      </c>
      <c r="H819" s="139">
        <f>ROUND($F819*C819/100,0)</f>
        <v>306189</v>
      </c>
      <c r="I819" s="139">
        <f>ROUND($F819*D819/100,0)</f>
        <v>370135</v>
      </c>
      <c r="J819" s="135"/>
      <c r="K819" s="174">
        <v>11.267099999999999</v>
      </c>
      <c r="L819" s="13" t="s">
        <v>112</v>
      </c>
      <c r="M819" s="139">
        <f>ROUND($K819*D819/100,0)</f>
        <v>401725</v>
      </c>
    </row>
    <row r="820" spans="1:13" hidden="1">
      <c r="A820" s="172" t="s">
        <v>125</v>
      </c>
      <c r="B820" s="173"/>
      <c r="C820" s="135">
        <v>10313585</v>
      </c>
      <c r="D820" s="135"/>
      <c r="E820" s="135"/>
      <c r="F820" s="174"/>
      <c r="G820" s="13"/>
      <c r="H820" s="139">
        <v>992633</v>
      </c>
      <c r="I820" s="139"/>
      <c r="J820" s="135"/>
      <c r="K820" s="174"/>
      <c r="L820" s="13"/>
      <c r="M820" s="139"/>
    </row>
    <row r="821" spans="1:13" ht="16.5" hidden="1" thickBot="1">
      <c r="A821" s="176" t="s">
        <v>127</v>
      </c>
      <c r="B821" s="177"/>
      <c r="C821" s="178">
        <f>SUM(C814:C817,C819:C820)</f>
        <v>1354149603.4718366</v>
      </c>
      <c r="D821" s="178">
        <v>1636953880.8954892</v>
      </c>
      <c r="E821" s="178"/>
      <c r="F821" s="177"/>
      <c r="G821" s="177"/>
      <c r="H821" s="179">
        <f>SUM(H808:H820)</f>
        <v>131147969</v>
      </c>
      <c r="I821" s="179">
        <f>SUM(I808:I820)</f>
        <v>156626372</v>
      </c>
      <c r="J821" s="178"/>
      <c r="K821" s="177"/>
      <c r="L821" s="177"/>
      <c r="M821" s="179">
        <f>SUM(M808:M820)</f>
        <v>161407435</v>
      </c>
    </row>
    <row r="822" spans="1:13" hidden="1">
      <c r="C822" s="135"/>
      <c r="D822" s="135"/>
      <c r="E822" s="135"/>
      <c r="J822" s="135"/>
    </row>
    <row r="823" spans="1:13" hidden="1">
      <c r="A823" s="133" t="s">
        <v>485</v>
      </c>
      <c r="C823" s="135"/>
      <c r="D823" s="135"/>
      <c r="E823" s="135"/>
      <c r="J823" s="135"/>
    </row>
    <row r="824" spans="1:13" hidden="1">
      <c r="A824" s="136" t="s">
        <v>143</v>
      </c>
      <c r="C824" s="135">
        <v>36346.2489999998</v>
      </c>
      <c r="D824" s="135">
        <v>36617.660706310984</v>
      </c>
      <c r="E824" s="135"/>
      <c r="F824" s="190">
        <v>10</v>
      </c>
      <c r="G824" s="190"/>
      <c r="H824" s="139">
        <f t="shared" ref="H824:I829" si="181">ROUND($F824*C824,0)</f>
        <v>363462</v>
      </c>
      <c r="I824" s="139">
        <f t="shared" si="181"/>
        <v>366177</v>
      </c>
      <c r="J824" s="135"/>
      <c r="K824" s="190">
        <v>10</v>
      </c>
      <c r="L824" s="190"/>
      <c r="M824" s="139">
        <f t="shared" ref="M824:M829" si="182">ROUND($K824*D824,0)</f>
        <v>366177</v>
      </c>
    </row>
    <row r="825" spans="1:13" hidden="1">
      <c r="A825" s="136" t="s">
        <v>290</v>
      </c>
      <c r="C825" s="135">
        <v>6.9</v>
      </c>
      <c r="D825" s="135">
        <f>ROUND($C825*D$824/$C$824,0)</f>
        <v>7</v>
      </c>
      <c r="E825" s="135"/>
      <c r="F825" s="190">
        <v>10</v>
      </c>
      <c r="G825" s="190"/>
      <c r="H825" s="139">
        <f t="shared" si="181"/>
        <v>69</v>
      </c>
      <c r="I825" s="139">
        <f t="shared" si="181"/>
        <v>70</v>
      </c>
      <c r="J825" s="135"/>
      <c r="K825" s="190">
        <v>10</v>
      </c>
      <c r="L825" s="190"/>
      <c r="M825" s="139">
        <f t="shared" si="182"/>
        <v>70</v>
      </c>
    </row>
    <row r="826" spans="1:13" hidden="1">
      <c r="A826" s="136" t="s">
        <v>106</v>
      </c>
      <c r="C826" s="135">
        <v>0</v>
      </c>
      <c r="D826" s="135">
        <f>ROUND($C826*D$824/$C$824,0)</f>
        <v>0</v>
      </c>
      <c r="E826" s="135"/>
      <c r="F826" s="138">
        <v>2</v>
      </c>
      <c r="G826" s="138"/>
      <c r="H826" s="139">
        <f t="shared" si="181"/>
        <v>0</v>
      </c>
      <c r="I826" s="139">
        <f t="shared" si="181"/>
        <v>0</v>
      </c>
      <c r="J826" s="135"/>
      <c r="K826" s="138">
        <v>2</v>
      </c>
      <c r="L826" s="138"/>
      <c r="M826" s="139">
        <f t="shared" si="182"/>
        <v>0</v>
      </c>
    </row>
    <row r="827" spans="1:13" hidden="1">
      <c r="A827" s="136" t="s">
        <v>109</v>
      </c>
      <c r="C827" s="135">
        <v>14701</v>
      </c>
      <c r="D827" s="135">
        <v>25452.687546645189</v>
      </c>
      <c r="E827" s="135"/>
      <c r="F827" s="138">
        <v>-0.5</v>
      </c>
      <c r="G827" s="138"/>
      <c r="H827" s="139">
        <f t="shared" si="181"/>
        <v>-7351</v>
      </c>
      <c r="I827" s="139">
        <f t="shared" si="181"/>
        <v>-12726</v>
      </c>
      <c r="J827" s="135"/>
      <c r="K827" s="138">
        <v>-0.5</v>
      </c>
      <c r="L827" s="138"/>
      <c r="M827" s="139">
        <f t="shared" si="182"/>
        <v>-12726</v>
      </c>
    </row>
    <row r="828" spans="1:13" hidden="1">
      <c r="A828" s="136" t="s">
        <v>291</v>
      </c>
      <c r="C828" s="135">
        <v>11923.7829021372</v>
      </c>
      <c r="D828" s="135">
        <f>ROUND($C828*D$837/$C$837,0)</f>
        <v>13036</v>
      </c>
      <c r="E828" s="135"/>
      <c r="F828" s="190">
        <v>8.89</v>
      </c>
      <c r="G828" s="190"/>
      <c r="H828" s="139">
        <f t="shared" si="181"/>
        <v>106002</v>
      </c>
      <c r="I828" s="139">
        <f t="shared" si="181"/>
        <v>115890</v>
      </c>
      <c r="J828" s="135"/>
      <c r="K828" s="190">
        <v>9.16</v>
      </c>
      <c r="L828" s="190"/>
      <c r="M828" s="139">
        <f t="shared" si="182"/>
        <v>119410</v>
      </c>
    </row>
    <row r="829" spans="1:13" hidden="1">
      <c r="A829" s="136" t="s">
        <v>292</v>
      </c>
      <c r="C829" s="135">
        <v>18259.679796696299</v>
      </c>
      <c r="D829" s="135">
        <f>ROUND($C829*D$837/$C$837,0)</f>
        <v>19962</v>
      </c>
      <c r="E829" s="135"/>
      <c r="F829" s="190">
        <v>7.87</v>
      </c>
      <c r="G829" s="190"/>
      <c r="H829" s="139">
        <f t="shared" si="181"/>
        <v>143704</v>
      </c>
      <c r="I829" s="139">
        <f t="shared" si="181"/>
        <v>157101</v>
      </c>
      <c r="J829" s="135"/>
      <c r="K829" s="190">
        <v>8.11</v>
      </c>
      <c r="L829" s="190"/>
      <c r="M829" s="139">
        <f t="shared" si="182"/>
        <v>161892</v>
      </c>
    </row>
    <row r="830" spans="1:13" hidden="1">
      <c r="A830" s="136" t="s">
        <v>293</v>
      </c>
      <c r="C830" s="135">
        <v>8021934</v>
      </c>
      <c r="D830" s="135">
        <v>9309448.3104247097</v>
      </c>
      <c r="E830" s="135"/>
      <c r="F830" s="193">
        <v>11.712</v>
      </c>
      <c r="G830" s="202" t="s">
        <v>112</v>
      </c>
      <c r="H830" s="139">
        <f t="shared" ref="H830:I833" si="183">ROUND($F830*C830/100,0)</f>
        <v>939529</v>
      </c>
      <c r="I830" s="139">
        <f t="shared" si="183"/>
        <v>1090323</v>
      </c>
      <c r="J830" s="135"/>
      <c r="K830" s="193">
        <v>12.1052</v>
      </c>
      <c r="L830" s="202" t="s">
        <v>112</v>
      </c>
      <c r="M830" s="139">
        <f>ROUND($K830*D830/100,0)</f>
        <v>1126927</v>
      </c>
    </row>
    <row r="831" spans="1:13" hidden="1">
      <c r="A831" s="136" t="s">
        <v>294</v>
      </c>
      <c r="C831" s="135">
        <v>8027889</v>
      </c>
      <c r="D831" s="135">
        <v>9316359.083398981</v>
      </c>
      <c r="E831" s="135"/>
      <c r="F831" s="193">
        <v>6.5567000000000002</v>
      </c>
      <c r="G831" s="202" t="s">
        <v>112</v>
      </c>
      <c r="H831" s="139">
        <f t="shared" si="183"/>
        <v>526365</v>
      </c>
      <c r="I831" s="139">
        <f t="shared" si="183"/>
        <v>610846</v>
      </c>
      <c r="J831" s="135"/>
      <c r="K831" s="193">
        <v>6.7554999999999996</v>
      </c>
      <c r="L831" s="202" t="s">
        <v>112</v>
      </c>
      <c r="M831" s="139">
        <f>ROUND($K831*D831/100,0)</f>
        <v>629367</v>
      </c>
    </row>
    <row r="832" spans="1:13" hidden="1">
      <c r="A832" s="136" t="s">
        <v>295</v>
      </c>
      <c r="C832" s="135">
        <v>16985677</v>
      </c>
      <c r="D832" s="135">
        <v>17999909.309717909</v>
      </c>
      <c r="E832" s="135"/>
      <c r="F832" s="193">
        <v>10.364599999999999</v>
      </c>
      <c r="G832" s="202" t="s">
        <v>112</v>
      </c>
      <c r="H832" s="139">
        <f t="shared" si="183"/>
        <v>1760497</v>
      </c>
      <c r="I832" s="139">
        <f t="shared" si="183"/>
        <v>1865619</v>
      </c>
      <c r="J832" s="135"/>
      <c r="K832" s="193">
        <v>10.7126</v>
      </c>
      <c r="L832" s="202" t="s">
        <v>112</v>
      </c>
      <c r="M832" s="139">
        <f>ROUND($K832*D832/100,0)</f>
        <v>1928258</v>
      </c>
    </row>
    <row r="833" spans="1:13" hidden="1">
      <c r="A833" s="136" t="s">
        <v>297</v>
      </c>
      <c r="C833" s="135">
        <v>14814563</v>
      </c>
      <c r="D833" s="135">
        <f>D837-D830-D831-D832-D835</f>
        <v>15699155.851315342</v>
      </c>
      <c r="E833" s="135"/>
      <c r="F833" s="193">
        <v>5.8023999999999996</v>
      </c>
      <c r="G833" s="202" t="s">
        <v>112</v>
      </c>
      <c r="H833" s="139">
        <f t="shared" si="183"/>
        <v>859600</v>
      </c>
      <c r="I833" s="139">
        <f t="shared" si="183"/>
        <v>910928</v>
      </c>
      <c r="J833" s="135"/>
      <c r="K833" s="193">
        <v>5.9782999999999999</v>
      </c>
      <c r="L833" s="202" t="s">
        <v>112</v>
      </c>
      <c r="M833" s="139">
        <f>ROUND($K833*D833/100,0)</f>
        <v>938543</v>
      </c>
    </row>
    <row r="834" spans="1:13" hidden="1">
      <c r="A834" s="136" t="s">
        <v>150</v>
      </c>
      <c r="C834" s="135">
        <v>1598</v>
      </c>
      <c r="D834" s="135">
        <f>ROUND(D$837*$C834/$C$837,0)</f>
        <v>1747</v>
      </c>
      <c r="E834" s="135"/>
      <c r="F834" s="190">
        <v>-0.48</v>
      </c>
      <c r="G834" s="163"/>
      <c r="H834" s="139">
        <f>ROUND($F834*C834,0)</f>
        <v>-767</v>
      </c>
      <c r="I834" s="139">
        <f>ROUND($F834*D834,0)</f>
        <v>-839</v>
      </c>
      <c r="J834" s="135"/>
      <c r="K834" s="190">
        <v>-0.48</v>
      </c>
      <c r="L834" s="163"/>
      <c r="M834" s="139">
        <f>ROUND($K834*D834,0)</f>
        <v>-839</v>
      </c>
    </row>
    <row r="835" spans="1:13" hidden="1">
      <c r="A835" s="172" t="s">
        <v>123</v>
      </c>
      <c r="C835" s="135">
        <v>204094</v>
      </c>
      <c r="D835" s="135">
        <f>ROUND(D$837*$C835/$C$837,0)</f>
        <v>223126</v>
      </c>
      <c r="E835" s="135"/>
      <c r="F835" s="174">
        <v>10.3811</v>
      </c>
      <c r="G835" s="13" t="s">
        <v>112</v>
      </c>
      <c r="H835" s="139">
        <f>ROUND($F835*C835/100,0)</f>
        <v>21187</v>
      </c>
      <c r="I835" s="139">
        <f>ROUND($F835*D835/100,0)</f>
        <v>23163</v>
      </c>
      <c r="J835" s="135"/>
      <c r="K835" s="174">
        <v>11.267099999999999</v>
      </c>
      <c r="L835" s="13" t="s">
        <v>112</v>
      </c>
      <c r="M835" s="139">
        <f>ROUND($K835*D835/100,0)</f>
        <v>25140</v>
      </c>
    </row>
    <row r="836" spans="1:13" hidden="1">
      <c r="A836" s="172" t="s">
        <v>125</v>
      </c>
      <c r="B836" s="173"/>
      <c r="C836" s="135">
        <v>11601</v>
      </c>
      <c r="D836" s="135"/>
      <c r="E836" s="135"/>
      <c r="F836" s="174"/>
      <c r="G836" s="13"/>
      <c r="H836" s="139">
        <v>10665</v>
      </c>
      <c r="I836" s="139"/>
      <c r="J836" s="135"/>
      <c r="K836" s="174"/>
      <c r="L836" s="13"/>
      <c r="M836" s="139"/>
    </row>
    <row r="837" spans="1:13" ht="16.5" hidden="1" thickBot="1">
      <c r="A837" s="176" t="s">
        <v>127</v>
      </c>
      <c r="B837" s="177"/>
      <c r="C837" s="178">
        <f>SUM(C830:C833,C835:C836)</f>
        <v>48065758</v>
      </c>
      <c r="D837" s="178">
        <v>52547998.554856941</v>
      </c>
      <c r="E837" s="178"/>
      <c r="F837" s="177"/>
      <c r="G837" s="177"/>
      <c r="H837" s="179">
        <f>SUM(H824:H836)</f>
        <v>4722962</v>
      </c>
      <c r="I837" s="179">
        <f>SUM(I824:I836)</f>
        <v>5126552</v>
      </c>
      <c r="J837" s="178"/>
      <c r="K837" s="177"/>
      <c r="L837" s="177"/>
      <c r="M837" s="179">
        <f>SUM(M824:M836)</f>
        <v>5282219</v>
      </c>
    </row>
    <row r="838" spans="1:13" hidden="1">
      <c r="C838" s="135"/>
      <c r="D838" s="135"/>
      <c r="E838" s="135"/>
      <c r="J838" s="135"/>
    </row>
    <row r="839" spans="1:13" hidden="1">
      <c r="A839" s="133" t="s">
        <v>486</v>
      </c>
      <c r="C839" s="135"/>
      <c r="D839" s="135"/>
      <c r="E839" s="135"/>
      <c r="J839" s="135"/>
    </row>
    <row r="840" spans="1:13" hidden="1">
      <c r="A840" s="136" t="s">
        <v>143</v>
      </c>
      <c r="C840" s="135">
        <v>173915.051000009</v>
      </c>
      <c r="D840" s="135">
        <v>182040</v>
      </c>
      <c r="E840" s="135"/>
      <c r="F840" s="190">
        <v>10</v>
      </c>
      <c r="G840" s="190"/>
      <c r="H840" s="139">
        <f t="shared" ref="H840:I845" si="184">ROUND($F840*C840,0)</f>
        <v>1739151</v>
      </c>
      <c r="I840" s="139">
        <f t="shared" si="184"/>
        <v>1820400</v>
      </c>
      <c r="J840" s="135"/>
      <c r="K840" s="190">
        <v>10</v>
      </c>
      <c r="L840" s="190"/>
      <c r="M840" s="139">
        <f t="shared" ref="M840:M845" si="185">ROUND($K840*D840,0)</f>
        <v>1820400</v>
      </c>
    </row>
    <row r="841" spans="1:13" hidden="1">
      <c r="A841" s="136" t="s">
        <v>290</v>
      </c>
      <c r="C841" s="135">
        <v>7.6669999999999998</v>
      </c>
      <c r="D841" s="135">
        <f>ROUND($C841*D$840/$C$840,0)</f>
        <v>8</v>
      </c>
      <c r="E841" s="135"/>
      <c r="F841" s="190">
        <v>10</v>
      </c>
      <c r="G841" s="190"/>
      <c r="H841" s="139">
        <f t="shared" si="184"/>
        <v>77</v>
      </c>
      <c r="I841" s="139">
        <f t="shared" si="184"/>
        <v>80</v>
      </c>
      <c r="J841" s="135"/>
      <c r="K841" s="190">
        <v>10</v>
      </c>
      <c r="L841" s="190"/>
      <c r="M841" s="139">
        <f t="shared" si="185"/>
        <v>80</v>
      </c>
    </row>
    <row r="842" spans="1:13" hidden="1">
      <c r="A842" s="136" t="s">
        <v>106</v>
      </c>
      <c r="C842" s="135">
        <v>0</v>
      </c>
      <c r="D842" s="135">
        <f>ROUND($C842*D$840/$C$840,0)</f>
        <v>0</v>
      </c>
      <c r="E842" s="135"/>
      <c r="F842" s="138">
        <v>2</v>
      </c>
      <c r="G842" s="138"/>
      <c r="H842" s="139">
        <f t="shared" si="184"/>
        <v>0</v>
      </c>
      <c r="I842" s="139">
        <f t="shared" si="184"/>
        <v>0</v>
      </c>
      <c r="J842" s="135"/>
      <c r="K842" s="138">
        <v>2</v>
      </c>
      <c r="L842" s="138"/>
      <c r="M842" s="139">
        <f t="shared" si="185"/>
        <v>0</v>
      </c>
    </row>
    <row r="843" spans="1:13" hidden="1">
      <c r="A843" s="136" t="s">
        <v>109</v>
      </c>
      <c r="C843" s="135">
        <v>61370</v>
      </c>
      <c r="D843" s="135">
        <v>126534.76906002166</v>
      </c>
      <c r="E843" s="135"/>
      <c r="F843" s="138">
        <v>-0.5</v>
      </c>
      <c r="G843" s="138"/>
      <c r="H843" s="139">
        <f t="shared" si="184"/>
        <v>-30685</v>
      </c>
      <c r="I843" s="139">
        <f t="shared" si="184"/>
        <v>-63267</v>
      </c>
      <c r="J843" s="135"/>
      <c r="K843" s="138">
        <v>-0.5</v>
      </c>
      <c r="L843" s="138"/>
      <c r="M843" s="139">
        <f t="shared" si="185"/>
        <v>-63267</v>
      </c>
    </row>
    <row r="844" spans="1:13" hidden="1">
      <c r="A844" s="136" t="s">
        <v>291</v>
      </c>
      <c r="C844" s="135">
        <v>7937.1158605174396</v>
      </c>
      <c r="D844" s="135">
        <f>ROUND($C844*D$853/$C$853,0)</f>
        <v>8060</v>
      </c>
      <c r="E844" s="135"/>
      <c r="F844" s="190">
        <v>8.89</v>
      </c>
      <c r="G844" s="190"/>
      <c r="H844" s="139">
        <f t="shared" si="184"/>
        <v>70561</v>
      </c>
      <c r="I844" s="139">
        <f t="shared" si="184"/>
        <v>71653</v>
      </c>
      <c r="J844" s="135"/>
      <c r="K844" s="190">
        <v>9.16</v>
      </c>
      <c r="L844" s="190"/>
      <c r="M844" s="139">
        <f t="shared" si="185"/>
        <v>73830</v>
      </c>
    </row>
    <row r="845" spans="1:13" hidden="1">
      <c r="A845" s="136" t="s">
        <v>292</v>
      </c>
      <c r="C845" s="135">
        <v>12610.6747141042</v>
      </c>
      <c r="D845" s="135">
        <f>ROUND($C845*D$853/$C$853,0)</f>
        <v>12806</v>
      </c>
      <c r="E845" s="135"/>
      <c r="F845" s="190">
        <v>7.87</v>
      </c>
      <c r="G845" s="190"/>
      <c r="H845" s="139">
        <f t="shared" si="184"/>
        <v>99246</v>
      </c>
      <c r="I845" s="139">
        <f t="shared" si="184"/>
        <v>100783</v>
      </c>
      <c r="J845" s="135"/>
      <c r="K845" s="190">
        <v>8.11</v>
      </c>
      <c r="L845" s="190"/>
      <c r="M845" s="139">
        <f t="shared" si="185"/>
        <v>103857</v>
      </c>
    </row>
    <row r="846" spans="1:13" hidden="1">
      <c r="A846" s="136" t="s">
        <v>293</v>
      </c>
      <c r="C846" s="135">
        <v>19177836</v>
      </c>
      <c r="D846" s="135">
        <v>20338292.983990081</v>
      </c>
      <c r="E846" s="135"/>
      <c r="F846" s="193">
        <v>11.712</v>
      </c>
      <c r="G846" s="202" t="s">
        <v>112</v>
      </c>
      <c r="H846" s="139">
        <f t="shared" ref="H846:I849" si="186">ROUND($F846*C846/100,0)</f>
        <v>2246108</v>
      </c>
      <c r="I846" s="139">
        <f t="shared" si="186"/>
        <v>2382021</v>
      </c>
      <c r="J846" s="135"/>
      <c r="K846" s="193">
        <v>12.1052</v>
      </c>
      <c r="L846" s="202" t="s">
        <v>112</v>
      </c>
      <c r="M846" s="139">
        <f>ROUND($K846*D846/100,0)</f>
        <v>2461991</v>
      </c>
    </row>
    <row r="847" spans="1:13" hidden="1">
      <c r="A847" s="136" t="s">
        <v>294</v>
      </c>
      <c r="C847" s="135">
        <v>12649619.179748476</v>
      </c>
      <c r="D847" s="135">
        <v>13415051.678073831</v>
      </c>
      <c r="E847" s="135"/>
      <c r="F847" s="193">
        <v>6.5567000000000002</v>
      </c>
      <c r="G847" s="202" t="s">
        <v>112</v>
      </c>
      <c r="H847" s="139">
        <f t="shared" si="186"/>
        <v>829398</v>
      </c>
      <c r="I847" s="139">
        <f t="shared" si="186"/>
        <v>879585</v>
      </c>
      <c r="J847" s="135"/>
      <c r="K847" s="193">
        <v>6.7554999999999996</v>
      </c>
      <c r="L847" s="202" t="s">
        <v>112</v>
      </c>
      <c r="M847" s="139">
        <f>ROUND($K847*D847/100,0)</f>
        <v>906254</v>
      </c>
    </row>
    <row r="848" spans="1:13" hidden="1">
      <c r="A848" s="136" t="s">
        <v>295</v>
      </c>
      <c r="C848" s="135">
        <v>44297380</v>
      </c>
      <c r="D848" s="135">
        <v>44304085.025440149</v>
      </c>
      <c r="E848" s="135"/>
      <c r="F848" s="193">
        <v>10.364599999999999</v>
      </c>
      <c r="G848" s="202" t="s">
        <v>112</v>
      </c>
      <c r="H848" s="139">
        <f t="shared" si="186"/>
        <v>4591246</v>
      </c>
      <c r="I848" s="139">
        <f t="shared" si="186"/>
        <v>4591941</v>
      </c>
      <c r="J848" s="135"/>
      <c r="K848" s="193">
        <v>10.7126</v>
      </c>
      <c r="L848" s="202" t="s">
        <v>112</v>
      </c>
      <c r="M848" s="139">
        <f>ROUND($K848*D848/100,0)</f>
        <v>4746119</v>
      </c>
    </row>
    <row r="849" spans="1:13" hidden="1">
      <c r="A849" s="136" t="s">
        <v>297</v>
      </c>
      <c r="C849" s="135">
        <v>29344995.399959262</v>
      </c>
      <c r="D849" s="135">
        <f>D853-D846-D847-D848-D851</f>
        <v>29349437.173732288</v>
      </c>
      <c r="E849" s="135"/>
      <c r="F849" s="193">
        <v>5.8023999999999996</v>
      </c>
      <c r="G849" s="202" t="s">
        <v>112</v>
      </c>
      <c r="H849" s="139">
        <f t="shared" si="186"/>
        <v>1702714</v>
      </c>
      <c r="I849" s="139">
        <f t="shared" si="186"/>
        <v>1702972</v>
      </c>
      <c r="J849" s="135"/>
      <c r="K849" s="193">
        <v>5.9782999999999999</v>
      </c>
      <c r="L849" s="202" t="s">
        <v>112</v>
      </c>
      <c r="M849" s="139">
        <f>ROUND($K849*D849/100,0)</f>
        <v>1754597</v>
      </c>
    </row>
    <row r="850" spans="1:13" hidden="1">
      <c r="A850" s="136" t="s">
        <v>150</v>
      </c>
      <c r="C850" s="135">
        <v>0</v>
      </c>
      <c r="D850" s="135">
        <f>ROUND($C850*D$853/$C$853,0)</f>
        <v>0</v>
      </c>
      <c r="E850" s="135"/>
      <c r="F850" s="190">
        <v>-0.48</v>
      </c>
      <c r="G850" s="163"/>
      <c r="H850" s="139">
        <f>ROUND($F850*C850,0)</f>
        <v>0</v>
      </c>
      <c r="I850" s="139">
        <f>ROUND($F850*D850,0)</f>
        <v>0</v>
      </c>
      <c r="J850" s="135"/>
      <c r="K850" s="190">
        <v>-0.48</v>
      </c>
      <c r="L850" s="163"/>
      <c r="M850" s="139">
        <f>ROUND($K850*D850,0)</f>
        <v>0</v>
      </c>
    </row>
    <row r="851" spans="1:13" hidden="1">
      <c r="A851" s="172" t="s">
        <v>123</v>
      </c>
      <c r="C851" s="135">
        <v>48991</v>
      </c>
      <c r="D851" s="135">
        <f>ROUND($C851*D$853/$C$853,0)</f>
        <v>49749</v>
      </c>
      <c r="E851" s="135"/>
      <c r="F851" s="174">
        <v>10.3811</v>
      </c>
      <c r="G851" s="13" t="s">
        <v>112</v>
      </c>
      <c r="H851" s="139">
        <f>ROUND($F851*C851/100,0)</f>
        <v>5086</v>
      </c>
      <c r="I851" s="139">
        <f>ROUND($F851*D851/100,0)</f>
        <v>5164</v>
      </c>
      <c r="J851" s="135"/>
      <c r="K851" s="174">
        <v>11.267099999999999</v>
      </c>
      <c r="L851" s="13" t="s">
        <v>112</v>
      </c>
      <c r="M851" s="139">
        <f>ROUND($K851*D851/100,0)</f>
        <v>5605</v>
      </c>
    </row>
    <row r="852" spans="1:13" hidden="1">
      <c r="A852" s="172" t="s">
        <v>125</v>
      </c>
      <c r="B852" s="173"/>
      <c r="C852" s="135">
        <v>299856</v>
      </c>
      <c r="D852" s="135"/>
      <c r="E852" s="135"/>
      <c r="F852" s="174"/>
      <c r="G852" s="13"/>
      <c r="H852" s="139">
        <v>37949</v>
      </c>
      <c r="I852" s="139"/>
      <c r="J852" s="135"/>
      <c r="K852" s="174"/>
      <c r="L852" s="13"/>
      <c r="M852" s="139"/>
    </row>
    <row r="853" spans="1:13" ht="16.5" hidden="1" thickBot="1">
      <c r="A853" s="176" t="s">
        <v>127</v>
      </c>
      <c r="B853" s="177"/>
      <c r="C853" s="178">
        <f>SUM(C846:C849,C851:C852)</f>
        <v>105818677.57970774</v>
      </c>
      <c r="D853" s="178">
        <v>107456615.86123635</v>
      </c>
      <c r="E853" s="178"/>
      <c r="F853" s="177"/>
      <c r="G853" s="177"/>
      <c r="H853" s="179">
        <f>SUM(H840:H852)</f>
        <v>11290851</v>
      </c>
      <c r="I853" s="179">
        <f>SUM(I840:I852)</f>
        <v>11491332</v>
      </c>
      <c r="J853" s="178"/>
      <c r="K853" s="177"/>
      <c r="L853" s="177"/>
      <c r="M853" s="179">
        <f>SUM(M840:M852)</f>
        <v>11809466</v>
      </c>
    </row>
    <row r="854" spans="1:13" hidden="1">
      <c r="C854" s="135"/>
      <c r="D854" s="135"/>
      <c r="E854" s="135"/>
      <c r="J854" s="135"/>
    </row>
    <row r="855" spans="1:13">
      <c r="A855" s="133" t="s">
        <v>298</v>
      </c>
      <c r="C855" s="135"/>
      <c r="D855" s="135"/>
      <c r="E855" s="135"/>
      <c r="J855" s="135"/>
    </row>
    <row r="856" spans="1:13">
      <c r="A856" s="136" t="s">
        <v>143</v>
      </c>
      <c r="C856" s="135">
        <f t="shared" ref="C856:D869" si="187">C872+C888+C904</f>
        <v>19614.536</v>
      </c>
      <c r="D856" s="135">
        <f t="shared" si="187"/>
        <v>23029</v>
      </c>
      <c r="E856" s="135"/>
      <c r="F856" s="190">
        <v>10</v>
      </c>
      <c r="G856" s="190"/>
      <c r="H856" s="139">
        <f t="shared" ref="H856:I861" si="188">ROUND($F856*C856,0)</f>
        <v>196145</v>
      </c>
      <c r="I856" s="139">
        <f t="shared" si="188"/>
        <v>230290</v>
      </c>
      <c r="J856" s="135"/>
      <c r="K856" s="190">
        <v>10</v>
      </c>
      <c r="L856" s="190"/>
      <c r="M856" s="139">
        <f t="shared" ref="M856:M861" si="189">ROUND($K856*D856,0)</f>
        <v>230290</v>
      </c>
    </row>
    <row r="857" spans="1:13">
      <c r="A857" s="136" t="s">
        <v>290</v>
      </c>
      <c r="C857" s="135">
        <f t="shared" si="187"/>
        <v>5</v>
      </c>
      <c r="D857" s="135">
        <f t="shared" si="187"/>
        <v>6</v>
      </c>
      <c r="E857" s="135"/>
      <c r="F857" s="190">
        <v>10</v>
      </c>
      <c r="G857" s="190"/>
      <c r="H857" s="139">
        <f t="shared" si="188"/>
        <v>50</v>
      </c>
      <c r="I857" s="139">
        <f t="shared" si="188"/>
        <v>60</v>
      </c>
      <c r="J857" s="135"/>
      <c r="K857" s="190">
        <v>10</v>
      </c>
      <c r="L857" s="190"/>
      <c r="M857" s="139">
        <f t="shared" si="189"/>
        <v>60</v>
      </c>
    </row>
    <row r="858" spans="1:13">
      <c r="A858" s="136" t="s">
        <v>106</v>
      </c>
      <c r="C858" s="135">
        <f t="shared" si="187"/>
        <v>872.71500000000003</v>
      </c>
      <c r="D858" s="135">
        <f t="shared" si="187"/>
        <v>1043</v>
      </c>
      <c r="E858" s="135"/>
      <c r="F858" s="190">
        <v>2</v>
      </c>
      <c r="G858" s="190"/>
      <c r="H858" s="139">
        <f t="shared" si="188"/>
        <v>1745</v>
      </c>
      <c r="I858" s="139">
        <f t="shared" si="188"/>
        <v>2086</v>
      </c>
      <c r="J858" s="135"/>
      <c r="K858" s="138">
        <v>2</v>
      </c>
      <c r="L858" s="190"/>
      <c r="M858" s="139">
        <f t="shared" si="189"/>
        <v>2086</v>
      </c>
    </row>
    <row r="859" spans="1:13">
      <c r="A859" s="136" t="s">
        <v>109</v>
      </c>
      <c r="C859" s="135">
        <f t="shared" si="187"/>
        <v>10437</v>
      </c>
      <c r="D859" s="135">
        <v>16007.30167371588</v>
      </c>
      <c r="E859" s="135"/>
      <c r="F859" s="138">
        <v>-0.5</v>
      </c>
      <c r="G859" s="138"/>
      <c r="H859" s="139">
        <f t="shared" si="188"/>
        <v>-5219</v>
      </c>
      <c r="I859" s="139">
        <f t="shared" si="188"/>
        <v>-8004</v>
      </c>
      <c r="J859" s="135"/>
      <c r="K859" s="138">
        <v>-0.5</v>
      </c>
      <c r="L859" s="138"/>
      <c r="M859" s="139">
        <f t="shared" si="189"/>
        <v>-8004</v>
      </c>
    </row>
    <row r="860" spans="1:13">
      <c r="A860" s="136" t="s">
        <v>291</v>
      </c>
      <c r="C860" s="135">
        <f t="shared" si="187"/>
        <v>7631.8796400449983</v>
      </c>
      <c r="D860" s="135">
        <f t="shared" si="187"/>
        <v>9542</v>
      </c>
      <c r="E860" s="135"/>
      <c r="F860" s="190">
        <v>8.89</v>
      </c>
      <c r="G860" s="190"/>
      <c r="H860" s="139">
        <f t="shared" si="188"/>
        <v>67847</v>
      </c>
      <c r="I860" s="139">
        <f t="shared" si="188"/>
        <v>84828</v>
      </c>
      <c r="J860" s="135"/>
      <c r="K860" s="190">
        <v>9.16</v>
      </c>
      <c r="L860" s="190"/>
      <c r="M860" s="139">
        <f t="shared" si="189"/>
        <v>87405</v>
      </c>
    </row>
    <row r="861" spans="1:13">
      <c r="A861" s="136" t="s">
        <v>292</v>
      </c>
      <c r="C861" s="135">
        <f t="shared" si="187"/>
        <v>11559.214739517101</v>
      </c>
      <c r="D861" s="135">
        <f t="shared" si="187"/>
        <v>14431</v>
      </c>
      <c r="E861" s="135"/>
      <c r="F861" s="190">
        <v>7.87</v>
      </c>
      <c r="G861" s="190"/>
      <c r="H861" s="139">
        <f t="shared" si="188"/>
        <v>90971</v>
      </c>
      <c r="I861" s="139">
        <f t="shared" si="188"/>
        <v>113572</v>
      </c>
      <c r="J861" s="135"/>
      <c r="K861" s="190">
        <v>8.11</v>
      </c>
      <c r="L861" s="190"/>
      <c r="M861" s="139">
        <f t="shared" si="189"/>
        <v>117035</v>
      </c>
    </row>
    <row r="862" spans="1:13">
      <c r="A862" s="136" t="s">
        <v>293</v>
      </c>
      <c r="C862" s="135">
        <f t="shared" si="187"/>
        <v>3163039</v>
      </c>
      <c r="D862" s="135">
        <f t="shared" si="187"/>
        <v>4358713.0510266982</v>
      </c>
      <c r="E862" s="135"/>
      <c r="F862" s="193">
        <v>11.712</v>
      </c>
      <c r="G862" s="202" t="s">
        <v>112</v>
      </c>
      <c r="H862" s="139">
        <f t="shared" ref="H862:I865" si="190">ROUND($F862*C862/100,0)</f>
        <v>370455</v>
      </c>
      <c r="I862" s="139">
        <f t="shared" si="190"/>
        <v>510492</v>
      </c>
      <c r="J862" s="135"/>
      <c r="K862" s="193">
        <v>12.1052</v>
      </c>
      <c r="L862" s="202" t="s">
        <v>112</v>
      </c>
      <c r="M862" s="139">
        <f>ROUND($K862*D862/100,0)</f>
        <v>527631</v>
      </c>
    </row>
    <row r="863" spans="1:13">
      <c r="A863" s="136" t="s">
        <v>294</v>
      </c>
      <c r="C863" s="135">
        <f t="shared" si="187"/>
        <v>2958600</v>
      </c>
      <c r="D863" s="135">
        <f t="shared" si="187"/>
        <v>4066457.9683057899</v>
      </c>
      <c r="E863" s="135"/>
      <c r="F863" s="193">
        <v>6.5567000000000002</v>
      </c>
      <c r="G863" s="202" t="s">
        <v>112</v>
      </c>
      <c r="H863" s="139">
        <f t="shared" si="190"/>
        <v>193987</v>
      </c>
      <c r="I863" s="139">
        <f t="shared" si="190"/>
        <v>266625</v>
      </c>
      <c r="J863" s="135"/>
      <c r="K863" s="193">
        <v>6.7554999999999996</v>
      </c>
      <c r="L863" s="202" t="s">
        <v>112</v>
      </c>
      <c r="M863" s="139">
        <f>ROUND($K863*D863/100,0)</f>
        <v>274710</v>
      </c>
    </row>
    <row r="864" spans="1:13">
      <c r="A864" s="136" t="s">
        <v>295</v>
      </c>
      <c r="C864" s="135">
        <f t="shared" si="187"/>
        <v>7769554</v>
      </c>
      <c r="D864" s="135">
        <f t="shared" si="187"/>
        <v>9500741.9457801636</v>
      </c>
      <c r="E864" s="135"/>
      <c r="F864" s="193">
        <v>10.364599999999999</v>
      </c>
      <c r="G864" s="202" t="s">
        <v>112</v>
      </c>
      <c r="H864" s="139">
        <f t="shared" si="190"/>
        <v>805283</v>
      </c>
      <c r="I864" s="139">
        <f t="shared" si="190"/>
        <v>984714</v>
      </c>
      <c r="J864" s="135"/>
      <c r="K864" s="193">
        <v>10.7126</v>
      </c>
      <c r="L864" s="202" t="s">
        <v>112</v>
      </c>
      <c r="M864" s="139">
        <f>ROUND($K864*D864/100,0)</f>
        <v>1017776</v>
      </c>
    </row>
    <row r="865" spans="1:13">
      <c r="A865" s="136" t="s">
        <v>297</v>
      </c>
      <c r="C865" s="135">
        <f t="shared" si="187"/>
        <v>6660837</v>
      </c>
      <c r="D865" s="135">
        <f t="shared" si="187"/>
        <v>8168010.4363982277</v>
      </c>
      <c r="E865" s="135"/>
      <c r="F865" s="193">
        <v>5.8023999999999996</v>
      </c>
      <c r="G865" s="202" t="s">
        <v>112</v>
      </c>
      <c r="H865" s="139">
        <f t="shared" si="190"/>
        <v>386488</v>
      </c>
      <c r="I865" s="139">
        <f t="shared" si="190"/>
        <v>473941</v>
      </c>
      <c r="J865" s="135"/>
      <c r="K865" s="193">
        <v>5.9782999999999999</v>
      </c>
      <c r="L865" s="202" t="s">
        <v>112</v>
      </c>
      <c r="M865" s="139">
        <f>ROUND($K865*D865/100,0)</f>
        <v>488308</v>
      </c>
    </row>
    <row r="866" spans="1:13">
      <c r="A866" s="136" t="s">
        <v>150</v>
      </c>
      <c r="C866" s="135">
        <f t="shared" si="187"/>
        <v>0</v>
      </c>
      <c r="D866" s="135">
        <f t="shared" si="187"/>
        <v>0</v>
      </c>
      <c r="E866" s="135"/>
      <c r="F866" s="190">
        <v>-0.48</v>
      </c>
      <c r="G866" s="163"/>
      <c r="H866" s="139">
        <f>ROUND($F866*C866,0)</f>
        <v>0</v>
      </c>
      <c r="I866" s="139">
        <f>ROUND($F866*D866,0)</f>
        <v>0</v>
      </c>
      <c r="J866" s="135"/>
      <c r="K866" s="190">
        <v>-0.48</v>
      </c>
      <c r="L866" s="163"/>
      <c r="M866" s="139">
        <f>ROUND($K866*D866,0)</f>
        <v>0</v>
      </c>
    </row>
    <row r="867" spans="1:13">
      <c r="A867" s="172" t="s">
        <v>123</v>
      </c>
      <c r="C867" s="135">
        <f t="shared" si="187"/>
        <v>0</v>
      </c>
      <c r="D867" s="135">
        <f>ROUND($C867*D$853/$C$853,0)</f>
        <v>0</v>
      </c>
      <c r="E867" s="135"/>
      <c r="F867" s="174">
        <v>10.3811</v>
      </c>
      <c r="G867" s="13" t="s">
        <v>112</v>
      </c>
      <c r="H867" s="139">
        <f>ROUND($F867*C867/100,0)</f>
        <v>0</v>
      </c>
      <c r="I867" s="139">
        <f>ROUND($F867*D867/100,0)</f>
        <v>0</v>
      </c>
      <c r="J867" s="135"/>
      <c r="K867" s="174">
        <v>11.267099999999999</v>
      </c>
      <c r="L867" s="13" t="s">
        <v>112</v>
      </c>
      <c r="M867" s="139">
        <f>ROUND($K867*D867/100,0)</f>
        <v>0</v>
      </c>
    </row>
    <row r="868" spans="1:13">
      <c r="A868" s="172" t="s">
        <v>125</v>
      </c>
      <c r="B868" s="173"/>
      <c r="C868" s="135">
        <f t="shared" si="187"/>
        <v>138544</v>
      </c>
      <c r="D868" s="135"/>
      <c r="E868" s="135"/>
      <c r="F868" s="174"/>
      <c r="G868" s="13"/>
      <c r="H868" s="139">
        <f t="shared" ref="H868" si="191">H884+H900+H916</f>
        <v>14264</v>
      </c>
      <c r="I868" s="139"/>
      <c r="J868" s="135"/>
      <c r="K868" s="174"/>
      <c r="L868" s="13"/>
      <c r="M868" s="139"/>
    </row>
    <row r="869" spans="1:13" ht="16.5" thickBot="1">
      <c r="A869" s="176" t="s">
        <v>127</v>
      </c>
      <c r="B869" s="177"/>
      <c r="C869" s="178">
        <f t="shared" si="187"/>
        <v>20690574</v>
      </c>
      <c r="D869" s="178">
        <f>D885+D901+D917</f>
        <v>26093923.401510876</v>
      </c>
      <c r="E869" s="178"/>
      <c r="F869" s="177"/>
      <c r="G869" s="177"/>
      <c r="H869" s="179">
        <f>SUM(H856:H868)</f>
        <v>2122016</v>
      </c>
      <c r="I869" s="179">
        <f>SUM(I856:I868)</f>
        <v>2658604</v>
      </c>
      <c r="J869" s="178"/>
      <c r="K869" s="177"/>
      <c r="L869" s="177"/>
      <c r="M869" s="179">
        <f>SUM(M856:M868)</f>
        <v>2737297</v>
      </c>
    </row>
    <row r="870" spans="1:13" ht="16.5" thickTop="1">
      <c r="C870" s="135"/>
      <c r="D870" s="135"/>
      <c r="E870" s="135"/>
      <c r="J870" s="135"/>
    </row>
    <row r="871" spans="1:13" hidden="1">
      <c r="A871" s="133" t="s">
        <v>487</v>
      </c>
      <c r="C871" s="135"/>
      <c r="D871" s="135"/>
      <c r="E871" s="135"/>
      <c r="J871" s="135"/>
    </row>
    <row r="872" spans="1:13" hidden="1">
      <c r="A872" s="136" t="s">
        <v>143</v>
      </c>
      <c r="C872" s="135">
        <v>13061.466</v>
      </c>
      <c r="D872" s="135">
        <v>15882</v>
      </c>
      <c r="E872" s="135"/>
      <c r="F872" s="190">
        <v>10</v>
      </c>
      <c r="G872" s="190"/>
      <c r="H872" s="139">
        <f t="shared" ref="H872:I877" si="192">ROUND($F872*C872,0)</f>
        <v>130615</v>
      </c>
      <c r="I872" s="139">
        <f t="shared" si="192"/>
        <v>158820</v>
      </c>
      <c r="J872" s="135"/>
      <c r="K872" s="190">
        <v>10</v>
      </c>
      <c r="L872" s="190"/>
      <c r="M872" s="139">
        <f t="shared" ref="M872:M877" si="193">ROUND($K872*D872,0)</f>
        <v>158820</v>
      </c>
    </row>
    <row r="873" spans="1:13" hidden="1">
      <c r="A873" s="136" t="s">
        <v>290</v>
      </c>
      <c r="C873" s="135">
        <v>4</v>
      </c>
      <c r="D873" s="135">
        <f>ROUND($C873*D$872/$C$872,0)</f>
        <v>5</v>
      </c>
      <c r="E873" s="135"/>
      <c r="F873" s="190">
        <v>10</v>
      </c>
      <c r="G873" s="190"/>
      <c r="H873" s="139">
        <f t="shared" si="192"/>
        <v>40</v>
      </c>
      <c r="I873" s="139">
        <f t="shared" si="192"/>
        <v>50</v>
      </c>
      <c r="J873" s="135"/>
      <c r="K873" s="190">
        <v>10</v>
      </c>
      <c r="L873" s="190"/>
      <c r="M873" s="139">
        <f t="shared" si="193"/>
        <v>50</v>
      </c>
    </row>
    <row r="874" spans="1:13" hidden="1">
      <c r="A874" s="136" t="s">
        <v>106</v>
      </c>
      <c r="C874" s="135">
        <v>740.71500000000003</v>
      </c>
      <c r="D874" s="135">
        <f>ROUND($C874*D$872/$C$872,0)</f>
        <v>901</v>
      </c>
      <c r="E874" s="135"/>
      <c r="F874" s="190">
        <v>2</v>
      </c>
      <c r="G874" s="190"/>
      <c r="H874" s="139">
        <f t="shared" si="192"/>
        <v>1481</v>
      </c>
      <c r="I874" s="139">
        <f t="shared" si="192"/>
        <v>1802</v>
      </c>
      <c r="J874" s="135"/>
      <c r="K874" s="138">
        <v>2</v>
      </c>
      <c r="L874" s="190"/>
      <c r="M874" s="139">
        <f t="shared" si="193"/>
        <v>1802</v>
      </c>
    </row>
    <row r="875" spans="1:13" hidden="1">
      <c r="A875" s="136" t="s">
        <v>109</v>
      </c>
      <c r="C875" s="135">
        <v>6255</v>
      </c>
      <c r="D875" s="135">
        <v>11039.470458202944</v>
      </c>
      <c r="E875" s="135"/>
      <c r="F875" s="138">
        <v>-0.5</v>
      </c>
      <c r="G875" s="138"/>
      <c r="H875" s="139">
        <f t="shared" si="192"/>
        <v>-3128</v>
      </c>
      <c r="I875" s="139">
        <f t="shared" si="192"/>
        <v>-5520</v>
      </c>
      <c r="J875" s="135"/>
      <c r="K875" s="138">
        <v>-0.5</v>
      </c>
      <c r="L875" s="138"/>
      <c r="M875" s="139">
        <f t="shared" si="193"/>
        <v>-5520</v>
      </c>
    </row>
    <row r="876" spans="1:13" hidden="1">
      <c r="A876" s="136" t="s">
        <v>291</v>
      </c>
      <c r="C876" s="135">
        <v>6635.4915635545603</v>
      </c>
      <c r="D876" s="135">
        <f>ROUND(D$885*$C876/$C$885,0)</f>
        <v>8382</v>
      </c>
      <c r="E876" s="135"/>
      <c r="F876" s="190">
        <v>8.89</v>
      </c>
      <c r="G876" s="190"/>
      <c r="H876" s="139">
        <f t="shared" si="192"/>
        <v>58990</v>
      </c>
      <c r="I876" s="139">
        <f t="shared" si="192"/>
        <v>74516</v>
      </c>
      <c r="J876" s="135"/>
      <c r="K876" s="190">
        <v>9.16</v>
      </c>
      <c r="L876" s="190"/>
      <c r="M876" s="139">
        <f t="shared" si="193"/>
        <v>76779</v>
      </c>
    </row>
    <row r="877" spans="1:13" hidden="1">
      <c r="A877" s="136" t="s">
        <v>292</v>
      </c>
      <c r="C877" s="135">
        <v>10028.3646759847</v>
      </c>
      <c r="D877" s="135">
        <f>ROUND(D$885*$C877/$C$885,0)</f>
        <v>12668</v>
      </c>
      <c r="E877" s="135"/>
      <c r="F877" s="190">
        <v>7.87</v>
      </c>
      <c r="G877" s="190"/>
      <c r="H877" s="139">
        <f t="shared" si="192"/>
        <v>78923</v>
      </c>
      <c r="I877" s="139">
        <f t="shared" si="192"/>
        <v>99697</v>
      </c>
      <c r="J877" s="135"/>
      <c r="K877" s="190">
        <v>8.11</v>
      </c>
      <c r="L877" s="190"/>
      <c r="M877" s="139">
        <f t="shared" si="193"/>
        <v>102737</v>
      </c>
    </row>
    <row r="878" spans="1:13" hidden="1">
      <c r="A878" s="136" t="s">
        <v>293</v>
      </c>
      <c r="C878" s="135">
        <v>2669396</v>
      </c>
      <c r="D878" s="135">
        <v>3619906.584952781</v>
      </c>
      <c r="E878" s="135"/>
      <c r="F878" s="193">
        <v>11.712</v>
      </c>
      <c r="G878" s="202" t="s">
        <v>112</v>
      </c>
      <c r="H878" s="139">
        <f t="shared" ref="H878:I881" si="194">ROUND($F878*C878/100,0)</f>
        <v>312640</v>
      </c>
      <c r="I878" s="139">
        <f t="shared" si="194"/>
        <v>423963</v>
      </c>
      <c r="J878" s="135"/>
      <c r="K878" s="193">
        <v>12.1052</v>
      </c>
      <c r="L878" s="202" t="s">
        <v>112</v>
      </c>
      <c r="M878" s="139">
        <f>ROUND($K878*D878/100,0)</f>
        <v>438197</v>
      </c>
    </row>
    <row r="879" spans="1:13" hidden="1">
      <c r="A879" s="136" t="s">
        <v>294</v>
      </c>
      <c r="C879" s="135">
        <v>2500151</v>
      </c>
      <c r="D879" s="135">
        <v>3390397.3289374374</v>
      </c>
      <c r="E879" s="135"/>
      <c r="F879" s="193">
        <v>6.5567000000000002</v>
      </c>
      <c r="G879" s="202" t="s">
        <v>112</v>
      </c>
      <c r="H879" s="139">
        <f t="shared" si="194"/>
        <v>163927</v>
      </c>
      <c r="I879" s="139">
        <f t="shared" si="194"/>
        <v>222298</v>
      </c>
      <c r="J879" s="135"/>
      <c r="K879" s="193">
        <v>6.7554999999999996</v>
      </c>
      <c r="L879" s="202" t="s">
        <v>112</v>
      </c>
      <c r="M879" s="139">
        <f>ROUND($K879*D879/100,0)</f>
        <v>229038</v>
      </c>
    </row>
    <row r="880" spans="1:13" hidden="1">
      <c r="A880" s="136" t="s">
        <v>295</v>
      </c>
      <c r="C880" s="135">
        <v>6286652</v>
      </c>
      <c r="D880" s="135">
        <v>7771977.4180507306</v>
      </c>
      <c r="E880" s="135"/>
      <c r="F880" s="193">
        <v>10.364599999999999</v>
      </c>
      <c r="G880" s="202" t="s">
        <v>112</v>
      </c>
      <c r="H880" s="139">
        <f t="shared" si="194"/>
        <v>651586</v>
      </c>
      <c r="I880" s="139">
        <f t="shared" si="194"/>
        <v>805534</v>
      </c>
      <c r="J880" s="135"/>
      <c r="K880" s="193">
        <v>10.7126</v>
      </c>
      <c r="L880" s="202" t="s">
        <v>112</v>
      </c>
      <c r="M880" s="139">
        <f>ROUND($K880*D880/100,0)</f>
        <v>832581</v>
      </c>
    </row>
    <row r="881" spans="1:13" hidden="1">
      <c r="A881" s="136" t="s">
        <v>297</v>
      </c>
      <c r="C881" s="135">
        <v>5456720</v>
      </c>
      <c r="D881" s="135">
        <f>D885-D878-D879-D880-D883</f>
        <v>6745960.2689358015</v>
      </c>
      <c r="E881" s="135"/>
      <c r="F881" s="193">
        <v>5.8023999999999996</v>
      </c>
      <c r="G881" s="202" t="s">
        <v>112</v>
      </c>
      <c r="H881" s="139">
        <f t="shared" si="194"/>
        <v>316621</v>
      </c>
      <c r="I881" s="139">
        <f t="shared" si="194"/>
        <v>391428</v>
      </c>
      <c r="J881" s="135"/>
      <c r="K881" s="193">
        <v>5.9782999999999999</v>
      </c>
      <c r="L881" s="202" t="s">
        <v>112</v>
      </c>
      <c r="M881" s="139">
        <f>ROUND($K881*D881/100,0)</f>
        <v>403294</v>
      </c>
    </row>
    <row r="882" spans="1:13" hidden="1">
      <c r="A882" s="136" t="s">
        <v>150</v>
      </c>
      <c r="C882" s="135">
        <v>0</v>
      </c>
      <c r="D882" s="135">
        <f>ROUND(D$885*$C882/$C$885,0)</f>
        <v>0</v>
      </c>
      <c r="E882" s="135"/>
      <c r="F882" s="190">
        <v>-0.48</v>
      </c>
      <c r="G882" s="163"/>
      <c r="H882" s="139">
        <f>ROUND($F882*C882,0)</f>
        <v>0</v>
      </c>
      <c r="I882" s="139">
        <f>ROUND($F882*D882,0)</f>
        <v>0</v>
      </c>
      <c r="J882" s="135"/>
      <c r="K882" s="190">
        <v>-0.48</v>
      </c>
      <c r="L882" s="163"/>
      <c r="M882" s="139">
        <f>ROUND($K882*D882,0)</f>
        <v>0</v>
      </c>
    </row>
    <row r="883" spans="1:13" hidden="1">
      <c r="A883" s="172" t="s">
        <v>123</v>
      </c>
      <c r="C883" s="135">
        <v>0</v>
      </c>
      <c r="D883" s="135">
        <f>ROUND(D$885*$C883/$C$885,0)</f>
        <v>0</v>
      </c>
      <c r="E883" s="135"/>
      <c r="F883" s="174">
        <v>10.3811</v>
      </c>
      <c r="G883" s="13" t="s">
        <v>112</v>
      </c>
      <c r="H883" s="139">
        <f>ROUND($F883*C883/100,0)</f>
        <v>0</v>
      </c>
      <c r="I883" s="139">
        <f>ROUND($F883*D883/100,0)</f>
        <v>0</v>
      </c>
      <c r="J883" s="135"/>
      <c r="K883" s="174">
        <v>11.267099999999999</v>
      </c>
      <c r="L883" s="13" t="s">
        <v>112</v>
      </c>
      <c r="M883" s="139">
        <f>ROUND($K883*D883/100,0)</f>
        <v>0</v>
      </c>
    </row>
    <row r="884" spans="1:13" hidden="1">
      <c r="A884" s="172" t="s">
        <v>125</v>
      </c>
      <c r="B884" s="173"/>
      <c r="C884" s="135">
        <v>128965</v>
      </c>
      <c r="D884" s="135"/>
      <c r="E884" s="135"/>
      <c r="F884" s="174"/>
      <c r="G884" s="13"/>
      <c r="H884" s="139">
        <v>12970</v>
      </c>
      <c r="I884" s="139"/>
      <c r="J884" s="135"/>
      <c r="K884" s="174"/>
      <c r="L884" s="13"/>
      <c r="M884" s="139"/>
    </row>
    <row r="885" spans="1:13" ht="16.5" hidden="1" thickBot="1">
      <c r="A885" s="176" t="s">
        <v>127</v>
      </c>
      <c r="B885" s="177"/>
      <c r="C885" s="178">
        <f>SUM(C878:C881,C883:C884)</f>
        <v>17041884</v>
      </c>
      <c r="D885" s="178">
        <v>21528241.600876749</v>
      </c>
      <c r="E885" s="178"/>
      <c r="F885" s="177"/>
      <c r="G885" s="177"/>
      <c r="H885" s="179">
        <f>SUM(H872:H884)</f>
        <v>1724665</v>
      </c>
      <c r="I885" s="179">
        <f>SUM(I872:I884)</f>
        <v>2172588</v>
      </c>
      <c r="J885" s="178"/>
      <c r="K885" s="177"/>
      <c r="L885" s="177"/>
      <c r="M885" s="179">
        <f>SUM(M872:M884)</f>
        <v>2237778</v>
      </c>
    </row>
    <row r="886" spans="1:13" hidden="1">
      <c r="C886" s="135"/>
      <c r="D886" s="135"/>
      <c r="E886" s="135"/>
      <c r="J886" s="135"/>
    </row>
    <row r="887" spans="1:13" hidden="1">
      <c r="A887" s="133" t="s">
        <v>488</v>
      </c>
      <c r="C887" s="135"/>
      <c r="D887" s="135"/>
      <c r="E887" s="135"/>
      <c r="J887" s="135"/>
    </row>
    <row r="888" spans="1:13" hidden="1">
      <c r="A888" s="136" t="s">
        <v>143</v>
      </c>
      <c r="C888" s="135">
        <v>249.06700000000001</v>
      </c>
      <c r="D888" s="135">
        <v>216</v>
      </c>
      <c r="E888" s="135"/>
      <c r="F888" s="190">
        <v>10</v>
      </c>
      <c r="G888" s="190"/>
      <c r="H888" s="139">
        <f t="shared" ref="H888:I893" si="195">ROUND($F888*C888,0)</f>
        <v>2491</v>
      </c>
      <c r="I888" s="139">
        <f t="shared" si="195"/>
        <v>2160</v>
      </c>
      <c r="J888" s="135"/>
      <c r="K888" s="190">
        <v>10</v>
      </c>
      <c r="L888" s="190"/>
      <c r="M888" s="139">
        <f t="shared" ref="M888:M893" si="196">ROUND($K888*D888,0)</f>
        <v>2160</v>
      </c>
    </row>
    <row r="889" spans="1:13" hidden="1">
      <c r="A889" s="136" t="s">
        <v>290</v>
      </c>
      <c r="C889" s="135">
        <v>0</v>
      </c>
      <c r="D889" s="135">
        <f>ROUND($C889*D$888/$C$888,0)</f>
        <v>0</v>
      </c>
      <c r="E889" s="135"/>
      <c r="F889" s="190">
        <v>10</v>
      </c>
      <c r="G889" s="190"/>
      <c r="H889" s="139">
        <f t="shared" si="195"/>
        <v>0</v>
      </c>
      <c r="I889" s="139">
        <f t="shared" si="195"/>
        <v>0</v>
      </c>
      <c r="J889" s="135"/>
      <c r="K889" s="190">
        <v>10</v>
      </c>
      <c r="L889" s="190"/>
      <c r="M889" s="139">
        <f t="shared" si="196"/>
        <v>0</v>
      </c>
    </row>
    <row r="890" spans="1:13" hidden="1">
      <c r="A890" s="136" t="s">
        <v>106</v>
      </c>
      <c r="C890" s="135">
        <v>12</v>
      </c>
      <c r="D890" s="135">
        <f>ROUND($C890*D$888/$C$888,0)</f>
        <v>10</v>
      </c>
      <c r="E890" s="135"/>
      <c r="F890" s="190">
        <v>2</v>
      </c>
      <c r="G890" s="190"/>
      <c r="H890" s="139">
        <f t="shared" si="195"/>
        <v>24</v>
      </c>
      <c r="I890" s="139">
        <f t="shared" si="195"/>
        <v>20</v>
      </c>
      <c r="J890" s="135"/>
      <c r="K890" s="138">
        <v>2</v>
      </c>
      <c r="L890" s="190"/>
      <c r="M890" s="139">
        <f t="shared" si="196"/>
        <v>20</v>
      </c>
    </row>
    <row r="891" spans="1:13" hidden="1">
      <c r="A891" s="136" t="s">
        <v>109</v>
      </c>
      <c r="C891" s="135">
        <v>105</v>
      </c>
      <c r="D891" s="135">
        <v>150.14013467899736</v>
      </c>
      <c r="E891" s="135"/>
      <c r="F891" s="138">
        <v>-0.5</v>
      </c>
      <c r="G891" s="138"/>
      <c r="H891" s="139">
        <f t="shared" si="195"/>
        <v>-53</v>
      </c>
      <c r="I891" s="139">
        <f t="shared" si="195"/>
        <v>-75</v>
      </c>
      <c r="J891" s="135"/>
      <c r="K891" s="138">
        <v>-0.5</v>
      </c>
      <c r="L891" s="138"/>
      <c r="M891" s="139">
        <f t="shared" si="196"/>
        <v>-75</v>
      </c>
    </row>
    <row r="892" spans="1:13" hidden="1">
      <c r="A892" s="136" t="s">
        <v>291</v>
      </c>
      <c r="C892" s="135">
        <v>176.34645669291299</v>
      </c>
      <c r="D892" s="135">
        <f>ROUND(D$901*$C892/$C$901,0)</f>
        <v>85</v>
      </c>
      <c r="E892" s="135"/>
      <c r="F892" s="190">
        <v>8.89</v>
      </c>
      <c r="G892" s="190"/>
      <c r="H892" s="139">
        <f t="shared" si="195"/>
        <v>1568</v>
      </c>
      <c r="I892" s="139">
        <f t="shared" si="195"/>
        <v>756</v>
      </c>
      <c r="J892" s="135"/>
      <c r="K892" s="190">
        <v>9.16</v>
      </c>
      <c r="L892" s="190"/>
      <c r="M892" s="139">
        <f t="shared" si="196"/>
        <v>779</v>
      </c>
    </row>
    <row r="893" spans="1:13" hidden="1">
      <c r="A893" s="136" t="s">
        <v>292</v>
      </c>
      <c r="C893" s="135">
        <v>293.48919949174098</v>
      </c>
      <c r="D893" s="135">
        <f>ROUND(D$901*$C893/$C$901,0)</f>
        <v>141</v>
      </c>
      <c r="E893" s="135"/>
      <c r="F893" s="190">
        <v>7.87</v>
      </c>
      <c r="G893" s="190"/>
      <c r="H893" s="139">
        <f t="shared" si="195"/>
        <v>2310</v>
      </c>
      <c r="I893" s="139">
        <f t="shared" si="195"/>
        <v>1110</v>
      </c>
      <c r="J893" s="135"/>
      <c r="K893" s="190">
        <v>8.11</v>
      </c>
      <c r="L893" s="190"/>
      <c r="M893" s="139">
        <f t="shared" si="196"/>
        <v>1144</v>
      </c>
    </row>
    <row r="894" spans="1:13" hidden="1">
      <c r="A894" s="136" t="s">
        <v>293</v>
      </c>
      <c r="C894" s="135">
        <v>46878</v>
      </c>
      <c r="D894" s="135">
        <v>19162.588085249281</v>
      </c>
      <c r="E894" s="135"/>
      <c r="F894" s="193">
        <v>11.712</v>
      </c>
      <c r="G894" s="202" t="s">
        <v>112</v>
      </c>
      <c r="H894" s="139">
        <f t="shared" ref="H894:I897" si="197">ROUND($F894*C894/100,0)</f>
        <v>5490</v>
      </c>
      <c r="I894" s="139">
        <f t="shared" si="197"/>
        <v>2244</v>
      </c>
      <c r="J894" s="135"/>
      <c r="K894" s="193">
        <v>12.1052</v>
      </c>
      <c r="L894" s="202" t="s">
        <v>112</v>
      </c>
      <c r="M894" s="139">
        <f>ROUND($K894*D894/100,0)</f>
        <v>2320</v>
      </c>
    </row>
    <row r="895" spans="1:13" hidden="1">
      <c r="A895" s="136" t="s">
        <v>294</v>
      </c>
      <c r="C895" s="135">
        <v>51916</v>
      </c>
      <c r="D895" s="135">
        <v>21222.000150044838</v>
      </c>
      <c r="E895" s="135"/>
      <c r="F895" s="193">
        <v>6.5567000000000002</v>
      </c>
      <c r="G895" s="202" t="s">
        <v>112</v>
      </c>
      <c r="H895" s="139">
        <f t="shared" si="197"/>
        <v>3404</v>
      </c>
      <c r="I895" s="139">
        <f t="shared" si="197"/>
        <v>1391</v>
      </c>
      <c r="J895" s="135"/>
      <c r="K895" s="193">
        <v>6.7554999999999996</v>
      </c>
      <c r="L895" s="202" t="s">
        <v>112</v>
      </c>
      <c r="M895" s="139">
        <f>ROUND($K895*D895/100,0)</f>
        <v>1434</v>
      </c>
    </row>
    <row r="896" spans="1:13" hidden="1">
      <c r="A896" s="136" t="s">
        <v>295</v>
      </c>
      <c r="C896" s="135">
        <v>103559</v>
      </c>
      <c r="D896" s="135">
        <v>54132.170552106931</v>
      </c>
      <c r="E896" s="135"/>
      <c r="F896" s="193">
        <v>10.364599999999999</v>
      </c>
      <c r="G896" s="202" t="s">
        <v>112</v>
      </c>
      <c r="H896" s="139">
        <f t="shared" si="197"/>
        <v>10733</v>
      </c>
      <c r="I896" s="139">
        <f t="shared" si="197"/>
        <v>5611</v>
      </c>
      <c r="J896" s="135"/>
      <c r="K896" s="193">
        <v>10.7126</v>
      </c>
      <c r="L896" s="202" t="s">
        <v>112</v>
      </c>
      <c r="M896" s="139">
        <f>ROUND($K896*D896/100,0)</f>
        <v>5799</v>
      </c>
    </row>
    <row r="897" spans="1:13" hidden="1">
      <c r="A897" s="136" t="s">
        <v>297</v>
      </c>
      <c r="C897" s="135">
        <v>57631</v>
      </c>
      <c r="D897" s="135">
        <f>D901-D894-D895-D896-D899</f>
        <v>30124.770624363642</v>
      </c>
      <c r="E897" s="135"/>
      <c r="F897" s="193">
        <v>5.8023999999999996</v>
      </c>
      <c r="G897" s="202" t="s">
        <v>112</v>
      </c>
      <c r="H897" s="139">
        <f t="shared" si="197"/>
        <v>3344</v>
      </c>
      <c r="I897" s="139">
        <f t="shared" si="197"/>
        <v>1748</v>
      </c>
      <c r="J897" s="135"/>
      <c r="K897" s="193">
        <v>5.9782999999999999</v>
      </c>
      <c r="L897" s="202" t="s">
        <v>112</v>
      </c>
      <c r="M897" s="139">
        <f>ROUND($K897*D897/100,0)</f>
        <v>1801</v>
      </c>
    </row>
    <row r="898" spans="1:13" hidden="1">
      <c r="A898" s="136" t="s">
        <v>150</v>
      </c>
      <c r="C898" s="135">
        <v>0</v>
      </c>
      <c r="D898" s="135">
        <f>ROUND(D$901*$C898/$C$901,0)</f>
        <v>0</v>
      </c>
      <c r="E898" s="135"/>
      <c r="F898" s="190">
        <v>-0.48</v>
      </c>
      <c r="G898" s="163"/>
      <c r="H898" s="139">
        <f>ROUND($F898*C898,0)</f>
        <v>0</v>
      </c>
      <c r="I898" s="139">
        <f>ROUND($F898*D898,0)</f>
        <v>0</v>
      </c>
      <c r="J898" s="135"/>
      <c r="K898" s="190">
        <v>-0.48</v>
      </c>
      <c r="L898" s="163"/>
      <c r="M898" s="139">
        <f>ROUND($K898*D898,0)</f>
        <v>0</v>
      </c>
    </row>
    <row r="899" spans="1:13" hidden="1">
      <c r="A899" s="172" t="s">
        <v>123</v>
      </c>
      <c r="C899" s="135">
        <v>0</v>
      </c>
      <c r="D899" s="135">
        <f>ROUND(D$901*$C899/$C$901,0)</f>
        <v>0</v>
      </c>
      <c r="E899" s="135"/>
      <c r="F899" s="174">
        <v>10.3811</v>
      </c>
      <c r="G899" s="13" t="s">
        <v>112</v>
      </c>
      <c r="H899" s="139">
        <f>ROUND($F899*C899/100,0)</f>
        <v>0</v>
      </c>
      <c r="I899" s="139">
        <f>ROUND($F899*D899/100,0)</f>
        <v>0</v>
      </c>
      <c r="J899" s="135"/>
      <c r="K899" s="174">
        <v>11.267099999999999</v>
      </c>
      <c r="L899" s="13" t="s">
        <v>112</v>
      </c>
      <c r="M899" s="139">
        <f>ROUND($K899*D899/100,0)</f>
        <v>0</v>
      </c>
    </row>
    <row r="900" spans="1:13" hidden="1">
      <c r="A900" s="172" t="s">
        <v>125</v>
      </c>
      <c r="B900" s="173"/>
      <c r="C900" s="135">
        <v>63</v>
      </c>
      <c r="D900" s="135"/>
      <c r="E900" s="135"/>
      <c r="F900" s="174"/>
      <c r="G900" s="13"/>
      <c r="H900" s="139">
        <v>66</v>
      </c>
      <c r="I900" s="139"/>
      <c r="J900" s="135"/>
      <c r="K900" s="174"/>
      <c r="L900" s="13"/>
      <c r="M900" s="139"/>
    </row>
    <row r="901" spans="1:13" ht="16.5" hidden="1" thickBot="1">
      <c r="A901" s="176" t="s">
        <v>127</v>
      </c>
      <c r="B901" s="177"/>
      <c r="C901" s="178">
        <f>SUM(C894:C897,C899:C900)</f>
        <v>260047</v>
      </c>
      <c r="D901" s="178">
        <v>124641.5294117647</v>
      </c>
      <c r="E901" s="178"/>
      <c r="F901" s="177"/>
      <c r="G901" s="177"/>
      <c r="H901" s="179">
        <f>SUM(H888:H900)</f>
        <v>29377</v>
      </c>
      <c r="I901" s="179">
        <f>SUM(I888:I900)</f>
        <v>14965</v>
      </c>
      <c r="J901" s="178"/>
      <c r="K901" s="177"/>
      <c r="L901" s="177"/>
      <c r="M901" s="179">
        <f>SUM(M888:M900)</f>
        <v>15382</v>
      </c>
    </row>
    <row r="902" spans="1:13" hidden="1">
      <c r="C902" s="135"/>
      <c r="D902" s="135"/>
      <c r="E902" s="135"/>
      <c r="J902" s="135"/>
    </row>
    <row r="903" spans="1:13" hidden="1">
      <c r="A903" s="133" t="s">
        <v>489</v>
      </c>
      <c r="C903" s="135"/>
      <c r="D903" s="135"/>
      <c r="E903" s="135"/>
      <c r="J903" s="135"/>
    </row>
    <row r="904" spans="1:13" hidden="1">
      <c r="A904" s="136" t="s">
        <v>143</v>
      </c>
      <c r="C904" s="135">
        <v>6304.0029999999997</v>
      </c>
      <c r="D904" s="135">
        <v>6931</v>
      </c>
      <c r="E904" s="135"/>
      <c r="F904" s="190">
        <v>10</v>
      </c>
      <c r="G904" s="190"/>
      <c r="H904" s="139">
        <f t="shared" ref="H904:I909" si="198">ROUND($F904*C904,0)</f>
        <v>63040</v>
      </c>
      <c r="I904" s="139">
        <f t="shared" si="198"/>
        <v>69310</v>
      </c>
      <c r="J904" s="135"/>
      <c r="K904" s="190">
        <v>10</v>
      </c>
      <c r="L904" s="190"/>
      <c r="M904" s="139">
        <f t="shared" ref="M904:M909" si="199">ROUND($K904*D904,0)</f>
        <v>69310</v>
      </c>
    </row>
    <row r="905" spans="1:13" hidden="1">
      <c r="A905" s="136" t="s">
        <v>290</v>
      </c>
      <c r="C905" s="135">
        <v>1</v>
      </c>
      <c r="D905" s="135">
        <f>ROUND($C905*D$904/$C$904,0)</f>
        <v>1</v>
      </c>
      <c r="E905" s="135"/>
      <c r="F905" s="190">
        <v>10</v>
      </c>
      <c r="G905" s="190"/>
      <c r="H905" s="139">
        <f t="shared" si="198"/>
        <v>10</v>
      </c>
      <c r="I905" s="139">
        <f t="shared" si="198"/>
        <v>10</v>
      </c>
      <c r="J905" s="135"/>
      <c r="K905" s="190">
        <v>10</v>
      </c>
      <c r="L905" s="190"/>
      <c r="M905" s="139">
        <f t="shared" si="199"/>
        <v>10</v>
      </c>
    </row>
    <row r="906" spans="1:13" hidden="1">
      <c r="A906" s="136" t="s">
        <v>106</v>
      </c>
      <c r="C906" s="135">
        <v>120</v>
      </c>
      <c r="D906" s="135">
        <f>ROUND($C906*D$904/$C$904,0)</f>
        <v>132</v>
      </c>
      <c r="E906" s="135"/>
      <c r="F906" s="190">
        <v>2</v>
      </c>
      <c r="G906" s="190"/>
      <c r="H906" s="139">
        <f t="shared" si="198"/>
        <v>240</v>
      </c>
      <c r="I906" s="139">
        <f t="shared" si="198"/>
        <v>264</v>
      </c>
      <c r="J906" s="135"/>
      <c r="K906" s="138">
        <v>2</v>
      </c>
      <c r="L906" s="190"/>
      <c r="M906" s="139">
        <f t="shared" si="199"/>
        <v>264</v>
      </c>
    </row>
    <row r="907" spans="1:13" hidden="1">
      <c r="A907" s="136" t="s">
        <v>109</v>
      </c>
      <c r="C907" s="135">
        <v>4077</v>
      </c>
      <c r="D907" s="135">
        <v>4817.691080833938</v>
      </c>
      <c r="E907" s="135"/>
      <c r="F907" s="138">
        <v>-0.5</v>
      </c>
      <c r="G907" s="138"/>
      <c r="H907" s="139">
        <f t="shared" si="198"/>
        <v>-2039</v>
      </c>
      <c r="I907" s="139">
        <f t="shared" si="198"/>
        <v>-2409</v>
      </c>
      <c r="J907" s="135"/>
      <c r="K907" s="138">
        <v>-0.5</v>
      </c>
      <c r="L907" s="138"/>
      <c r="M907" s="139">
        <f t="shared" si="199"/>
        <v>-2409</v>
      </c>
    </row>
    <row r="908" spans="1:13" hidden="1">
      <c r="A908" s="136" t="s">
        <v>291</v>
      </c>
      <c r="C908" s="135">
        <v>820.04161979752496</v>
      </c>
      <c r="D908" s="135">
        <f>ROUND($C908*D$917/$C$917,0)</f>
        <v>1075</v>
      </c>
      <c r="E908" s="135"/>
      <c r="F908" s="190">
        <v>8.89</v>
      </c>
      <c r="G908" s="190"/>
      <c r="H908" s="139">
        <f t="shared" si="198"/>
        <v>7290</v>
      </c>
      <c r="I908" s="139">
        <f t="shared" si="198"/>
        <v>9557</v>
      </c>
      <c r="J908" s="135"/>
      <c r="K908" s="190">
        <v>9.16</v>
      </c>
      <c r="L908" s="190"/>
      <c r="M908" s="139">
        <f t="shared" si="199"/>
        <v>9847</v>
      </c>
    </row>
    <row r="909" spans="1:13" hidden="1">
      <c r="A909" s="136" t="s">
        <v>292</v>
      </c>
      <c r="C909" s="135">
        <v>1237.3608640406601</v>
      </c>
      <c r="D909" s="135">
        <f>ROUND($C909*D$917/$C$917,0)</f>
        <v>1622</v>
      </c>
      <c r="E909" s="135"/>
      <c r="F909" s="190">
        <v>7.87</v>
      </c>
      <c r="G909" s="190"/>
      <c r="H909" s="139">
        <f t="shared" si="198"/>
        <v>9738</v>
      </c>
      <c r="I909" s="139">
        <f t="shared" si="198"/>
        <v>12765</v>
      </c>
      <c r="J909" s="135"/>
      <c r="K909" s="190">
        <v>8.11</v>
      </c>
      <c r="L909" s="190"/>
      <c r="M909" s="139">
        <f t="shared" si="199"/>
        <v>13154</v>
      </c>
    </row>
    <row r="910" spans="1:13" hidden="1">
      <c r="A910" s="136" t="s">
        <v>293</v>
      </c>
      <c r="C910" s="135">
        <v>446765</v>
      </c>
      <c r="D910" s="135">
        <v>719643.87798866828</v>
      </c>
      <c r="E910" s="135"/>
      <c r="F910" s="193">
        <v>11.712</v>
      </c>
      <c r="G910" s="202" t="s">
        <v>112</v>
      </c>
      <c r="H910" s="139">
        <f t="shared" ref="H910:I913" si="200">ROUND($F910*C910/100,0)</f>
        <v>52325</v>
      </c>
      <c r="I910" s="139">
        <f t="shared" si="200"/>
        <v>84285</v>
      </c>
      <c r="J910" s="135"/>
      <c r="K910" s="193">
        <v>12.1052</v>
      </c>
      <c r="L910" s="202" t="s">
        <v>112</v>
      </c>
      <c r="M910" s="139">
        <f>ROUND($K910*D910/100,0)</f>
        <v>87114</v>
      </c>
    </row>
    <row r="911" spans="1:13" hidden="1">
      <c r="A911" s="136" t="s">
        <v>294</v>
      </c>
      <c r="C911" s="135">
        <v>406533</v>
      </c>
      <c r="D911" s="135">
        <v>654838.63921830745</v>
      </c>
      <c r="E911" s="135"/>
      <c r="F911" s="193">
        <v>6.5567000000000002</v>
      </c>
      <c r="G911" s="202" t="s">
        <v>112</v>
      </c>
      <c r="H911" s="139">
        <f t="shared" si="200"/>
        <v>26655</v>
      </c>
      <c r="I911" s="139">
        <f t="shared" si="200"/>
        <v>42936</v>
      </c>
      <c r="J911" s="135"/>
      <c r="K911" s="193">
        <v>6.7554999999999996</v>
      </c>
      <c r="L911" s="202" t="s">
        <v>112</v>
      </c>
      <c r="M911" s="139">
        <f>ROUND($K911*D911/100,0)</f>
        <v>44238</v>
      </c>
    </row>
    <row r="912" spans="1:13" hidden="1">
      <c r="A912" s="136" t="s">
        <v>295</v>
      </c>
      <c r="C912" s="135">
        <v>1379343</v>
      </c>
      <c r="D912" s="135">
        <v>1674632.3571773258</v>
      </c>
      <c r="E912" s="135"/>
      <c r="F912" s="193">
        <v>10.364599999999999</v>
      </c>
      <c r="G912" s="202" t="s">
        <v>112</v>
      </c>
      <c r="H912" s="139">
        <f t="shared" si="200"/>
        <v>142963</v>
      </c>
      <c r="I912" s="139">
        <f t="shared" si="200"/>
        <v>173569</v>
      </c>
      <c r="J912" s="135"/>
      <c r="K912" s="193">
        <v>10.7126</v>
      </c>
      <c r="L912" s="202" t="s">
        <v>112</v>
      </c>
      <c r="M912" s="139">
        <f>ROUND($K912*D912/100,0)</f>
        <v>179397</v>
      </c>
    </row>
    <row r="913" spans="1:13" hidden="1">
      <c r="A913" s="136" t="s">
        <v>297</v>
      </c>
      <c r="C913" s="135">
        <v>1146486</v>
      </c>
      <c r="D913" s="135">
        <f>D917-D910-D911-D912-D915</f>
        <v>1391925.3968380627</v>
      </c>
      <c r="E913" s="135"/>
      <c r="F913" s="193">
        <v>5.8023999999999996</v>
      </c>
      <c r="G913" s="202" t="s">
        <v>112</v>
      </c>
      <c r="H913" s="139">
        <f t="shared" si="200"/>
        <v>66524</v>
      </c>
      <c r="I913" s="139">
        <f t="shared" si="200"/>
        <v>80765</v>
      </c>
      <c r="J913" s="135"/>
      <c r="K913" s="193">
        <v>5.9782999999999999</v>
      </c>
      <c r="L913" s="202" t="s">
        <v>112</v>
      </c>
      <c r="M913" s="139">
        <f>ROUND($K913*D913/100,0)</f>
        <v>83213</v>
      </c>
    </row>
    <row r="914" spans="1:13" hidden="1">
      <c r="A914" s="136" t="s">
        <v>150</v>
      </c>
      <c r="C914" s="135">
        <v>0</v>
      </c>
      <c r="D914" s="135">
        <f>ROUND($C914*D$917/$C$917,0)</f>
        <v>0</v>
      </c>
      <c r="E914" s="135"/>
      <c r="F914" s="190">
        <v>-0.48</v>
      </c>
      <c r="G914" s="163"/>
      <c r="H914" s="139">
        <f>ROUND($F914*C914,0)</f>
        <v>0</v>
      </c>
      <c r="I914" s="139">
        <f>ROUND($F914*D914,0)</f>
        <v>0</v>
      </c>
      <c r="J914" s="135"/>
      <c r="K914" s="190">
        <v>-0.48</v>
      </c>
      <c r="L914" s="163"/>
      <c r="M914" s="139">
        <f>ROUND($K914*D914,0)</f>
        <v>0</v>
      </c>
    </row>
    <row r="915" spans="1:13" hidden="1">
      <c r="A915" s="172" t="s">
        <v>123</v>
      </c>
      <c r="C915" s="135">
        <v>0</v>
      </c>
      <c r="D915" s="135">
        <f>ROUND($C915*D$917/$C$917,0)</f>
        <v>0</v>
      </c>
      <c r="E915" s="135"/>
      <c r="F915" s="174">
        <v>10.3811</v>
      </c>
      <c r="G915" s="13" t="s">
        <v>112</v>
      </c>
      <c r="H915" s="139">
        <f>ROUND($F915*C915/100,0)</f>
        <v>0</v>
      </c>
      <c r="I915" s="139">
        <f>ROUND($F915*D915/100,0)</f>
        <v>0</v>
      </c>
      <c r="J915" s="135"/>
      <c r="K915" s="174">
        <v>11.267099999999999</v>
      </c>
      <c r="L915" s="13" t="s">
        <v>112</v>
      </c>
      <c r="M915" s="139">
        <f>ROUND($K915*D915/100,0)</f>
        <v>0</v>
      </c>
    </row>
    <row r="916" spans="1:13" hidden="1">
      <c r="A916" s="172" t="s">
        <v>125</v>
      </c>
      <c r="B916" s="173"/>
      <c r="C916" s="135">
        <v>9516</v>
      </c>
      <c r="D916" s="135"/>
      <c r="E916" s="135"/>
      <c r="F916" s="174"/>
      <c r="G916" s="13"/>
      <c r="H916" s="139">
        <v>1228</v>
      </c>
      <c r="I916" s="139"/>
      <c r="J916" s="135"/>
      <c r="K916" s="174"/>
      <c r="L916" s="13"/>
      <c r="M916" s="139"/>
    </row>
    <row r="917" spans="1:13" ht="16.5" hidden="1" thickBot="1">
      <c r="A917" s="176" t="s">
        <v>127</v>
      </c>
      <c r="B917" s="177"/>
      <c r="C917" s="178">
        <f>SUM(C910:C913,C915:C916)</f>
        <v>3388643</v>
      </c>
      <c r="D917" s="178">
        <v>4441040.2712223642</v>
      </c>
      <c r="E917" s="178"/>
      <c r="F917" s="177"/>
      <c r="G917" s="177"/>
      <c r="H917" s="179">
        <f>SUM(H904:H916)</f>
        <v>367974</v>
      </c>
      <c r="I917" s="179">
        <f>SUM(I904:I916)</f>
        <v>471052</v>
      </c>
      <c r="J917" s="178"/>
      <c r="K917" s="177"/>
      <c r="L917" s="177"/>
      <c r="M917" s="179">
        <f>SUM(M904:M916)</f>
        <v>484138</v>
      </c>
    </row>
    <row r="918" spans="1:13" hidden="1"/>
    <row r="919" spans="1:13">
      <c r="A919" s="133" t="s">
        <v>299</v>
      </c>
      <c r="C919" s="135"/>
      <c r="D919" s="135"/>
      <c r="E919" s="135"/>
      <c r="F919" s="193"/>
      <c r="G919" s="193"/>
      <c r="J919" s="135"/>
      <c r="K919" s="193"/>
      <c r="L919" s="193"/>
    </row>
    <row r="920" spans="1:13">
      <c r="A920" s="235" t="s">
        <v>300</v>
      </c>
      <c r="C920" s="135"/>
      <c r="D920" s="135"/>
      <c r="E920" s="135"/>
      <c r="J920" s="135"/>
    </row>
    <row r="921" spans="1:13">
      <c r="A921" s="136" t="s">
        <v>301</v>
      </c>
      <c r="B921" s="220"/>
      <c r="C921" s="135">
        <f>C987+C1053</f>
        <v>0</v>
      </c>
      <c r="D921" s="135">
        <f t="shared" ref="D921" si="201">D987+D1053</f>
        <v>0</v>
      </c>
      <c r="E921" s="135"/>
      <c r="F921" s="138">
        <v>137</v>
      </c>
      <c r="G921" s="138"/>
      <c r="H921" s="139">
        <f t="shared" ref="H921:I923" si="202">ROUND($F921*C921,0)</f>
        <v>0</v>
      </c>
      <c r="I921" s="139">
        <f t="shared" si="202"/>
        <v>0</v>
      </c>
      <c r="J921" s="135"/>
      <c r="K921" s="138">
        <v>139</v>
      </c>
      <c r="L921" s="138"/>
      <c r="M921" s="139">
        <f>ROUND($K921*D921,0)</f>
        <v>0</v>
      </c>
    </row>
    <row r="922" spans="1:13">
      <c r="A922" s="136" t="s">
        <v>109</v>
      </c>
      <c r="C922" s="135">
        <f>C988+C1054</f>
        <v>0</v>
      </c>
      <c r="D922" s="135">
        <f>D988+D1054</f>
        <v>0</v>
      </c>
      <c r="E922" s="135"/>
      <c r="F922" s="138">
        <v>-0.5</v>
      </c>
      <c r="G922" s="138"/>
      <c r="H922" s="139">
        <f t="shared" si="202"/>
        <v>0</v>
      </c>
      <c r="I922" s="139">
        <f t="shared" si="202"/>
        <v>0</v>
      </c>
      <c r="J922" s="135"/>
      <c r="K922" s="138">
        <v>-0.5</v>
      </c>
      <c r="L922" s="138"/>
      <c r="M922" s="139">
        <f>ROUND($K922*D922,0)</f>
        <v>0</v>
      </c>
    </row>
    <row r="923" spans="1:13">
      <c r="A923" s="136" t="s">
        <v>303</v>
      </c>
      <c r="B923" s="220"/>
      <c r="C923" s="135">
        <f>C989+C1055</f>
        <v>0</v>
      </c>
      <c r="D923" s="135">
        <f>D989+D1055</f>
        <v>0</v>
      </c>
      <c r="E923" s="135"/>
      <c r="F923" s="138">
        <v>5.75</v>
      </c>
      <c r="G923" s="138"/>
      <c r="H923" s="139">
        <f t="shared" si="202"/>
        <v>0</v>
      </c>
      <c r="I923" s="139">
        <f t="shared" si="202"/>
        <v>0</v>
      </c>
      <c r="J923" s="135"/>
      <c r="K923" s="138">
        <v>5.92</v>
      </c>
      <c r="L923" s="138"/>
      <c r="M923" s="139">
        <f>ROUND($K923*D923,0)</f>
        <v>0</v>
      </c>
    </row>
    <row r="924" spans="1:13">
      <c r="A924" s="136" t="s">
        <v>304</v>
      </c>
      <c r="B924" s="220"/>
      <c r="C924" s="135"/>
      <c r="D924" s="135"/>
      <c r="E924" s="135"/>
      <c r="F924" s="190"/>
      <c r="G924" s="190"/>
      <c r="H924" s="139"/>
      <c r="I924" s="139"/>
      <c r="J924" s="135"/>
      <c r="K924" s="190"/>
      <c r="L924" s="190"/>
      <c r="M924" s="139"/>
    </row>
    <row r="925" spans="1:13">
      <c r="A925" s="136" t="s">
        <v>305</v>
      </c>
      <c r="B925" s="220"/>
      <c r="C925" s="135"/>
      <c r="D925" s="135"/>
      <c r="E925" s="135"/>
      <c r="F925" s="237"/>
      <c r="G925" s="237"/>
      <c r="H925" s="139"/>
      <c r="I925" s="139"/>
      <c r="J925" s="135"/>
      <c r="K925" s="237"/>
      <c r="L925" s="237"/>
      <c r="M925" s="139"/>
    </row>
    <row r="926" spans="1:13">
      <c r="A926" s="136" t="s">
        <v>306</v>
      </c>
      <c r="B926" s="220"/>
      <c r="C926" s="135">
        <f>C992+C1058</f>
        <v>0</v>
      </c>
      <c r="D926" s="135">
        <f t="shared" ref="D926:D927" si="203">D992+D1058</f>
        <v>0</v>
      </c>
      <c r="E926" s="135"/>
      <c r="F926" s="237">
        <v>0.9</v>
      </c>
      <c r="G926" s="237"/>
      <c r="H926" s="139">
        <f>ROUND($F926*C926,0)</f>
        <v>0</v>
      </c>
      <c r="I926" s="139">
        <f>ROUND($F926*D926,0)</f>
        <v>0</v>
      </c>
      <c r="J926" s="135"/>
      <c r="K926" s="138">
        <v>0.72</v>
      </c>
      <c r="L926" s="237"/>
      <c r="M926" s="139">
        <f>ROUND($K926*D926,0)</f>
        <v>0</v>
      </c>
    </row>
    <row r="927" spans="1:13">
      <c r="A927" s="136" t="s">
        <v>307</v>
      </c>
      <c r="B927" s="220"/>
      <c r="C927" s="135">
        <f>C993+C1059</f>
        <v>0</v>
      </c>
      <c r="D927" s="135">
        <f t="shared" si="203"/>
        <v>0</v>
      </c>
      <c r="E927" s="135"/>
      <c r="F927" s="237">
        <v>0.8</v>
      </c>
      <c r="G927" s="237"/>
      <c r="H927" s="139">
        <f>ROUND($F927*C927,0)</f>
        <v>0</v>
      </c>
      <c r="I927" s="139">
        <f>ROUND($F927*D927,0)</f>
        <v>0</v>
      </c>
      <c r="J927" s="135"/>
      <c r="K927" s="138">
        <v>0.64</v>
      </c>
      <c r="L927" s="237"/>
      <c r="M927" s="139">
        <f>ROUND($K927*D927,0)</f>
        <v>0</v>
      </c>
    </row>
    <row r="928" spans="1:13">
      <c r="A928" s="136" t="s">
        <v>308</v>
      </c>
      <c r="B928" s="220"/>
      <c r="C928" s="135"/>
      <c r="D928" s="135"/>
      <c r="E928" s="135"/>
      <c r="F928" s="238"/>
      <c r="G928" s="238"/>
      <c r="H928" s="139"/>
      <c r="I928" s="139"/>
      <c r="J928" s="135"/>
      <c r="K928" s="238"/>
      <c r="L928" s="238"/>
      <c r="M928" s="139"/>
    </row>
    <row r="929" spans="1:13">
      <c r="A929" s="136" t="s">
        <v>306</v>
      </c>
      <c r="B929" s="220"/>
      <c r="C929" s="135">
        <f>C995+C1061</f>
        <v>0</v>
      </c>
      <c r="D929" s="135">
        <f t="shared" ref="D929:D930" si="204">D995+D1061</f>
        <v>0</v>
      </c>
      <c r="E929" s="135"/>
      <c r="F929" s="238">
        <v>0.45</v>
      </c>
      <c r="G929" s="238"/>
      <c r="H929" s="139">
        <f>ROUND($F929*C929,0)</f>
        <v>0</v>
      </c>
      <c r="I929" s="139">
        <f>ROUND($F929*D929,0)</f>
        <v>0</v>
      </c>
      <c r="J929" s="135"/>
      <c r="K929" s="138">
        <v>0.36</v>
      </c>
      <c r="L929" s="238"/>
      <c r="M929" s="139">
        <f>ROUND($K929*D929,0)</f>
        <v>0</v>
      </c>
    </row>
    <row r="930" spans="1:13">
      <c r="A930" s="136" t="s">
        <v>307</v>
      </c>
      <c r="B930" s="220"/>
      <c r="C930" s="135">
        <f>C996+C1062</f>
        <v>0</v>
      </c>
      <c r="D930" s="135">
        <f t="shared" si="204"/>
        <v>0</v>
      </c>
      <c r="E930" s="135"/>
      <c r="F930" s="238">
        <v>0.4</v>
      </c>
      <c r="G930" s="238"/>
      <c r="H930" s="139">
        <f>ROUND($F930*C930,0)</f>
        <v>0</v>
      </c>
      <c r="I930" s="139">
        <f>ROUND($F930*D930,0)</f>
        <v>0</v>
      </c>
      <c r="J930" s="135"/>
      <c r="K930" s="138">
        <v>0.32</v>
      </c>
      <c r="L930" s="238"/>
      <c r="M930" s="139">
        <f>ROUND($K930*D930,0)</f>
        <v>0</v>
      </c>
    </row>
    <row r="931" spans="1:13">
      <c r="A931" s="136" t="s">
        <v>309</v>
      </c>
      <c r="B931" s="220"/>
      <c r="C931" s="135"/>
      <c r="D931" s="135"/>
      <c r="E931" s="135"/>
      <c r="F931" s="138"/>
      <c r="G931" s="138"/>
      <c r="H931" s="139"/>
      <c r="I931" s="139"/>
      <c r="J931" s="135"/>
      <c r="K931" s="138"/>
      <c r="L931" s="138"/>
      <c r="M931" s="139"/>
    </row>
    <row r="932" spans="1:13">
      <c r="A932" s="136" t="s">
        <v>306</v>
      </c>
      <c r="B932" s="220"/>
      <c r="C932" s="135">
        <f>C998+C1064</f>
        <v>0</v>
      </c>
      <c r="D932" s="135">
        <f t="shared" ref="D932:D933" si="205">D998+D1064</f>
        <v>0</v>
      </c>
      <c r="E932" s="135"/>
      <c r="F932" s="138">
        <v>41.89</v>
      </c>
      <c r="G932" s="138"/>
      <c r="H932" s="139">
        <f>ROUND($F932*C932,0)</f>
        <v>0</v>
      </c>
      <c r="I932" s="139">
        <f>ROUND($F932*D932,0)</f>
        <v>0</v>
      </c>
      <c r="J932" s="135"/>
      <c r="K932" s="138">
        <v>42.26</v>
      </c>
      <c r="L932" s="138"/>
      <c r="M932" s="139">
        <f>ROUND($K932*D932,0)</f>
        <v>0</v>
      </c>
    </row>
    <row r="933" spans="1:13">
      <c r="A933" s="136" t="s">
        <v>307</v>
      </c>
      <c r="B933" s="220"/>
      <c r="C933" s="135">
        <f>C999+C1065</f>
        <v>0</v>
      </c>
      <c r="D933" s="135">
        <f t="shared" si="205"/>
        <v>0</v>
      </c>
      <c r="E933" s="135"/>
      <c r="F933" s="138">
        <v>37.07</v>
      </c>
      <c r="G933" s="138"/>
      <c r="H933" s="139">
        <f>ROUND($F933*C933,0)</f>
        <v>0</v>
      </c>
      <c r="I933" s="139">
        <f>ROUND($F933*D933,0)</f>
        <v>0</v>
      </c>
      <c r="J933" s="135"/>
      <c r="K933" s="138">
        <v>38.54</v>
      </c>
      <c r="L933" s="138"/>
      <c r="M933" s="139">
        <f>ROUND($K933*D933,0)</f>
        <v>0</v>
      </c>
    </row>
    <row r="934" spans="1:13">
      <c r="A934" s="235" t="s">
        <v>310</v>
      </c>
      <c r="C934" s="135"/>
      <c r="D934" s="135"/>
      <c r="E934" s="135"/>
      <c r="J934" s="135"/>
    </row>
    <row r="935" spans="1:13">
      <c r="A935" s="136" t="s">
        <v>301</v>
      </c>
      <c r="C935" s="135">
        <f>C1001+C1067</f>
        <v>24</v>
      </c>
      <c r="D935" s="135">
        <f t="shared" ref="D935:D937" si="206">D1001+D1067</f>
        <v>24</v>
      </c>
      <c r="E935" s="135"/>
      <c r="F935" s="138">
        <v>621</v>
      </c>
      <c r="G935" s="138"/>
      <c r="H935" s="139">
        <f t="shared" ref="H935:I937" si="207">ROUND($F935*C935,0)</f>
        <v>14904</v>
      </c>
      <c r="I935" s="139">
        <f t="shared" si="207"/>
        <v>14904</v>
      </c>
      <c r="J935" s="135"/>
      <c r="K935" s="138">
        <v>623</v>
      </c>
      <c r="L935" s="138"/>
      <c r="M935" s="139">
        <f>ROUND($K935*D935,0)</f>
        <v>14952</v>
      </c>
    </row>
    <row r="936" spans="1:13">
      <c r="A936" s="136" t="s">
        <v>109</v>
      </c>
      <c r="C936" s="135">
        <f>C1002+C1068</f>
        <v>0</v>
      </c>
      <c r="D936" s="135">
        <f t="shared" si="206"/>
        <v>16.682237186555263</v>
      </c>
      <c r="E936" s="135"/>
      <c r="F936" s="138">
        <v>-0.5</v>
      </c>
      <c r="G936" s="138"/>
      <c r="H936" s="139">
        <f t="shared" si="207"/>
        <v>0</v>
      </c>
      <c r="I936" s="139">
        <f t="shared" si="207"/>
        <v>-8</v>
      </c>
      <c r="J936" s="135"/>
      <c r="K936" s="138">
        <v>-0.5</v>
      </c>
      <c r="L936" s="138"/>
      <c r="M936" s="139">
        <f>ROUND($K936*D936,0)</f>
        <v>-8</v>
      </c>
    </row>
    <row r="937" spans="1:13">
      <c r="A937" s="136" t="s">
        <v>303</v>
      </c>
      <c r="C937" s="135">
        <f>C1003+C1069</f>
        <v>36600</v>
      </c>
      <c r="D937" s="135">
        <f t="shared" si="206"/>
        <v>52401</v>
      </c>
      <c r="E937" s="135"/>
      <c r="F937" s="138">
        <v>4.58</v>
      </c>
      <c r="G937" s="138"/>
      <c r="H937" s="139">
        <f t="shared" si="207"/>
        <v>167628</v>
      </c>
      <c r="I937" s="139">
        <f t="shared" si="207"/>
        <v>239997</v>
      </c>
      <c r="J937" s="135"/>
      <c r="K937" s="138">
        <v>4.71</v>
      </c>
      <c r="L937" s="138"/>
      <c r="M937" s="139">
        <f>ROUND($K937*D937,0)</f>
        <v>246809</v>
      </c>
    </row>
    <row r="938" spans="1:13">
      <c r="A938" s="136" t="s">
        <v>304</v>
      </c>
      <c r="C938" s="135"/>
      <c r="D938" s="135"/>
      <c r="E938" s="135"/>
      <c r="F938" s="138"/>
      <c r="G938" s="138"/>
      <c r="H938" s="139"/>
      <c r="I938" s="139"/>
      <c r="J938" s="135"/>
      <c r="K938" s="138"/>
      <c r="L938" s="138"/>
      <c r="M938" s="139"/>
    </row>
    <row r="939" spans="1:13">
      <c r="A939" s="136" t="s">
        <v>305</v>
      </c>
      <c r="C939" s="135"/>
      <c r="D939" s="135"/>
      <c r="E939" s="135"/>
      <c r="F939" s="237"/>
      <c r="G939" s="237"/>
      <c r="H939" s="139"/>
      <c r="I939" s="139"/>
      <c r="J939" s="135"/>
      <c r="K939" s="237"/>
      <c r="L939" s="237"/>
      <c r="M939" s="139"/>
    </row>
    <row r="940" spans="1:13">
      <c r="A940" s="136" t="s">
        <v>306</v>
      </c>
      <c r="B940" s="220"/>
      <c r="C940" s="135">
        <f>C1006+C1072</f>
        <v>69545</v>
      </c>
      <c r="D940" s="135">
        <f t="shared" ref="D940:D941" si="208">D1006+D1072</f>
        <v>99570</v>
      </c>
      <c r="E940" s="135"/>
      <c r="F940" s="237">
        <v>0.88</v>
      </c>
      <c r="G940" s="237"/>
      <c r="H940" s="139">
        <f>ROUND($F940*C940,0)</f>
        <v>61200</v>
      </c>
      <c r="I940" s="139">
        <f>ROUND($F940*D940,0)</f>
        <v>87622</v>
      </c>
      <c r="J940" s="135"/>
      <c r="K940" s="138">
        <v>0.73</v>
      </c>
      <c r="L940" s="237"/>
      <c r="M940" s="139">
        <f>ROUND($K940*D940,0)</f>
        <v>72686</v>
      </c>
    </row>
    <row r="941" spans="1:13">
      <c r="A941" s="136" t="s">
        <v>307</v>
      </c>
      <c r="B941" s="220"/>
      <c r="C941" s="135">
        <f>C1007+C1073</f>
        <v>76653</v>
      </c>
      <c r="D941" s="135">
        <f t="shared" si="208"/>
        <v>109747</v>
      </c>
      <c r="E941" s="135"/>
      <c r="F941" s="237">
        <v>0.78</v>
      </c>
      <c r="G941" s="237"/>
      <c r="H941" s="139">
        <f>ROUND($F941*C941,0)</f>
        <v>59789</v>
      </c>
      <c r="I941" s="139">
        <f>ROUND($F941*D941,0)</f>
        <v>85603</v>
      </c>
      <c r="J941" s="135"/>
      <c r="K941" s="138">
        <v>0.64</v>
      </c>
      <c r="L941" s="237"/>
      <c r="M941" s="139">
        <f>ROUND($K941*D941,0)</f>
        <v>70238</v>
      </c>
    </row>
    <row r="942" spans="1:13">
      <c r="A942" s="136" t="s">
        <v>308</v>
      </c>
      <c r="C942" s="135"/>
      <c r="D942" s="135"/>
      <c r="E942" s="135"/>
      <c r="F942" s="238"/>
      <c r="G942" s="238"/>
      <c r="H942" s="139"/>
      <c r="I942" s="139"/>
      <c r="J942" s="135"/>
      <c r="K942" s="238"/>
      <c r="L942" s="238"/>
      <c r="M942" s="139"/>
    </row>
    <row r="943" spans="1:13">
      <c r="A943" s="136" t="s">
        <v>306</v>
      </c>
      <c r="B943" s="220"/>
      <c r="C943" s="135">
        <f>C1009+C1075</f>
        <v>0</v>
      </c>
      <c r="D943" s="135">
        <f t="shared" ref="D943:D944" si="209">D1009+D1075</f>
        <v>0</v>
      </c>
      <c r="E943" s="135"/>
      <c r="F943" s="238">
        <v>0.44</v>
      </c>
      <c r="G943" s="238"/>
      <c r="H943" s="139">
        <f>ROUND($F943*C943,0)</f>
        <v>0</v>
      </c>
      <c r="I943" s="139">
        <f>ROUND($F943*D943,0)</f>
        <v>0</v>
      </c>
      <c r="J943" s="135"/>
      <c r="K943" s="138">
        <v>0.37</v>
      </c>
      <c r="L943" s="238"/>
      <c r="M943" s="139">
        <f>ROUND($K943*D943,0)</f>
        <v>0</v>
      </c>
    </row>
    <row r="944" spans="1:13">
      <c r="A944" s="136" t="s">
        <v>307</v>
      </c>
      <c r="B944" s="220"/>
      <c r="C944" s="135">
        <f>C1010+C1076</f>
        <v>0</v>
      </c>
      <c r="D944" s="135">
        <f t="shared" si="209"/>
        <v>0</v>
      </c>
      <c r="E944" s="135"/>
      <c r="F944" s="238">
        <v>0.39</v>
      </c>
      <c r="G944" s="238"/>
      <c r="H944" s="139">
        <f>ROUND($F944*C944,0)</f>
        <v>0</v>
      </c>
      <c r="I944" s="139">
        <f>ROUND($F944*D944,0)</f>
        <v>0</v>
      </c>
      <c r="J944" s="135"/>
      <c r="K944" s="138">
        <v>0.32</v>
      </c>
      <c r="L944" s="238"/>
      <c r="M944" s="139">
        <f>ROUND($K944*D944,0)</f>
        <v>0</v>
      </c>
    </row>
    <row r="945" spans="1:13">
      <c r="A945" s="136" t="s">
        <v>309</v>
      </c>
      <c r="C945" s="135"/>
      <c r="D945" s="135"/>
      <c r="E945" s="135"/>
      <c r="F945" s="138"/>
      <c r="G945" s="138"/>
      <c r="H945" s="139"/>
      <c r="I945" s="139"/>
      <c r="J945" s="135"/>
      <c r="K945" s="138"/>
      <c r="L945" s="138"/>
      <c r="M945" s="139"/>
    </row>
    <row r="946" spans="1:13">
      <c r="A946" s="136" t="s">
        <v>306</v>
      </c>
      <c r="B946" s="220"/>
      <c r="C946" s="135">
        <f>C1012+C1078</f>
        <v>218</v>
      </c>
      <c r="D946" s="135">
        <f t="shared" ref="D946:D947" si="210">D1012+D1078</f>
        <v>312</v>
      </c>
      <c r="E946" s="135"/>
      <c r="F946" s="138">
        <v>39.56</v>
      </c>
      <c r="G946" s="138"/>
      <c r="H946" s="139">
        <f>ROUND($F946*C946,0)</f>
        <v>8624</v>
      </c>
      <c r="I946" s="139">
        <f>ROUND($F946*D946,0)</f>
        <v>12343</v>
      </c>
      <c r="J946" s="135"/>
      <c r="K946" s="138">
        <v>40</v>
      </c>
      <c r="L946" s="138"/>
      <c r="M946" s="139">
        <f>ROUND($K946*D946,0)</f>
        <v>12480</v>
      </c>
    </row>
    <row r="947" spans="1:13">
      <c r="A947" s="136" t="s">
        <v>307</v>
      </c>
      <c r="B947" s="220"/>
      <c r="C947" s="135">
        <f>C1013+C1079</f>
        <v>12</v>
      </c>
      <c r="D947" s="135">
        <f t="shared" si="210"/>
        <v>17</v>
      </c>
      <c r="E947" s="135"/>
      <c r="F947" s="138">
        <v>35.01</v>
      </c>
      <c r="G947" s="138"/>
      <c r="H947" s="139">
        <f>ROUND($F947*C947,0)</f>
        <v>420</v>
      </c>
      <c r="I947" s="139">
        <f>ROUND($F947*D947,0)</f>
        <v>595</v>
      </c>
      <c r="J947" s="135"/>
      <c r="K947" s="138">
        <v>36.28</v>
      </c>
      <c r="L947" s="138"/>
      <c r="M947" s="139">
        <f>ROUND($K947*D947,0)</f>
        <v>617</v>
      </c>
    </row>
    <row r="948" spans="1:13">
      <c r="A948" s="235" t="s">
        <v>311</v>
      </c>
      <c r="C948" s="135"/>
      <c r="D948" s="135"/>
      <c r="E948" s="135"/>
      <c r="J948" s="135"/>
    </row>
    <row r="949" spans="1:13">
      <c r="A949" s="136" t="s">
        <v>301</v>
      </c>
      <c r="C949" s="135">
        <f>C1015+C1081</f>
        <v>60</v>
      </c>
      <c r="D949" s="135">
        <f t="shared" ref="D949:D951" si="211">D1015+D1081</f>
        <v>60</v>
      </c>
      <c r="E949" s="135"/>
      <c r="F949" s="138">
        <v>696</v>
      </c>
      <c r="G949" s="138"/>
      <c r="H949" s="139">
        <f t="shared" ref="H949:I951" si="212">ROUND($F949*C949,0)</f>
        <v>41760</v>
      </c>
      <c r="I949" s="139">
        <f t="shared" si="212"/>
        <v>41760</v>
      </c>
      <c r="J949" s="135"/>
      <c r="K949" s="138">
        <v>829</v>
      </c>
      <c r="L949" s="138"/>
      <c r="M949" s="139">
        <f>ROUND($K949*D949,0)</f>
        <v>49740</v>
      </c>
    </row>
    <row r="950" spans="1:13">
      <c r="A950" s="136" t="s">
        <v>109</v>
      </c>
      <c r="C950" s="135">
        <f>C1016+C1082</f>
        <v>60</v>
      </c>
      <c r="D950" s="135">
        <f t="shared" si="211"/>
        <v>41.705592966388153</v>
      </c>
      <c r="E950" s="135"/>
      <c r="F950" s="138">
        <v>-0.5</v>
      </c>
      <c r="G950" s="138"/>
      <c r="H950" s="139">
        <f t="shared" si="212"/>
        <v>-30</v>
      </c>
      <c r="I950" s="139">
        <f t="shared" si="212"/>
        <v>-21</v>
      </c>
      <c r="J950" s="135"/>
      <c r="K950" s="138">
        <v>-0.5</v>
      </c>
      <c r="L950" s="138"/>
      <c r="M950" s="139">
        <f>ROUND($K950*D950,0)</f>
        <v>-21</v>
      </c>
    </row>
    <row r="951" spans="1:13">
      <c r="A951" s="136" t="s">
        <v>303</v>
      </c>
      <c r="C951" s="135">
        <f>C1017+C1083</f>
        <v>294600</v>
      </c>
      <c r="D951" s="135">
        <f t="shared" si="211"/>
        <v>219614</v>
      </c>
      <c r="E951" s="135"/>
      <c r="F951" s="138">
        <v>2.7</v>
      </c>
      <c r="G951" s="138"/>
      <c r="H951" s="139">
        <f t="shared" si="212"/>
        <v>795420</v>
      </c>
      <c r="I951" s="139">
        <f t="shared" si="212"/>
        <v>592958</v>
      </c>
      <c r="J951" s="135"/>
      <c r="K951" s="138">
        <v>2.9</v>
      </c>
      <c r="L951" s="138"/>
      <c r="M951" s="139">
        <f>ROUND($K951*D951,0)</f>
        <v>636881</v>
      </c>
    </row>
    <row r="952" spans="1:13">
      <c r="A952" s="136" t="s">
        <v>304</v>
      </c>
      <c r="C952" s="135"/>
      <c r="D952" s="135"/>
      <c r="E952" s="135"/>
      <c r="F952" s="190"/>
      <c r="G952" s="190"/>
      <c r="H952" s="139"/>
      <c r="I952" s="139"/>
      <c r="J952" s="135"/>
      <c r="K952" s="190"/>
      <c r="L952" s="190"/>
      <c r="M952" s="139"/>
    </row>
    <row r="953" spans="1:13">
      <c r="A953" s="136" t="s">
        <v>305</v>
      </c>
      <c r="C953" s="135"/>
      <c r="D953" s="135"/>
      <c r="E953" s="135"/>
      <c r="F953" s="237"/>
      <c r="G953" s="237"/>
      <c r="H953" s="139"/>
      <c r="I953" s="139"/>
      <c r="J953" s="135"/>
      <c r="K953" s="237"/>
      <c r="L953" s="237"/>
      <c r="M953" s="139"/>
    </row>
    <row r="954" spans="1:13">
      <c r="A954" s="136" t="s">
        <v>306</v>
      </c>
      <c r="B954" s="220"/>
      <c r="C954" s="135">
        <f>C1020+C1086</f>
        <v>1143915</v>
      </c>
      <c r="D954" s="135">
        <f t="shared" ref="D954:D955" si="213">D1020+D1086</f>
        <v>641525</v>
      </c>
      <c r="E954" s="135"/>
      <c r="F954" s="237">
        <v>0.78</v>
      </c>
      <c r="G954" s="237"/>
      <c r="H954" s="139">
        <f>ROUND($F954*C954,0)</f>
        <v>892254</v>
      </c>
      <c r="I954" s="139">
        <f>ROUND($F954*D954,0)</f>
        <v>500390</v>
      </c>
      <c r="J954" s="135"/>
      <c r="K954" s="138">
        <v>0.68</v>
      </c>
      <c r="L954" s="237"/>
      <c r="M954" s="139">
        <f>ROUND($K954*D954,0)</f>
        <v>436237</v>
      </c>
    </row>
    <row r="955" spans="1:13">
      <c r="A955" s="136" t="s">
        <v>307</v>
      </c>
      <c r="B955" s="220"/>
      <c r="C955" s="135">
        <f>C1021+C1087</f>
        <v>1623127</v>
      </c>
      <c r="D955" s="135">
        <f t="shared" si="213"/>
        <v>979536</v>
      </c>
      <c r="E955" s="135"/>
      <c r="F955" s="237">
        <v>0.69</v>
      </c>
      <c r="G955" s="237"/>
      <c r="H955" s="139">
        <f>ROUND($F955*C955,0)</f>
        <v>1119958</v>
      </c>
      <c r="I955" s="139">
        <f>ROUND($F955*D955,0)</f>
        <v>675880</v>
      </c>
      <c r="J955" s="135"/>
      <c r="K955" s="138">
        <v>0.6</v>
      </c>
      <c r="L955" s="237"/>
      <c r="M955" s="139">
        <f>ROUND($K955*D955,0)</f>
        <v>587722</v>
      </c>
    </row>
    <row r="956" spans="1:13">
      <c r="A956" s="136" t="s">
        <v>308</v>
      </c>
      <c r="C956" s="135"/>
      <c r="D956" s="135"/>
      <c r="E956" s="135"/>
      <c r="F956" s="238"/>
      <c r="G956" s="238"/>
      <c r="H956" s="139"/>
      <c r="I956" s="139"/>
      <c r="J956" s="135"/>
      <c r="K956" s="238"/>
      <c r="L956" s="238"/>
      <c r="M956" s="139"/>
    </row>
    <row r="957" spans="1:13">
      <c r="A957" s="136" t="s">
        <v>306</v>
      </c>
      <c r="B957" s="220"/>
      <c r="C957" s="135">
        <f>C1023+C1089</f>
        <v>9400</v>
      </c>
      <c r="D957" s="135">
        <f t="shared" ref="D957:D958" si="214">D1023+D1089</f>
        <v>13458</v>
      </c>
      <c r="E957" s="135"/>
      <c r="F957" s="238">
        <v>0.39</v>
      </c>
      <c r="G957" s="238"/>
      <c r="H957" s="139">
        <f>ROUND($F957*C957,0)</f>
        <v>3666</v>
      </c>
      <c r="I957" s="139">
        <f>ROUND($F957*D957,0)</f>
        <v>5249</v>
      </c>
      <c r="J957" s="135"/>
      <c r="K957" s="138">
        <v>0.34</v>
      </c>
      <c r="L957" s="238"/>
      <c r="M957" s="139">
        <f>ROUND($K957*D957,0)</f>
        <v>4576</v>
      </c>
    </row>
    <row r="958" spans="1:13">
      <c r="A958" s="136" t="s">
        <v>307</v>
      </c>
      <c r="B958" s="220"/>
      <c r="C958" s="135">
        <f>C1024+C1090</f>
        <v>0</v>
      </c>
      <c r="D958" s="135">
        <f t="shared" si="214"/>
        <v>0</v>
      </c>
      <c r="E958" s="135"/>
      <c r="F958" s="238">
        <v>0.34499999999999997</v>
      </c>
      <c r="G958" s="238"/>
      <c r="H958" s="139">
        <f>ROUND($F958*C958,0)</f>
        <v>0</v>
      </c>
      <c r="I958" s="139">
        <f>ROUND($F958*D958,0)</f>
        <v>0</v>
      </c>
      <c r="J958" s="135"/>
      <c r="K958" s="138">
        <v>0.3</v>
      </c>
      <c r="L958" s="238"/>
      <c r="M958" s="139">
        <f>ROUND($K958*D958,0)</f>
        <v>0</v>
      </c>
    </row>
    <row r="959" spans="1:13">
      <c r="A959" s="136" t="s">
        <v>309</v>
      </c>
      <c r="C959" s="135"/>
      <c r="D959" s="135"/>
      <c r="E959" s="135"/>
      <c r="F959" s="138"/>
      <c r="G959" s="138"/>
      <c r="H959" s="139"/>
      <c r="I959" s="139"/>
      <c r="J959" s="135"/>
      <c r="K959" s="138"/>
      <c r="L959" s="138"/>
      <c r="M959" s="139"/>
    </row>
    <row r="960" spans="1:13">
      <c r="A960" s="136" t="s">
        <v>306</v>
      </c>
      <c r="B960" s="220"/>
      <c r="C960" s="135">
        <f>C1026+C1092</f>
        <v>20</v>
      </c>
      <c r="D960" s="135">
        <f t="shared" ref="D960:D961" si="215">D1026+D1092</f>
        <v>10</v>
      </c>
      <c r="E960" s="135"/>
      <c r="F960" s="138">
        <v>33.21</v>
      </c>
      <c r="G960" s="138"/>
      <c r="H960" s="139">
        <f>ROUND($F960*C960,0)</f>
        <v>664</v>
      </c>
      <c r="I960" s="139">
        <f>ROUND($F960*D960,0)</f>
        <v>332</v>
      </c>
      <c r="J960" s="135"/>
      <c r="K960" s="138">
        <v>34.479999999999997</v>
      </c>
      <c r="L960" s="138"/>
      <c r="M960" s="139">
        <f>ROUND($K960*D960,0)</f>
        <v>345</v>
      </c>
    </row>
    <row r="961" spans="1:13">
      <c r="A961" s="136" t="s">
        <v>307</v>
      </c>
      <c r="B961" s="220"/>
      <c r="C961" s="135">
        <f>C1027+C1093</f>
        <v>48</v>
      </c>
      <c r="D961" s="135">
        <f t="shared" si="215"/>
        <v>25</v>
      </c>
      <c r="E961" s="135"/>
      <c r="F961" s="138">
        <v>29.39</v>
      </c>
      <c r="G961" s="138"/>
      <c r="H961" s="139">
        <f>ROUND($F961*C961,0)</f>
        <v>1411</v>
      </c>
      <c r="I961" s="139">
        <f>ROUND($F961*D961,0)</f>
        <v>735</v>
      </c>
      <c r="J961" s="135"/>
      <c r="K961" s="138">
        <v>31.06</v>
      </c>
      <c r="L961" s="138"/>
      <c r="M961" s="139">
        <f>ROUND($K961*D961,0)</f>
        <v>777</v>
      </c>
    </row>
    <row r="962" spans="1:13">
      <c r="A962" s="136" t="s">
        <v>312</v>
      </c>
      <c r="C962" s="230"/>
      <c r="D962" s="230"/>
      <c r="E962" s="137"/>
      <c r="F962" s="193"/>
      <c r="G962" s="193"/>
      <c r="H962" s="228">
        <f>SUM(H921:H961)</f>
        <v>3167668</v>
      </c>
      <c r="I962" s="228">
        <f>SUM(I921:I961)</f>
        <v>2258339</v>
      </c>
      <c r="J962" s="137"/>
      <c r="K962" s="193"/>
      <c r="L962" s="193"/>
      <c r="M962" s="228">
        <f>SUM(M921:M961)</f>
        <v>2134031</v>
      </c>
    </row>
    <row r="963" spans="1:13">
      <c r="A963" s="235" t="s">
        <v>313</v>
      </c>
    </row>
    <row r="964" spans="1:13">
      <c r="A964" s="133" t="s">
        <v>314</v>
      </c>
      <c r="C964" s="135"/>
      <c r="D964" s="135"/>
      <c r="E964" s="135"/>
      <c r="F964" s="190"/>
      <c r="G964" s="190"/>
      <c r="H964" s="139"/>
      <c r="I964" s="139"/>
      <c r="J964" s="135"/>
      <c r="K964" s="190"/>
      <c r="L964" s="190"/>
      <c r="M964" s="139"/>
    </row>
    <row r="965" spans="1:13">
      <c r="A965" s="136" t="s">
        <v>144</v>
      </c>
      <c r="C965" s="135">
        <f t="shared" ref="C965:D972" si="216">C1031+C1097</f>
        <v>30245</v>
      </c>
      <c r="D965" s="135">
        <f t="shared" si="216"/>
        <v>43303</v>
      </c>
      <c r="E965" s="135"/>
      <c r="F965" s="190">
        <v>4.8099999999999996</v>
      </c>
      <c r="G965" s="190"/>
      <c r="H965" s="139">
        <f t="shared" ref="H965:I967" si="217">ROUND($F965*C965,0)</f>
        <v>145478</v>
      </c>
      <c r="I965" s="139">
        <f t="shared" si="217"/>
        <v>208287</v>
      </c>
      <c r="J965" s="135"/>
      <c r="K965" s="138">
        <v>4.95</v>
      </c>
      <c r="L965" s="190"/>
      <c r="M965" s="139">
        <f>ROUND($K965*D965,0)</f>
        <v>214350</v>
      </c>
    </row>
    <row r="966" spans="1:13">
      <c r="A966" s="136" t="s">
        <v>180</v>
      </c>
      <c r="C966" s="135">
        <f t="shared" si="216"/>
        <v>4000</v>
      </c>
      <c r="D966" s="135">
        <f t="shared" si="216"/>
        <v>5727</v>
      </c>
      <c r="E966" s="135"/>
      <c r="F966" s="190">
        <v>15.73</v>
      </c>
      <c r="G966" s="190"/>
      <c r="H966" s="139">
        <f t="shared" si="217"/>
        <v>62920</v>
      </c>
      <c r="I966" s="139">
        <f t="shared" si="217"/>
        <v>90086</v>
      </c>
      <c r="J966" s="135"/>
      <c r="K966" s="138">
        <v>16.18</v>
      </c>
      <c r="L966" s="190"/>
      <c r="M966" s="139">
        <f>ROUND($K966*D966,0)</f>
        <v>92663</v>
      </c>
    </row>
    <row r="967" spans="1:13">
      <c r="A967" s="136" t="s">
        <v>181</v>
      </c>
      <c r="C967" s="135">
        <f t="shared" si="216"/>
        <v>21226</v>
      </c>
      <c r="D967" s="135">
        <f t="shared" si="216"/>
        <v>30390</v>
      </c>
      <c r="E967" s="135"/>
      <c r="F967" s="190">
        <v>13.92</v>
      </c>
      <c r="G967" s="190"/>
      <c r="H967" s="139">
        <f t="shared" si="217"/>
        <v>295466</v>
      </c>
      <c r="I967" s="139">
        <f t="shared" si="217"/>
        <v>423029</v>
      </c>
      <c r="J967" s="135"/>
      <c r="K967" s="138">
        <v>14.32</v>
      </c>
      <c r="L967" s="190"/>
      <c r="M967" s="139">
        <f>ROUND($K967*D967,0)</f>
        <v>435185</v>
      </c>
    </row>
    <row r="968" spans="1:13">
      <c r="A968" s="136" t="s">
        <v>111</v>
      </c>
      <c r="C968" s="135">
        <f t="shared" si="216"/>
        <v>976800</v>
      </c>
      <c r="D968" s="135">
        <f t="shared" si="216"/>
        <v>1409179</v>
      </c>
      <c r="E968" s="135"/>
      <c r="F968" s="193">
        <v>5.8281999999999998</v>
      </c>
      <c r="G968" s="163" t="s">
        <v>112</v>
      </c>
      <c r="H968" s="139">
        <f t="shared" ref="H968:I971" si="218">ROUND($F968*C968/100,0)</f>
        <v>56930</v>
      </c>
      <c r="I968" s="139">
        <f t="shared" si="218"/>
        <v>82130</v>
      </c>
      <c r="J968" s="135"/>
      <c r="K968" s="204">
        <v>5.9962999999999997</v>
      </c>
      <c r="L968" s="163" t="s">
        <v>112</v>
      </c>
      <c r="M968" s="139">
        <f>ROUND($K968*D968/100,0)</f>
        <v>84499</v>
      </c>
    </row>
    <row r="969" spans="1:13">
      <c r="A969" s="136" t="s">
        <v>114</v>
      </c>
      <c r="C969" s="135">
        <f t="shared" si="216"/>
        <v>3976800</v>
      </c>
      <c r="D969" s="135">
        <f t="shared" si="216"/>
        <v>5737125</v>
      </c>
      <c r="E969" s="135"/>
      <c r="F969" s="193">
        <v>2.9624000000000001</v>
      </c>
      <c r="G969" s="163" t="s">
        <v>112</v>
      </c>
      <c r="H969" s="139">
        <f t="shared" si="218"/>
        <v>117809</v>
      </c>
      <c r="I969" s="139">
        <f t="shared" si="218"/>
        <v>169957</v>
      </c>
      <c r="J969" s="135"/>
      <c r="K969" s="204">
        <v>3.0478000000000001</v>
      </c>
      <c r="L969" s="163" t="s">
        <v>112</v>
      </c>
      <c r="M969" s="139">
        <f>ROUND($K969*D969/100,0)</f>
        <v>174856</v>
      </c>
    </row>
    <row r="970" spans="1:13">
      <c r="A970" s="136" t="s">
        <v>183</v>
      </c>
      <c r="C970" s="135">
        <f t="shared" si="216"/>
        <v>2678400</v>
      </c>
      <c r="D970" s="135">
        <f t="shared" si="216"/>
        <v>3863990</v>
      </c>
      <c r="E970" s="135"/>
      <c r="F970" s="193">
        <v>5.1577000000000002</v>
      </c>
      <c r="G970" s="163" t="s">
        <v>112</v>
      </c>
      <c r="H970" s="139">
        <f t="shared" si="218"/>
        <v>138144</v>
      </c>
      <c r="I970" s="139">
        <f t="shared" si="218"/>
        <v>199293</v>
      </c>
      <c r="J970" s="135"/>
      <c r="K970" s="204">
        <v>5.3064</v>
      </c>
      <c r="L970" s="163" t="s">
        <v>112</v>
      </c>
      <c r="M970" s="139">
        <f>ROUND($K970*D970/100,0)</f>
        <v>205039</v>
      </c>
    </row>
    <row r="971" spans="1:13">
      <c r="A971" s="136" t="s">
        <v>185</v>
      </c>
      <c r="C971" s="135">
        <f t="shared" si="216"/>
        <v>10783200</v>
      </c>
      <c r="D971" s="135">
        <f t="shared" si="216"/>
        <v>15556369</v>
      </c>
      <c r="E971" s="135"/>
      <c r="F971" s="193">
        <v>2.6215999999999999</v>
      </c>
      <c r="G971" s="163" t="s">
        <v>112</v>
      </c>
      <c r="H971" s="139">
        <f t="shared" si="218"/>
        <v>282692</v>
      </c>
      <c r="I971" s="139">
        <f t="shared" si="218"/>
        <v>407826</v>
      </c>
      <c r="J971" s="135"/>
      <c r="K971" s="204">
        <v>2.6972</v>
      </c>
      <c r="L971" s="163" t="s">
        <v>112</v>
      </c>
      <c r="M971" s="139">
        <f>ROUND($K971*D971/100,0)</f>
        <v>419586</v>
      </c>
    </row>
    <row r="972" spans="1:13">
      <c r="A972" s="136" t="s">
        <v>150</v>
      </c>
      <c r="C972" s="135">
        <f t="shared" si="216"/>
        <v>25226</v>
      </c>
      <c r="D972" s="135">
        <f t="shared" si="216"/>
        <v>36117</v>
      </c>
      <c r="E972" s="135"/>
      <c r="F972" s="190">
        <v>-1.1299999999999999</v>
      </c>
      <c r="G972" s="190"/>
      <c r="H972" s="139">
        <f>ROUND($F972*C972,0)</f>
        <v>-28505</v>
      </c>
      <c r="I972" s="139">
        <f>ROUND($F972*D972,0)</f>
        <v>-40812</v>
      </c>
      <c r="J972" s="135"/>
      <c r="K972" s="138">
        <v>-1.1299999999999999</v>
      </c>
      <c r="L972" s="190"/>
      <c r="M972" s="139">
        <f>ROUND($K972*D972,0)</f>
        <v>-40812</v>
      </c>
    </row>
    <row r="973" spans="1:13">
      <c r="A973" s="133" t="s">
        <v>315</v>
      </c>
      <c r="C973" s="135"/>
      <c r="D973" s="135"/>
      <c r="E973" s="135"/>
      <c r="F973" s="190"/>
      <c r="G973" s="190"/>
      <c r="H973" s="139"/>
      <c r="I973" s="139"/>
      <c r="J973" s="135"/>
      <c r="K973" s="190"/>
      <c r="L973" s="190"/>
      <c r="M973" s="139"/>
    </row>
    <row r="974" spans="1:13">
      <c r="A974" s="136" t="s">
        <v>144</v>
      </c>
      <c r="C974" s="135">
        <f t="shared" ref="C974:D982" si="219">C1040+C1106</f>
        <v>344498</v>
      </c>
      <c r="D974" s="135">
        <f t="shared" si="219"/>
        <v>411595</v>
      </c>
      <c r="E974" s="135"/>
      <c r="F974" s="190">
        <v>2.2799999999999998</v>
      </c>
      <c r="G974" s="190"/>
      <c r="H974" s="139">
        <f t="shared" ref="H974:I976" si="220">ROUND($F974*C974,0)</f>
        <v>785455</v>
      </c>
      <c r="I974" s="139">
        <f t="shared" si="220"/>
        <v>938437</v>
      </c>
      <c r="J974" s="135"/>
      <c r="K974" s="190">
        <v>2.37</v>
      </c>
      <c r="L974" s="190"/>
      <c r="M974" s="139">
        <f>ROUND($K974*D974,0)</f>
        <v>975480</v>
      </c>
    </row>
    <row r="975" spans="1:13">
      <c r="A975" s="136" t="s">
        <v>180</v>
      </c>
      <c r="C975" s="135">
        <f t="shared" si="219"/>
        <v>109941</v>
      </c>
      <c r="D975" s="135">
        <f t="shared" si="219"/>
        <v>132547</v>
      </c>
      <c r="E975" s="135"/>
      <c r="F975" s="190">
        <v>14.33</v>
      </c>
      <c r="G975" s="190"/>
      <c r="H975" s="139">
        <f t="shared" si="220"/>
        <v>1575455</v>
      </c>
      <c r="I975" s="139">
        <f t="shared" si="220"/>
        <v>1899399</v>
      </c>
      <c r="J975" s="135"/>
      <c r="K975" s="190">
        <v>14.87</v>
      </c>
      <c r="L975" s="190"/>
      <c r="M975" s="139">
        <f>ROUND($K975*D975,0)</f>
        <v>1970974</v>
      </c>
    </row>
    <row r="976" spans="1:13">
      <c r="A976" s="136" t="s">
        <v>181</v>
      </c>
      <c r="C976" s="135">
        <f t="shared" si="219"/>
        <v>223967</v>
      </c>
      <c r="D976" s="135">
        <f t="shared" si="219"/>
        <v>264522</v>
      </c>
      <c r="E976" s="135"/>
      <c r="F976" s="190">
        <v>12.68</v>
      </c>
      <c r="G976" s="190"/>
      <c r="H976" s="139">
        <f t="shared" si="220"/>
        <v>2839902</v>
      </c>
      <c r="I976" s="139">
        <f t="shared" si="220"/>
        <v>3354139</v>
      </c>
      <c r="J976" s="135"/>
      <c r="K976" s="190">
        <v>13.16</v>
      </c>
      <c r="L976" s="190"/>
      <c r="M976" s="139">
        <f>ROUND($K976*D976,0)</f>
        <v>3481110</v>
      </c>
    </row>
    <row r="977" spans="1:13">
      <c r="A977" s="136" t="s">
        <v>111</v>
      </c>
      <c r="C977" s="135">
        <f t="shared" si="219"/>
        <v>20955522</v>
      </c>
      <c r="D977" s="135">
        <f t="shared" si="219"/>
        <v>21260017</v>
      </c>
      <c r="E977" s="135"/>
      <c r="F977" s="198">
        <v>5.1477000000000004</v>
      </c>
      <c r="G977" s="163" t="s">
        <v>112</v>
      </c>
      <c r="H977" s="139">
        <f t="shared" ref="H977:I980" si="221">ROUND($F977*C977/100,0)</f>
        <v>1078727</v>
      </c>
      <c r="I977" s="139">
        <f t="shared" si="221"/>
        <v>1094402</v>
      </c>
      <c r="J977" s="135"/>
      <c r="K977" s="198">
        <v>5.3414000000000001</v>
      </c>
      <c r="L977" s="163" t="s">
        <v>112</v>
      </c>
      <c r="M977" s="139">
        <f>ROUND($K977*D977/100,0)</f>
        <v>1135583</v>
      </c>
    </row>
    <row r="978" spans="1:13">
      <c r="A978" s="136" t="s">
        <v>114</v>
      </c>
      <c r="C978" s="135">
        <f t="shared" si="219"/>
        <v>80102179</v>
      </c>
      <c r="D978" s="135">
        <f t="shared" si="219"/>
        <v>81766769</v>
      </c>
      <c r="E978" s="135"/>
      <c r="F978" s="198">
        <v>2.6164999999999998</v>
      </c>
      <c r="G978" s="163" t="s">
        <v>112</v>
      </c>
      <c r="H978" s="139">
        <f t="shared" si="221"/>
        <v>2095874</v>
      </c>
      <c r="I978" s="139">
        <f t="shared" si="221"/>
        <v>2139428</v>
      </c>
      <c r="J978" s="135"/>
      <c r="K978" s="198">
        <v>2.7149000000000001</v>
      </c>
      <c r="L978" s="163" t="s">
        <v>112</v>
      </c>
      <c r="M978" s="139">
        <f>ROUND($K978*D978/100,0)</f>
        <v>2219886</v>
      </c>
    </row>
    <row r="979" spans="1:13">
      <c r="A979" s="136" t="s">
        <v>183</v>
      </c>
      <c r="C979" s="135">
        <f t="shared" si="219"/>
        <v>36942649</v>
      </c>
      <c r="D979" s="135">
        <f t="shared" si="219"/>
        <v>39248473</v>
      </c>
      <c r="E979" s="135"/>
      <c r="F979" s="198">
        <v>4.5555000000000003</v>
      </c>
      <c r="G979" s="163" t="s">
        <v>112</v>
      </c>
      <c r="H979" s="139">
        <f t="shared" si="221"/>
        <v>1682922</v>
      </c>
      <c r="I979" s="139">
        <f t="shared" si="221"/>
        <v>1787964</v>
      </c>
      <c r="J979" s="135"/>
      <c r="K979" s="198">
        <v>4.7268999999999997</v>
      </c>
      <c r="L979" s="163" t="s">
        <v>112</v>
      </c>
      <c r="M979" s="139">
        <f>ROUND($K979*D979/100,0)</f>
        <v>1855236</v>
      </c>
    </row>
    <row r="980" spans="1:13">
      <c r="A980" s="136" t="s">
        <v>185</v>
      </c>
      <c r="C980" s="214">
        <f t="shared" si="219"/>
        <v>140816628</v>
      </c>
      <c r="D980" s="214">
        <f t="shared" si="219"/>
        <v>150486461</v>
      </c>
      <c r="E980" s="214"/>
      <c r="F980" s="239">
        <v>2.3155000000000001</v>
      </c>
      <c r="G980" s="163" t="s">
        <v>112</v>
      </c>
      <c r="H980" s="217">
        <f t="shared" si="221"/>
        <v>3260609</v>
      </c>
      <c r="I980" s="217">
        <f t="shared" si="221"/>
        <v>3484514</v>
      </c>
      <c r="J980" s="214"/>
      <c r="K980" s="198">
        <v>2.4026000000000001</v>
      </c>
      <c r="L980" s="163" t="s">
        <v>112</v>
      </c>
      <c r="M980" s="217">
        <f>ROUND($K980*D980/100,0)</f>
        <v>3615588</v>
      </c>
    </row>
    <row r="981" spans="1:13">
      <c r="A981" s="136" t="s">
        <v>312</v>
      </c>
      <c r="C981" s="135"/>
      <c r="D981" s="135"/>
      <c r="E981" s="135"/>
      <c r="F981" s="198"/>
      <c r="G981" s="163"/>
      <c r="H981" s="139">
        <f>SUM(H965:H980)</f>
        <v>14389878</v>
      </c>
      <c r="I981" s="139">
        <f>SUM(I965:I980)</f>
        <v>16238079</v>
      </c>
      <c r="J981" s="135"/>
      <c r="K981" s="198"/>
      <c r="L981" s="163"/>
      <c r="M981" s="139">
        <f>SUM(M965:M980)</f>
        <v>16839223</v>
      </c>
    </row>
    <row r="982" spans="1:13">
      <c r="A982" s="172" t="s">
        <v>125</v>
      </c>
      <c r="B982" s="173"/>
      <c r="C982" s="135">
        <f t="shared" si="219"/>
        <v>1389262</v>
      </c>
      <c r="D982" s="135"/>
      <c r="E982" s="135"/>
      <c r="F982" s="174"/>
      <c r="G982" s="13"/>
      <c r="H982" s="139">
        <f t="shared" ref="H982" si="222">H1048+H1114</f>
        <v>93986</v>
      </c>
      <c r="I982" s="139"/>
      <c r="J982" s="135"/>
      <c r="K982" s="174"/>
      <c r="L982" s="13"/>
      <c r="M982" s="139"/>
    </row>
    <row r="983" spans="1:13" ht="16.5" thickBot="1">
      <c r="A983" s="176" t="s">
        <v>316</v>
      </c>
      <c r="B983" s="177"/>
      <c r="C983" s="178">
        <f>C1049+C1115</f>
        <v>298621440</v>
      </c>
      <c r="D983" s="178">
        <f t="shared" ref="D983" si="223">D1049+D1115</f>
        <v>319328383.47723126</v>
      </c>
      <c r="E983" s="178"/>
      <c r="F983" s="177"/>
      <c r="G983" s="177"/>
      <c r="H983" s="179">
        <f>H962+H981+H982</f>
        <v>17651532</v>
      </c>
      <c r="I983" s="179">
        <f>I962+I981+I982</f>
        <v>18496418</v>
      </c>
      <c r="J983" s="178"/>
      <c r="K983" s="177"/>
      <c r="L983" s="177"/>
      <c r="M983" s="179">
        <f>M962+M981+M982</f>
        <v>18973254</v>
      </c>
    </row>
    <row r="984" spans="1:13" ht="16.5" thickTop="1"/>
    <row r="985" spans="1:13" hidden="1">
      <c r="A985" s="133" t="s">
        <v>490</v>
      </c>
      <c r="C985" s="135"/>
      <c r="D985" s="135"/>
      <c r="E985" s="135"/>
      <c r="F985" s="193"/>
      <c r="G985" s="193"/>
      <c r="J985" s="135"/>
      <c r="K985" s="193"/>
      <c r="L985" s="193"/>
    </row>
    <row r="986" spans="1:13" hidden="1">
      <c r="A986" s="235" t="s">
        <v>300</v>
      </c>
      <c r="C986" s="135"/>
      <c r="D986" s="135"/>
      <c r="E986" s="135"/>
      <c r="J986" s="135"/>
    </row>
    <row r="987" spans="1:13" hidden="1">
      <c r="A987" s="136" t="s">
        <v>301</v>
      </c>
      <c r="B987" s="220"/>
      <c r="C987" s="135">
        <v>0</v>
      </c>
      <c r="D987" s="135">
        <v>0</v>
      </c>
      <c r="E987" s="135"/>
      <c r="F987" s="138">
        <v>137</v>
      </c>
      <c r="G987" s="138"/>
      <c r="H987" s="139">
        <f t="shared" ref="H987:I989" si="224">ROUND($F987*C987,0)</f>
        <v>0</v>
      </c>
      <c r="I987" s="139">
        <f t="shared" si="224"/>
        <v>0</v>
      </c>
      <c r="J987" s="135"/>
      <c r="K987" s="138">
        <v>139</v>
      </c>
      <c r="L987" s="138"/>
      <c r="M987" s="139">
        <f>ROUND($K987*D987,0)</f>
        <v>0</v>
      </c>
    </row>
    <row r="988" spans="1:13" hidden="1">
      <c r="A988" s="136" t="s">
        <v>109</v>
      </c>
      <c r="C988" s="135">
        <v>0</v>
      </c>
      <c r="D988" s="135">
        <v>0</v>
      </c>
      <c r="E988" s="135"/>
      <c r="F988" s="138">
        <v>-0.5</v>
      </c>
      <c r="G988" s="138"/>
      <c r="H988" s="139">
        <f t="shared" si="224"/>
        <v>0</v>
      </c>
      <c r="I988" s="139">
        <f t="shared" si="224"/>
        <v>0</v>
      </c>
      <c r="J988" s="135"/>
      <c r="K988" s="138">
        <v>-0.5</v>
      </c>
      <c r="L988" s="138"/>
      <c r="M988" s="139">
        <f>ROUND($K988*D988,0)</f>
        <v>0</v>
      </c>
    </row>
    <row r="989" spans="1:13" hidden="1">
      <c r="A989" s="136" t="s">
        <v>303</v>
      </c>
      <c r="B989" s="220"/>
      <c r="C989" s="135">
        <v>0</v>
      </c>
      <c r="D989" s="135">
        <f>ROUND($C989*D$1049/$C$1049,0)</f>
        <v>0</v>
      </c>
      <c r="E989" s="135"/>
      <c r="F989" s="138">
        <v>5.75</v>
      </c>
      <c r="G989" s="138"/>
      <c r="H989" s="139">
        <f t="shared" si="224"/>
        <v>0</v>
      </c>
      <c r="I989" s="139">
        <f t="shared" si="224"/>
        <v>0</v>
      </c>
      <c r="J989" s="135"/>
      <c r="K989" s="138">
        <v>5.92</v>
      </c>
      <c r="L989" s="138"/>
      <c r="M989" s="139">
        <f>ROUND($K989*D989,0)</f>
        <v>0</v>
      </c>
    </row>
    <row r="990" spans="1:13" hidden="1">
      <c r="A990" s="136" t="s">
        <v>304</v>
      </c>
      <c r="B990" s="220"/>
      <c r="C990" s="135"/>
      <c r="D990" s="135"/>
      <c r="E990" s="135"/>
      <c r="F990" s="190"/>
      <c r="G990" s="190"/>
      <c r="H990" s="139"/>
      <c r="I990" s="139"/>
      <c r="J990" s="135"/>
      <c r="K990" s="190"/>
      <c r="L990" s="190"/>
      <c r="M990" s="139"/>
    </row>
    <row r="991" spans="1:13" hidden="1">
      <c r="A991" s="136" t="s">
        <v>305</v>
      </c>
      <c r="B991" s="220"/>
      <c r="C991" s="135"/>
      <c r="D991" s="135"/>
      <c r="E991" s="135"/>
      <c r="F991" s="237"/>
      <c r="G991" s="237"/>
      <c r="H991" s="139"/>
      <c r="I991" s="139"/>
      <c r="J991" s="135"/>
      <c r="K991" s="237"/>
      <c r="L991" s="237"/>
      <c r="M991" s="139"/>
    </row>
    <row r="992" spans="1:13" hidden="1">
      <c r="A992" s="136" t="s">
        <v>306</v>
      </c>
      <c r="B992" s="220"/>
      <c r="C992" s="135">
        <v>0</v>
      </c>
      <c r="D992" s="135">
        <f>ROUND($C992*D$1049/$C$1049,0)</f>
        <v>0</v>
      </c>
      <c r="E992" s="135"/>
      <c r="F992" s="237">
        <v>0.9</v>
      </c>
      <c r="G992" s="237"/>
      <c r="H992" s="139">
        <f>ROUND($F992*C992,0)</f>
        <v>0</v>
      </c>
      <c r="I992" s="139">
        <f>ROUND($F992*D992,0)</f>
        <v>0</v>
      </c>
      <c r="J992" s="135"/>
      <c r="K992" s="237">
        <v>0.72</v>
      </c>
      <c r="L992" s="237"/>
      <c r="M992" s="139">
        <f>ROUND($K992*D992,0)</f>
        <v>0</v>
      </c>
    </row>
    <row r="993" spans="1:13" hidden="1">
      <c r="A993" s="136" t="s">
        <v>307</v>
      </c>
      <c r="B993" s="220"/>
      <c r="C993" s="135">
        <v>0</v>
      </c>
      <c r="D993" s="135">
        <f>ROUND($C993*D$1049/$C$1049,0)</f>
        <v>0</v>
      </c>
      <c r="E993" s="135"/>
      <c r="F993" s="237">
        <v>0.8</v>
      </c>
      <c r="G993" s="237"/>
      <c r="H993" s="139">
        <f>ROUND($F993*C993,0)</f>
        <v>0</v>
      </c>
      <c r="I993" s="139">
        <f>ROUND($F993*D993,0)</f>
        <v>0</v>
      </c>
      <c r="J993" s="135"/>
      <c r="K993" s="237">
        <v>0.64</v>
      </c>
      <c r="L993" s="237"/>
      <c r="M993" s="139">
        <f>ROUND($K993*D993,0)</f>
        <v>0</v>
      </c>
    </row>
    <row r="994" spans="1:13" hidden="1">
      <c r="A994" s="136" t="s">
        <v>308</v>
      </c>
      <c r="B994" s="220"/>
      <c r="C994" s="135"/>
      <c r="D994" s="135"/>
      <c r="E994" s="135"/>
      <c r="F994" s="238"/>
      <c r="G994" s="238"/>
      <c r="H994" s="139"/>
      <c r="I994" s="139"/>
      <c r="J994" s="135"/>
      <c r="K994" s="238"/>
      <c r="L994" s="238"/>
      <c r="M994" s="139"/>
    </row>
    <row r="995" spans="1:13" hidden="1">
      <c r="A995" s="136" t="s">
        <v>306</v>
      </c>
      <c r="B995" s="220"/>
      <c r="C995" s="135">
        <v>0</v>
      </c>
      <c r="D995" s="135">
        <f>ROUND($C995*D$1049/$C$1049,0)</f>
        <v>0</v>
      </c>
      <c r="E995" s="135"/>
      <c r="F995" s="237">
        <v>0.45</v>
      </c>
      <c r="G995" s="237"/>
      <c r="H995" s="139">
        <f>ROUND($F995*C995,0)</f>
        <v>0</v>
      </c>
      <c r="I995" s="139">
        <f>ROUND($F995*D995,0)</f>
        <v>0</v>
      </c>
      <c r="J995" s="135"/>
      <c r="K995" s="237">
        <v>0.36</v>
      </c>
      <c r="L995" s="237"/>
      <c r="M995" s="139">
        <f>ROUND($K995*D995,0)</f>
        <v>0</v>
      </c>
    </row>
    <row r="996" spans="1:13" hidden="1">
      <c r="A996" s="136" t="s">
        <v>307</v>
      </c>
      <c r="B996" s="220"/>
      <c r="C996" s="135">
        <v>0</v>
      </c>
      <c r="D996" s="135">
        <f>ROUND($C996*D$1049/$C$1049,0)</f>
        <v>0</v>
      </c>
      <c r="E996" s="135"/>
      <c r="F996" s="237">
        <v>0.4</v>
      </c>
      <c r="G996" s="237"/>
      <c r="H996" s="139">
        <f>ROUND($F996*C996,0)</f>
        <v>0</v>
      </c>
      <c r="I996" s="139">
        <f>ROUND($F996*D996,0)</f>
        <v>0</v>
      </c>
      <c r="J996" s="135"/>
      <c r="K996" s="237">
        <v>0.32</v>
      </c>
      <c r="L996" s="237"/>
      <c r="M996" s="139">
        <f>ROUND($K996*D996,0)</f>
        <v>0</v>
      </c>
    </row>
    <row r="997" spans="1:13" hidden="1">
      <c r="A997" s="136" t="s">
        <v>309</v>
      </c>
      <c r="B997" s="220"/>
      <c r="C997" s="135"/>
      <c r="D997" s="135"/>
      <c r="E997" s="135"/>
      <c r="F997" s="138"/>
      <c r="G997" s="138"/>
      <c r="H997" s="139"/>
      <c r="I997" s="139"/>
      <c r="J997" s="135"/>
      <c r="K997" s="138"/>
      <c r="L997" s="138"/>
      <c r="M997" s="139"/>
    </row>
    <row r="998" spans="1:13" hidden="1">
      <c r="A998" s="136" t="s">
        <v>306</v>
      </c>
      <c r="B998" s="220"/>
      <c r="C998" s="135">
        <v>0</v>
      </c>
      <c r="D998" s="135">
        <f>ROUND($C998*D$1049/$C$1049,0)</f>
        <v>0</v>
      </c>
      <c r="E998" s="135"/>
      <c r="F998" s="237">
        <v>41.89</v>
      </c>
      <c r="G998" s="237"/>
      <c r="H998" s="139">
        <f>ROUND($F998*C998,0)</f>
        <v>0</v>
      </c>
      <c r="I998" s="139">
        <f>ROUND($F998*D998,0)</f>
        <v>0</v>
      </c>
      <c r="J998" s="135"/>
      <c r="K998" s="237">
        <v>42.26</v>
      </c>
      <c r="L998" s="237"/>
      <c r="M998" s="139">
        <f>ROUND($K998*D998,0)</f>
        <v>0</v>
      </c>
    </row>
    <row r="999" spans="1:13" hidden="1">
      <c r="A999" s="136" t="s">
        <v>307</v>
      </c>
      <c r="B999" s="220"/>
      <c r="C999" s="135">
        <v>0</v>
      </c>
      <c r="D999" s="135">
        <f>ROUND($C999*D$1049/$C$1049,0)</f>
        <v>0</v>
      </c>
      <c r="E999" s="135"/>
      <c r="F999" s="237">
        <v>37.07</v>
      </c>
      <c r="G999" s="237"/>
      <c r="H999" s="139">
        <f>ROUND($F999*C999,0)</f>
        <v>0</v>
      </c>
      <c r="I999" s="139">
        <f>ROUND($F999*D999,0)</f>
        <v>0</v>
      </c>
      <c r="J999" s="135"/>
      <c r="K999" s="237">
        <v>38.54</v>
      </c>
      <c r="L999" s="237"/>
      <c r="M999" s="139">
        <f>ROUND($K999*D999,0)</f>
        <v>0</v>
      </c>
    </row>
    <row r="1000" spans="1:13" hidden="1">
      <c r="A1000" s="235" t="s">
        <v>310</v>
      </c>
      <c r="C1000" s="135"/>
      <c r="D1000" s="135"/>
      <c r="E1000" s="135"/>
      <c r="J1000" s="135"/>
    </row>
    <row r="1001" spans="1:13" hidden="1">
      <c r="A1001" s="136" t="s">
        <v>301</v>
      </c>
      <c r="C1001" s="135">
        <v>24</v>
      </c>
      <c r="D1001" s="135">
        <v>24</v>
      </c>
      <c r="E1001" s="135"/>
      <c r="F1001" s="138">
        <v>621</v>
      </c>
      <c r="G1001" s="138"/>
      <c r="H1001" s="139">
        <f t="shared" ref="H1001:I1003" si="225">ROUND($F1001*C1001,0)</f>
        <v>14904</v>
      </c>
      <c r="I1001" s="139">
        <f t="shared" si="225"/>
        <v>14904</v>
      </c>
      <c r="J1001" s="135"/>
      <c r="K1001" s="138">
        <v>623</v>
      </c>
      <c r="L1001" s="138"/>
      <c r="M1001" s="139">
        <f>ROUND($K1001*D1001,0)</f>
        <v>14952</v>
      </c>
    </row>
    <row r="1002" spans="1:13" hidden="1">
      <c r="A1002" s="136" t="s">
        <v>109</v>
      </c>
      <c r="C1002" s="135">
        <v>0</v>
      </c>
      <c r="D1002" s="135">
        <v>16.682237186555263</v>
      </c>
      <c r="E1002" s="135"/>
      <c r="F1002" s="138">
        <v>-0.5</v>
      </c>
      <c r="G1002" s="138"/>
      <c r="H1002" s="139">
        <f t="shared" si="225"/>
        <v>0</v>
      </c>
      <c r="I1002" s="139">
        <f t="shared" si="225"/>
        <v>-8</v>
      </c>
      <c r="J1002" s="135"/>
      <c r="K1002" s="138">
        <v>-0.5</v>
      </c>
      <c r="L1002" s="138"/>
      <c r="M1002" s="139">
        <f>ROUND($K1002*D1002,0)</f>
        <v>-8</v>
      </c>
    </row>
    <row r="1003" spans="1:13" hidden="1">
      <c r="A1003" s="136" t="s">
        <v>303</v>
      </c>
      <c r="C1003" s="135">
        <v>36600</v>
      </c>
      <c r="D1003" s="135">
        <f>ROUND($C1003*D$1049/$C$1049,0)</f>
        <v>52401</v>
      </c>
      <c r="E1003" s="135"/>
      <c r="F1003" s="138">
        <v>4.58</v>
      </c>
      <c r="G1003" s="138"/>
      <c r="H1003" s="139">
        <f t="shared" si="225"/>
        <v>167628</v>
      </c>
      <c r="I1003" s="139">
        <f t="shared" si="225"/>
        <v>239997</v>
      </c>
      <c r="J1003" s="135"/>
      <c r="K1003" s="138">
        <v>4.71</v>
      </c>
      <c r="L1003" s="138"/>
      <c r="M1003" s="139">
        <f>ROUND($K1003*D1003,0)</f>
        <v>246809</v>
      </c>
    </row>
    <row r="1004" spans="1:13" hidden="1">
      <c r="A1004" s="136" t="s">
        <v>304</v>
      </c>
      <c r="C1004" s="135"/>
      <c r="D1004" s="135"/>
      <c r="E1004" s="135"/>
      <c r="F1004" s="138"/>
      <c r="G1004" s="138"/>
      <c r="H1004" s="139"/>
      <c r="I1004" s="139"/>
      <c r="J1004" s="135"/>
      <c r="K1004" s="138"/>
      <c r="L1004" s="138"/>
      <c r="M1004" s="139"/>
    </row>
    <row r="1005" spans="1:13" hidden="1">
      <c r="A1005" s="136" t="s">
        <v>305</v>
      </c>
      <c r="C1005" s="135"/>
      <c r="D1005" s="135"/>
      <c r="E1005" s="135"/>
      <c r="F1005" s="237"/>
      <c r="G1005" s="237"/>
      <c r="H1005" s="139"/>
      <c r="I1005" s="139"/>
      <c r="J1005" s="135"/>
      <c r="K1005" s="237"/>
      <c r="L1005" s="237"/>
      <c r="M1005" s="139"/>
    </row>
    <row r="1006" spans="1:13" hidden="1">
      <c r="A1006" s="136" t="s">
        <v>306</v>
      </c>
      <c r="B1006" s="220"/>
      <c r="C1006" s="135">
        <v>69545</v>
      </c>
      <c r="D1006" s="135">
        <f>ROUND($C1006*D$1049/$C$1049,0)</f>
        <v>99570</v>
      </c>
      <c r="E1006" s="135"/>
      <c r="F1006" s="237">
        <v>0.88</v>
      </c>
      <c r="G1006" s="237"/>
      <c r="H1006" s="139">
        <f>ROUND($F1006*C1006,0)</f>
        <v>61200</v>
      </c>
      <c r="I1006" s="139">
        <f>ROUND($F1006*D1006,0)</f>
        <v>87622</v>
      </c>
      <c r="J1006" s="135"/>
      <c r="K1006" s="237">
        <v>0.73</v>
      </c>
      <c r="L1006" s="237"/>
      <c r="M1006" s="139">
        <f>ROUND($K1006*D1006,0)</f>
        <v>72686</v>
      </c>
    </row>
    <row r="1007" spans="1:13" hidden="1">
      <c r="A1007" s="136" t="s">
        <v>307</v>
      </c>
      <c r="B1007" s="220"/>
      <c r="C1007" s="135">
        <v>76653</v>
      </c>
      <c r="D1007" s="135">
        <f>ROUND($C1007*D$1049/$C$1049,0)</f>
        <v>109747</v>
      </c>
      <c r="E1007" s="135"/>
      <c r="F1007" s="237">
        <v>0.78</v>
      </c>
      <c r="G1007" s="237"/>
      <c r="H1007" s="139">
        <f>ROUND($F1007*C1007,0)</f>
        <v>59789</v>
      </c>
      <c r="I1007" s="139">
        <f>ROUND($F1007*D1007,0)</f>
        <v>85603</v>
      </c>
      <c r="J1007" s="135"/>
      <c r="K1007" s="237">
        <v>0.64</v>
      </c>
      <c r="L1007" s="237"/>
      <c r="M1007" s="139">
        <f>ROUND($K1007*D1007,0)</f>
        <v>70238</v>
      </c>
    </row>
    <row r="1008" spans="1:13" hidden="1">
      <c r="A1008" s="136" t="s">
        <v>308</v>
      </c>
      <c r="C1008" s="135"/>
      <c r="D1008" s="135"/>
      <c r="E1008" s="135"/>
      <c r="F1008" s="238"/>
      <c r="G1008" s="238"/>
      <c r="H1008" s="139"/>
      <c r="I1008" s="139"/>
      <c r="J1008" s="135"/>
      <c r="K1008" s="238"/>
      <c r="L1008" s="238"/>
      <c r="M1008" s="139"/>
    </row>
    <row r="1009" spans="1:13" hidden="1">
      <c r="A1009" s="136" t="s">
        <v>306</v>
      </c>
      <c r="B1009" s="220"/>
      <c r="C1009" s="135">
        <v>0</v>
      </c>
      <c r="D1009" s="135">
        <f>ROUND($C1009*D$1049/$C$1049,0)</f>
        <v>0</v>
      </c>
      <c r="E1009" s="135"/>
      <c r="F1009" s="237">
        <v>0.44</v>
      </c>
      <c r="G1009" s="237"/>
      <c r="H1009" s="139">
        <f>ROUND($F1009*C1009,0)</f>
        <v>0</v>
      </c>
      <c r="I1009" s="139">
        <f>ROUND($F1009*D1009,0)</f>
        <v>0</v>
      </c>
      <c r="J1009" s="135"/>
      <c r="K1009" s="237">
        <v>0.37</v>
      </c>
      <c r="L1009" s="237"/>
      <c r="M1009" s="139">
        <f>ROUND($K1009*D1009,0)</f>
        <v>0</v>
      </c>
    </row>
    <row r="1010" spans="1:13" hidden="1">
      <c r="A1010" s="136" t="s">
        <v>307</v>
      </c>
      <c r="B1010" s="220"/>
      <c r="C1010" s="135">
        <v>0</v>
      </c>
      <c r="D1010" s="135">
        <f>ROUND($C1010*D$1049/$C$1049,0)</f>
        <v>0</v>
      </c>
      <c r="E1010" s="135"/>
      <c r="F1010" s="237">
        <v>0.39</v>
      </c>
      <c r="G1010" s="237"/>
      <c r="H1010" s="139">
        <f>ROUND($F1010*C1010,0)</f>
        <v>0</v>
      </c>
      <c r="I1010" s="139">
        <f>ROUND($F1010*D1010,0)</f>
        <v>0</v>
      </c>
      <c r="J1010" s="135"/>
      <c r="K1010" s="237">
        <v>0.32</v>
      </c>
      <c r="L1010" s="237"/>
      <c r="M1010" s="139">
        <f>ROUND($K1010*D1010,0)</f>
        <v>0</v>
      </c>
    </row>
    <row r="1011" spans="1:13" hidden="1">
      <c r="A1011" s="136" t="s">
        <v>309</v>
      </c>
      <c r="C1011" s="135"/>
      <c r="D1011" s="135"/>
      <c r="E1011" s="135"/>
      <c r="F1011" s="138"/>
      <c r="G1011" s="138"/>
      <c r="H1011" s="139"/>
      <c r="I1011" s="139"/>
      <c r="J1011" s="135"/>
      <c r="K1011" s="138"/>
      <c r="L1011" s="138"/>
      <c r="M1011" s="139"/>
    </row>
    <row r="1012" spans="1:13" hidden="1">
      <c r="A1012" s="136" t="s">
        <v>306</v>
      </c>
      <c r="B1012" s="220"/>
      <c r="C1012" s="135">
        <v>218</v>
      </c>
      <c r="D1012" s="135">
        <f>ROUND($C1012*D$1049/$C$1049,0)</f>
        <v>312</v>
      </c>
      <c r="E1012" s="135"/>
      <c r="F1012" s="237">
        <v>39.56</v>
      </c>
      <c r="G1012" s="237"/>
      <c r="H1012" s="139">
        <f>ROUND($F1012*C1012,0)</f>
        <v>8624</v>
      </c>
      <c r="I1012" s="139">
        <f>ROUND($F1012*D1012,0)</f>
        <v>12343</v>
      </c>
      <c r="J1012" s="135"/>
      <c r="K1012" s="237">
        <v>40</v>
      </c>
      <c r="L1012" s="237"/>
      <c r="M1012" s="139">
        <f>ROUND($K1012*D1012,0)</f>
        <v>12480</v>
      </c>
    </row>
    <row r="1013" spans="1:13" hidden="1">
      <c r="A1013" s="136" t="s">
        <v>307</v>
      </c>
      <c r="B1013" s="220"/>
      <c r="C1013" s="135">
        <v>12</v>
      </c>
      <c r="D1013" s="135">
        <f>ROUND($C1013*D$1049/$C$1049,0)</f>
        <v>17</v>
      </c>
      <c r="E1013" s="135"/>
      <c r="F1013" s="237">
        <v>35.01</v>
      </c>
      <c r="G1013" s="237"/>
      <c r="H1013" s="139">
        <f>ROUND($F1013*C1013,0)</f>
        <v>420</v>
      </c>
      <c r="I1013" s="139">
        <f>ROUND($F1013*D1013,0)</f>
        <v>595</v>
      </c>
      <c r="J1013" s="135"/>
      <c r="K1013" s="237">
        <v>36.28</v>
      </c>
      <c r="L1013" s="237"/>
      <c r="M1013" s="139">
        <f>ROUND($K1013*D1013,0)</f>
        <v>617</v>
      </c>
    </row>
    <row r="1014" spans="1:13" hidden="1">
      <c r="A1014" s="235" t="s">
        <v>311</v>
      </c>
      <c r="C1014" s="135"/>
      <c r="D1014" s="135"/>
      <c r="E1014" s="135"/>
      <c r="J1014" s="135"/>
    </row>
    <row r="1015" spans="1:13" hidden="1">
      <c r="A1015" s="136" t="s">
        <v>301</v>
      </c>
      <c r="C1015" s="135">
        <v>24</v>
      </c>
      <c r="D1015" s="135">
        <v>24</v>
      </c>
      <c r="E1015" s="135"/>
      <c r="F1015" s="138">
        <v>696</v>
      </c>
      <c r="G1015" s="138"/>
      <c r="H1015" s="139">
        <f t="shared" ref="H1015:I1017" si="226">ROUND($F1015*C1015,0)</f>
        <v>16704</v>
      </c>
      <c r="I1015" s="139">
        <f t="shared" si="226"/>
        <v>16704</v>
      </c>
      <c r="J1015" s="135"/>
      <c r="K1015" s="138">
        <v>829</v>
      </c>
      <c r="L1015" s="138"/>
      <c r="M1015" s="139">
        <f>ROUND($K1015*D1015,0)</f>
        <v>19896</v>
      </c>
    </row>
    <row r="1016" spans="1:13" hidden="1">
      <c r="A1016" s="136" t="s">
        <v>109</v>
      </c>
      <c r="C1016" s="135">
        <v>24</v>
      </c>
      <c r="D1016" s="135">
        <v>16.682237186555263</v>
      </c>
      <c r="E1016" s="135"/>
      <c r="F1016" s="138">
        <v>-0.5</v>
      </c>
      <c r="G1016" s="138"/>
      <c r="H1016" s="139">
        <f t="shared" si="226"/>
        <v>-12</v>
      </c>
      <c r="I1016" s="139">
        <f t="shared" si="226"/>
        <v>-8</v>
      </c>
      <c r="J1016" s="135"/>
      <c r="K1016" s="138">
        <v>-0.5</v>
      </c>
      <c r="L1016" s="138"/>
      <c r="M1016" s="139">
        <f>ROUND($K1016*D1016,0)</f>
        <v>-8</v>
      </c>
    </row>
    <row r="1017" spans="1:13" hidden="1">
      <c r="A1017" s="136" t="s">
        <v>303</v>
      </c>
      <c r="C1017" s="135">
        <v>72600</v>
      </c>
      <c r="D1017" s="135">
        <f>ROUND($C1017*D$1049/$C$1049,0)</f>
        <v>103944</v>
      </c>
      <c r="E1017" s="135"/>
      <c r="F1017" s="138">
        <v>2.7</v>
      </c>
      <c r="G1017" s="138"/>
      <c r="H1017" s="139">
        <f t="shared" si="226"/>
        <v>196020</v>
      </c>
      <c r="I1017" s="139">
        <f t="shared" si="226"/>
        <v>280649</v>
      </c>
      <c r="J1017" s="135"/>
      <c r="K1017" s="138">
        <v>2.9</v>
      </c>
      <c r="L1017" s="138"/>
      <c r="M1017" s="139">
        <f>ROUND($K1017*D1017,0)</f>
        <v>301438</v>
      </c>
    </row>
    <row r="1018" spans="1:13" hidden="1">
      <c r="A1018" s="136" t="s">
        <v>304</v>
      </c>
      <c r="C1018" s="135"/>
      <c r="D1018" s="135"/>
      <c r="E1018" s="135"/>
      <c r="F1018" s="190"/>
      <c r="G1018" s="190"/>
      <c r="H1018" s="139"/>
      <c r="I1018" s="139"/>
      <c r="J1018" s="135"/>
      <c r="K1018" s="190"/>
      <c r="L1018" s="190"/>
      <c r="M1018" s="139"/>
    </row>
    <row r="1019" spans="1:13" hidden="1">
      <c r="A1019" s="136" t="s">
        <v>305</v>
      </c>
      <c r="C1019" s="135"/>
      <c r="D1019" s="135">
        <f>ROUND($C1019*D$1049/$C$1049,0)</f>
        <v>0</v>
      </c>
      <c r="E1019" s="135"/>
      <c r="F1019" s="237"/>
      <c r="G1019" s="237"/>
      <c r="H1019" s="139"/>
      <c r="I1019" s="139"/>
      <c r="J1019" s="135"/>
      <c r="K1019" s="237"/>
      <c r="L1019" s="237"/>
      <c r="M1019" s="139"/>
    </row>
    <row r="1020" spans="1:13" hidden="1">
      <c r="A1020" s="136" t="s">
        <v>306</v>
      </c>
      <c r="B1020" s="220"/>
      <c r="C1020" s="135">
        <v>49964</v>
      </c>
      <c r="D1020" s="135">
        <f>ROUND($C1020*D$1049/$C$1049,0)</f>
        <v>71535</v>
      </c>
      <c r="E1020" s="135"/>
      <c r="F1020" s="237">
        <v>0.78</v>
      </c>
      <c r="G1020" s="237"/>
      <c r="H1020" s="139">
        <f>ROUND($F1020*C1020,0)</f>
        <v>38972</v>
      </c>
      <c r="I1020" s="139">
        <f>ROUND($F1020*D1020,0)</f>
        <v>55797</v>
      </c>
      <c r="J1020" s="135"/>
      <c r="K1020" s="237">
        <v>0.68</v>
      </c>
      <c r="L1020" s="237"/>
      <c r="M1020" s="139">
        <f>ROUND($K1020*D1020,0)</f>
        <v>48644</v>
      </c>
    </row>
    <row r="1021" spans="1:13" hidden="1">
      <c r="A1021" s="136" t="s">
        <v>307</v>
      </c>
      <c r="B1021" s="220"/>
      <c r="C1021" s="135">
        <v>146948</v>
      </c>
      <c r="D1021" s="135">
        <f>ROUND($C1021*D$1049/$C$1049,0)</f>
        <v>210390</v>
      </c>
      <c r="E1021" s="135"/>
      <c r="F1021" s="237">
        <v>0.69</v>
      </c>
      <c r="G1021" s="237"/>
      <c r="H1021" s="139">
        <f>ROUND($F1021*C1021,0)</f>
        <v>101394</v>
      </c>
      <c r="I1021" s="139">
        <f>ROUND($F1021*D1021,0)</f>
        <v>145169</v>
      </c>
      <c r="J1021" s="135"/>
      <c r="K1021" s="237">
        <v>0.6</v>
      </c>
      <c r="L1021" s="237"/>
      <c r="M1021" s="139">
        <f>ROUND($K1021*D1021,0)</f>
        <v>126234</v>
      </c>
    </row>
    <row r="1022" spans="1:13" hidden="1">
      <c r="A1022" s="136" t="s">
        <v>308</v>
      </c>
      <c r="C1022" s="135"/>
      <c r="D1022" s="135"/>
      <c r="E1022" s="135"/>
      <c r="F1022" s="238"/>
      <c r="G1022" s="238"/>
      <c r="H1022" s="139"/>
      <c r="I1022" s="139"/>
      <c r="J1022" s="135"/>
      <c r="K1022" s="238"/>
      <c r="L1022" s="238"/>
      <c r="M1022" s="139"/>
    </row>
    <row r="1023" spans="1:13" hidden="1">
      <c r="A1023" s="136" t="s">
        <v>306</v>
      </c>
      <c r="B1023" s="220"/>
      <c r="C1023" s="135">
        <v>9400</v>
      </c>
      <c r="D1023" s="135">
        <f>ROUND($C1023*D$1049/$C$1049,0)</f>
        <v>13458</v>
      </c>
      <c r="E1023" s="135"/>
      <c r="F1023" s="237">
        <v>0.39</v>
      </c>
      <c r="G1023" s="237"/>
      <c r="H1023" s="139">
        <f>ROUND($F1023*C1023,0)</f>
        <v>3666</v>
      </c>
      <c r="I1023" s="139">
        <f>ROUND($F1023*D1023,0)</f>
        <v>5249</v>
      </c>
      <c r="J1023" s="135"/>
      <c r="K1023" s="237">
        <v>0.34</v>
      </c>
      <c r="L1023" s="237"/>
      <c r="M1023" s="139">
        <f>ROUND($K1023*D1023,0)</f>
        <v>4576</v>
      </c>
    </row>
    <row r="1024" spans="1:13" hidden="1">
      <c r="A1024" s="136" t="s">
        <v>307</v>
      </c>
      <c r="B1024" s="220"/>
      <c r="C1024" s="135">
        <v>0</v>
      </c>
      <c r="D1024" s="135">
        <f>ROUND($C1024*D$1049/$C$1049,0)</f>
        <v>0</v>
      </c>
      <c r="E1024" s="135"/>
      <c r="F1024" s="237">
        <v>0.34499999999999997</v>
      </c>
      <c r="G1024" s="237"/>
      <c r="H1024" s="139">
        <f>ROUND($F1024*C1024,0)</f>
        <v>0</v>
      </c>
      <c r="I1024" s="139">
        <f>ROUND($F1024*D1024,0)</f>
        <v>0</v>
      </c>
      <c r="J1024" s="135"/>
      <c r="K1024" s="237">
        <v>0.3</v>
      </c>
      <c r="L1024" s="237"/>
      <c r="M1024" s="139">
        <f>ROUND($K1024*D1024,0)</f>
        <v>0</v>
      </c>
    </row>
    <row r="1025" spans="1:13" hidden="1">
      <c r="A1025" s="136" t="s">
        <v>309</v>
      </c>
      <c r="C1025" s="135"/>
      <c r="D1025" s="135"/>
      <c r="E1025" s="135"/>
      <c r="F1025" s="138"/>
      <c r="G1025" s="138"/>
      <c r="H1025" s="139"/>
      <c r="I1025" s="139"/>
      <c r="J1025" s="135"/>
      <c r="K1025" s="138"/>
      <c r="L1025" s="138"/>
      <c r="M1025" s="139"/>
    </row>
    <row r="1026" spans="1:13" hidden="1">
      <c r="A1026" s="136" t="s">
        <v>306</v>
      </c>
      <c r="B1026" s="220"/>
      <c r="C1026" s="135">
        <v>0</v>
      </c>
      <c r="D1026" s="135">
        <f>ROUND($C1026*D$1049/$C$1049,0)</f>
        <v>0</v>
      </c>
      <c r="E1026" s="135"/>
      <c r="F1026" s="237">
        <v>33.21</v>
      </c>
      <c r="G1026" s="237"/>
      <c r="H1026" s="139">
        <f>ROUND($F1026*C1026,0)</f>
        <v>0</v>
      </c>
      <c r="I1026" s="139">
        <f>ROUND($F1026*D1026,0)</f>
        <v>0</v>
      </c>
      <c r="J1026" s="135"/>
      <c r="K1026" s="237">
        <v>34.479999999999997</v>
      </c>
      <c r="L1026" s="237"/>
      <c r="M1026" s="139">
        <f>ROUND($K1026*D1026,0)</f>
        <v>0</v>
      </c>
    </row>
    <row r="1027" spans="1:13" hidden="1">
      <c r="A1027" s="136" t="s">
        <v>307</v>
      </c>
      <c r="B1027" s="220"/>
      <c r="C1027" s="135">
        <v>0</v>
      </c>
      <c r="D1027" s="135">
        <f>ROUND($C1027*D$1049/$C$1049,0)</f>
        <v>0</v>
      </c>
      <c r="E1027" s="135"/>
      <c r="F1027" s="237">
        <v>29.39</v>
      </c>
      <c r="G1027" s="237"/>
      <c r="H1027" s="139">
        <f>ROUND($F1027*C1027,0)</f>
        <v>0</v>
      </c>
      <c r="I1027" s="139">
        <f>ROUND($F1027*D1027,0)</f>
        <v>0</v>
      </c>
      <c r="J1027" s="135"/>
      <c r="K1027" s="237">
        <v>31.06</v>
      </c>
      <c r="L1027" s="237"/>
      <c r="M1027" s="139">
        <f>ROUND($K1027*D1027,0)</f>
        <v>0</v>
      </c>
    </row>
    <row r="1028" spans="1:13" hidden="1">
      <c r="A1028" s="136" t="s">
        <v>312</v>
      </c>
      <c r="C1028" s="230"/>
      <c r="D1028" s="230"/>
      <c r="E1028" s="137"/>
      <c r="F1028" s="193"/>
      <c r="G1028" s="193"/>
      <c r="H1028" s="228">
        <f>SUM(H987:H1027)</f>
        <v>669309</v>
      </c>
      <c r="I1028" s="228">
        <f>SUM(I987:I1027)</f>
        <v>944616</v>
      </c>
      <c r="J1028" s="137"/>
      <c r="K1028" s="193"/>
      <c r="L1028" s="193"/>
      <c r="M1028" s="228">
        <f>SUM(M987:M1027)</f>
        <v>918554</v>
      </c>
    </row>
    <row r="1029" spans="1:13" hidden="1">
      <c r="A1029" s="235" t="s">
        <v>313</v>
      </c>
    </row>
    <row r="1030" spans="1:13" hidden="1">
      <c r="A1030" s="133" t="s">
        <v>469</v>
      </c>
      <c r="C1030" s="135"/>
      <c r="D1030" s="135"/>
      <c r="E1030" s="135"/>
      <c r="F1030" s="190"/>
      <c r="G1030" s="190"/>
      <c r="H1030" s="139"/>
      <c r="I1030" s="139"/>
      <c r="J1030" s="135"/>
      <c r="K1030" s="190"/>
      <c r="L1030" s="190"/>
      <c r="M1030" s="139"/>
    </row>
    <row r="1031" spans="1:13" hidden="1">
      <c r="A1031" s="136" t="s">
        <v>144</v>
      </c>
      <c r="C1031" s="135">
        <v>30245</v>
      </c>
      <c r="D1031" s="135">
        <f>ROUND($C1031*D$1049/$C$1049,0)</f>
        <v>43303</v>
      </c>
      <c r="E1031" s="135"/>
      <c r="F1031" s="190">
        <v>4.8099999999999996</v>
      </c>
      <c r="G1031" s="190"/>
      <c r="H1031" s="139">
        <f t="shared" ref="H1031:I1033" si="227">ROUND($F1031*C1031,0)</f>
        <v>145478</v>
      </c>
      <c r="I1031" s="139">
        <f t="shared" si="227"/>
        <v>208287</v>
      </c>
      <c r="J1031" s="135"/>
      <c r="K1031" s="190">
        <v>4.95</v>
      </c>
      <c r="L1031" s="190"/>
      <c r="M1031" s="139">
        <f>ROUND($K1031*D1031,0)</f>
        <v>214350</v>
      </c>
    </row>
    <row r="1032" spans="1:13" hidden="1">
      <c r="A1032" s="136" t="s">
        <v>180</v>
      </c>
      <c r="C1032" s="135">
        <v>4000</v>
      </c>
      <c r="D1032" s="135">
        <f>ROUND($C1032*D$1049/$C$1049,0)</f>
        <v>5727</v>
      </c>
      <c r="E1032" s="135"/>
      <c r="F1032" s="190">
        <v>15.73</v>
      </c>
      <c r="G1032" s="190"/>
      <c r="H1032" s="139">
        <f t="shared" si="227"/>
        <v>62920</v>
      </c>
      <c r="I1032" s="139">
        <f t="shared" si="227"/>
        <v>90086</v>
      </c>
      <c r="J1032" s="135"/>
      <c r="K1032" s="190">
        <v>16.18</v>
      </c>
      <c r="L1032" s="190"/>
      <c r="M1032" s="139">
        <f>ROUND($K1032*D1032,0)</f>
        <v>92663</v>
      </c>
    </row>
    <row r="1033" spans="1:13" hidden="1">
      <c r="A1033" s="136" t="s">
        <v>181</v>
      </c>
      <c r="C1033" s="135">
        <v>21226</v>
      </c>
      <c r="D1033" s="135">
        <f>ROUND($C1033*D$1049/$C$1049,0)</f>
        <v>30390</v>
      </c>
      <c r="E1033" s="135"/>
      <c r="F1033" s="190">
        <v>13.92</v>
      </c>
      <c r="G1033" s="190"/>
      <c r="H1033" s="139">
        <f t="shared" si="227"/>
        <v>295466</v>
      </c>
      <c r="I1033" s="139">
        <f t="shared" si="227"/>
        <v>423029</v>
      </c>
      <c r="J1033" s="135"/>
      <c r="K1033" s="190">
        <v>14.32</v>
      </c>
      <c r="L1033" s="190"/>
      <c r="M1033" s="139">
        <f>ROUND($K1033*D1033,0)</f>
        <v>435185</v>
      </c>
    </row>
    <row r="1034" spans="1:13" hidden="1">
      <c r="A1034" s="136" t="s">
        <v>111</v>
      </c>
      <c r="C1034" s="135">
        <v>976800</v>
      </c>
      <c r="D1034" s="135">
        <f>ROUND($C1034*D$1049/($C$1049-$C$1048),0)</f>
        <v>1409179</v>
      </c>
      <c r="E1034" s="135"/>
      <c r="F1034" s="193">
        <v>5.8281999999999998</v>
      </c>
      <c r="G1034" s="163" t="s">
        <v>112</v>
      </c>
      <c r="H1034" s="139">
        <f t="shared" ref="H1034:I1037" si="228">ROUND($F1034*C1034/100,0)</f>
        <v>56930</v>
      </c>
      <c r="I1034" s="139">
        <f t="shared" si="228"/>
        <v>82130</v>
      </c>
      <c r="J1034" s="135"/>
      <c r="K1034" s="193">
        <v>5.9962999999999997</v>
      </c>
      <c r="L1034" s="163" t="s">
        <v>112</v>
      </c>
      <c r="M1034" s="139">
        <f>ROUND($K1034*D1034/100,0)</f>
        <v>84499</v>
      </c>
    </row>
    <row r="1035" spans="1:13" hidden="1">
      <c r="A1035" s="136" t="s">
        <v>114</v>
      </c>
      <c r="C1035" s="135">
        <v>3976800</v>
      </c>
      <c r="D1035" s="135">
        <f t="shared" ref="D1035:D1037" si="229">ROUND($C1035*D$1049/($C$1049-$C$1048),0)</f>
        <v>5737125</v>
      </c>
      <c r="E1035" s="135"/>
      <c r="F1035" s="193">
        <v>2.9624000000000001</v>
      </c>
      <c r="G1035" s="163" t="s">
        <v>112</v>
      </c>
      <c r="H1035" s="139">
        <f t="shared" si="228"/>
        <v>117809</v>
      </c>
      <c r="I1035" s="139">
        <f t="shared" si="228"/>
        <v>169957</v>
      </c>
      <c r="J1035" s="135"/>
      <c r="K1035" s="193">
        <v>3.0478000000000001</v>
      </c>
      <c r="L1035" s="163" t="s">
        <v>112</v>
      </c>
      <c r="M1035" s="139">
        <f>ROUND($K1035*D1035/100,0)</f>
        <v>174856</v>
      </c>
    </row>
    <row r="1036" spans="1:13" hidden="1">
      <c r="A1036" s="136" t="s">
        <v>183</v>
      </c>
      <c r="C1036" s="135">
        <v>2678400</v>
      </c>
      <c r="D1036" s="135">
        <f t="shared" si="229"/>
        <v>3863990</v>
      </c>
      <c r="E1036" s="135"/>
      <c r="F1036" s="193">
        <v>5.1577000000000002</v>
      </c>
      <c r="G1036" s="163" t="s">
        <v>112</v>
      </c>
      <c r="H1036" s="139">
        <f t="shared" si="228"/>
        <v>138144</v>
      </c>
      <c r="I1036" s="139">
        <f t="shared" si="228"/>
        <v>199293</v>
      </c>
      <c r="J1036" s="135"/>
      <c r="K1036" s="193">
        <v>5.3064</v>
      </c>
      <c r="L1036" s="163" t="s">
        <v>112</v>
      </c>
      <c r="M1036" s="139">
        <f>ROUND($K1036*D1036/100,0)</f>
        <v>205039</v>
      </c>
    </row>
    <row r="1037" spans="1:13" hidden="1">
      <c r="A1037" s="136" t="s">
        <v>185</v>
      </c>
      <c r="C1037" s="135">
        <v>10783200</v>
      </c>
      <c r="D1037" s="135">
        <f t="shared" si="229"/>
        <v>15556369</v>
      </c>
      <c r="E1037" s="135"/>
      <c r="F1037" s="193">
        <v>2.6215999999999999</v>
      </c>
      <c r="G1037" s="163" t="s">
        <v>112</v>
      </c>
      <c r="H1037" s="139">
        <f t="shared" si="228"/>
        <v>282692</v>
      </c>
      <c r="I1037" s="139">
        <f t="shared" si="228"/>
        <v>407826</v>
      </c>
      <c r="J1037" s="135"/>
      <c r="K1037" s="193">
        <v>2.6972</v>
      </c>
      <c r="L1037" s="163" t="s">
        <v>112</v>
      </c>
      <c r="M1037" s="139">
        <f>ROUND($K1037*D1037/100,0)</f>
        <v>419586</v>
      </c>
    </row>
    <row r="1038" spans="1:13" hidden="1">
      <c r="A1038" s="136" t="s">
        <v>150</v>
      </c>
      <c r="C1038" s="135">
        <v>25226</v>
      </c>
      <c r="D1038" s="135">
        <f>ROUND($C1038*D$1049/$C$1049,0)</f>
        <v>36117</v>
      </c>
      <c r="E1038" s="135"/>
      <c r="F1038" s="190">
        <v>-1.1299999999999999</v>
      </c>
      <c r="G1038" s="190"/>
      <c r="H1038" s="139">
        <f>ROUND($F1038*C1038,0)</f>
        <v>-28505</v>
      </c>
      <c r="I1038" s="139">
        <f>ROUND($F1038*D1038,0)</f>
        <v>-40812</v>
      </c>
      <c r="J1038" s="135"/>
      <c r="K1038" s="190">
        <v>-1.1299999999999999</v>
      </c>
      <c r="L1038" s="190"/>
      <c r="M1038" s="139">
        <f>ROUND($K1038*D1038,0)</f>
        <v>-40812</v>
      </c>
    </row>
    <row r="1039" spans="1:13" hidden="1">
      <c r="A1039" s="133" t="s">
        <v>472</v>
      </c>
      <c r="C1039" s="135"/>
      <c r="D1039" s="135"/>
      <c r="E1039" s="135"/>
      <c r="F1039" s="190"/>
      <c r="G1039" s="190"/>
      <c r="H1039" s="139"/>
      <c r="I1039" s="139"/>
      <c r="J1039" s="135"/>
      <c r="K1039" s="190"/>
      <c r="L1039" s="190"/>
      <c r="M1039" s="139"/>
    </row>
    <row r="1040" spans="1:13" hidden="1">
      <c r="A1040" s="136" t="s">
        <v>144</v>
      </c>
      <c r="C1040" s="135">
        <v>254859</v>
      </c>
      <c r="D1040" s="135">
        <f>ROUND($C1040*D$1049/$C$1049,0)</f>
        <v>364890</v>
      </c>
      <c r="E1040" s="135"/>
      <c r="F1040" s="190">
        <v>2.2799999999999998</v>
      </c>
      <c r="G1040" s="190"/>
      <c r="H1040" s="139">
        <f t="shared" ref="H1040:I1042" si="230">ROUND($F1040*C1040,0)</f>
        <v>581079</v>
      </c>
      <c r="I1040" s="139">
        <f t="shared" si="230"/>
        <v>831949</v>
      </c>
      <c r="J1040" s="135"/>
      <c r="K1040" s="190">
        <v>2.37</v>
      </c>
      <c r="L1040" s="190"/>
      <c r="M1040" s="139">
        <f>ROUND($K1040*D1040,0)</f>
        <v>864789</v>
      </c>
    </row>
    <row r="1041" spans="1:13" hidden="1">
      <c r="A1041" s="136" t="s">
        <v>180</v>
      </c>
      <c r="C1041" s="135">
        <v>82644</v>
      </c>
      <c r="D1041" s="135">
        <f>ROUND($C1041*D$1049/$C$1049,0)</f>
        <v>118324</v>
      </c>
      <c r="E1041" s="135"/>
      <c r="F1041" s="190">
        <v>14.33</v>
      </c>
      <c r="G1041" s="190"/>
      <c r="H1041" s="139">
        <f t="shared" si="230"/>
        <v>1184289</v>
      </c>
      <c r="I1041" s="139">
        <f t="shared" si="230"/>
        <v>1695583</v>
      </c>
      <c r="J1041" s="135"/>
      <c r="K1041" s="190">
        <v>14.87</v>
      </c>
      <c r="L1041" s="190"/>
      <c r="M1041" s="139">
        <f>ROUND($K1041*D1041,0)</f>
        <v>1759478</v>
      </c>
    </row>
    <row r="1042" spans="1:13" hidden="1">
      <c r="A1042" s="136" t="s">
        <v>181</v>
      </c>
      <c r="C1042" s="135">
        <v>162323</v>
      </c>
      <c r="D1042" s="135">
        <f>ROUND($C1042*D$1049/$C$1049,0)</f>
        <v>232403</v>
      </c>
      <c r="E1042" s="135"/>
      <c r="F1042" s="190">
        <v>12.68</v>
      </c>
      <c r="G1042" s="190"/>
      <c r="H1042" s="139">
        <f t="shared" si="230"/>
        <v>2058256</v>
      </c>
      <c r="I1042" s="139">
        <f t="shared" si="230"/>
        <v>2946870</v>
      </c>
      <c r="J1042" s="135"/>
      <c r="K1042" s="190">
        <v>13.16</v>
      </c>
      <c r="L1042" s="190"/>
      <c r="M1042" s="139">
        <f>ROUND($K1042*D1042,0)</f>
        <v>3058423</v>
      </c>
    </row>
    <row r="1043" spans="1:13" hidden="1">
      <c r="A1043" s="136" t="s">
        <v>111</v>
      </c>
      <c r="C1043" s="135">
        <v>11219669</v>
      </c>
      <c r="D1043" s="135">
        <f>ROUND($C1043*D$1049/($C$1049-$C$1048),0)</f>
        <v>16186041</v>
      </c>
      <c r="E1043" s="135"/>
      <c r="F1043" s="198">
        <v>5.1477000000000004</v>
      </c>
      <c r="G1043" s="163" t="s">
        <v>112</v>
      </c>
      <c r="H1043" s="139">
        <f t="shared" ref="H1043:I1046" si="231">ROUND($F1043*C1043/100,0)</f>
        <v>577555</v>
      </c>
      <c r="I1043" s="139">
        <f t="shared" si="231"/>
        <v>833209</v>
      </c>
      <c r="J1043" s="135"/>
      <c r="K1043" s="198">
        <v>5.3414000000000001</v>
      </c>
      <c r="L1043" s="163" t="s">
        <v>112</v>
      </c>
      <c r="M1043" s="139">
        <f>ROUND($K1043*D1043/100,0)</f>
        <v>864561</v>
      </c>
    </row>
    <row r="1044" spans="1:13" hidden="1">
      <c r="A1044" s="136" t="s">
        <v>114</v>
      </c>
      <c r="C1044" s="135">
        <v>43430347</v>
      </c>
      <c r="D1044" s="135">
        <f t="shared" ref="D1044:D1046" si="232">ROUND($C1044*D$1049/($C$1049-$C$1048),0)</f>
        <v>62654732</v>
      </c>
      <c r="E1044" s="135"/>
      <c r="F1044" s="198">
        <v>2.6164999999999998</v>
      </c>
      <c r="G1044" s="163" t="s">
        <v>112</v>
      </c>
      <c r="H1044" s="139">
        <f t="shared" si="231"/>
        <v>1136355</v>
      </c>
      <c r="I1044" s="139">
        <f t="shared" si="231"/>
        <v>1639361</v>
      </c>
      <c r="J1044" s="135"/>
      <c r="K1044" s="198">
        <v>2.7149000000000001</v>
      </c>
      <c r="L1044" s="163" t="s">
        <v>112</v>
      </c>
      <c r="M1044" s="139">
        <f>ROUND($K1044*D1044/100,0)</f>
        <v>1701013</v>
      </c>
    </row>
    <row r="1045" spans="1:13" hidden="1">
      <c r="A1045" s="136" t="s">
        <v>183</v>
      </c>
      <c r="C1045" s="135">
        <v>21699000</v>
      </c>
      <c r="D1045" s="135">
        <f t="shared" si="232"/>
        <v>31304033</v>
      </c>
      <c r="E1045" s="135"/>
      <c r="F1045" s="198">
        <v>4.5555000000000003</v>
      </c>
      <c r="G1045" s="163" t="s">
        <v>112</v>
      </c>
      <c r="H1045" s="139">
        <f t="shared" si="231"/>
        <v>988498</v>
      </c>
      <c r="I1045" s="139">
        <f t="shared" si="231"/>
        <v>1426055</v>
      </c>
      <c r="J1045" s="135"/>
      <c r="K1045" s="198">
        <v>4.7268999999999997</v>
      </c>
      <c r="L1045" s="163" t="s">
        <v>112</v>
      </c>
      <c r="M1045" s="139">
        <f>ROUND($K1045*D1045/100,0)</f>
        <v>1479710</v>
      </c>
    </row>
    <row r="1046" spans="1:13" hidden="1">
      <c r="A1046" s="136" t="s">
        <v>185</v>
      </c>
      <c r="C1046" s="135">
        <v>83667053</v>
      </c>
      <c r="D1046" s="135">
        <f t="shared" si="232"/>
        <v>120702163</v>
      </c>
      <c r="E1046" s="214"/>
      <c r="F1046" s="239">
        <v>2.3155000000000001</v>
      </c>
      <c r="G1046" s="163" t="s">
        <v>112</v>
      </c>
      <c r="H1046" s="217">
        <f t="shared" si="231"/>
        <v>1937311</v>
      </c>
      <c r="I1046" s="217">
        <f t="shared" si="231"/>
        <v>2794859</v>
      </c>
      <c r="J1046" s="214"/>
      <c r="K1046" s="239">
        <v>2.4026000000000001</v>
      </c>
      <c r="L1046" s="163" t="s">
        <v>112</v>
      </c>
      <c r="M1046" s="217">
        <f>ROUND($K1046*D1046/100,0)</f>
        <v>2899990</v>
      </c>
    </row>
    <row r="1047" spans="1:13" hidden="1">
      <c r="A1047" s="136" t="s">
        <v>312</v>
      </c>
      <c r="C1047" s="135"/>
      <c r="D1047" s="135"/>
      <c r="E1047" s="135"/>
      <c r="F1047" s="198"/>
      <c r="G1047" s="163"/>
      <c r="H1047" s="139">
        <f>SUM(H1031:H1046)</f>
        <v>9534277</v>
      </c>
      <c r="I1047" s="139">
        <f>SUM(I1031:I1046)</f>
        <v>13707682</v>
      </c>
      <c r="J1047" s="135"/>
      <c r="K1047" s="198"/>
      <c r="L1047" s="163"/>
      <c r="M1047" s="139">
        <f>SUM(M1031:M1046)</f>
        <v>14213330</v>
      </c>
    </row>
    <row r="1048" spans="1:13" hidden="1">
      <c r="A1048" s="172" t="s">
        <v>125</v>
      </c>
      <c r="B1048" s="173"/>
      <c r="C1048" s="135">
        <v>1360583</v>
      </c>
      <c r="D1048" s="135"/>
      <c r="E1048" s="135"/>
      <c r="F1048" s="174"/>
      <c r="G1048" s="13"/>
      <c r="H1048" s="139">
        <v>77340</v>
      </c>
      <c r="I1048" s="139"/>
      <c r="J1048" s="135"/>
      <c r="K1048" s="174"/>
      <c r="L1048" s="13"/>
      <c r="M1048" s="139"/>
    </row>
    <row r="1049" spans="1:13" ht="16.5" hidden="1" thickBot="1">
      <c r="A1049" s="176" t="s">
        <v>316</v>
      </c>
      <c r="B1049" s="177"/>
      <c r="C1049" s="178">
        <f>SUM(C1034:C1037,C1043:C1046,C1048)</f>
        <v>179791852</v>
      </c>
      <c r="D1049" s="178">
        <v>257413632.47723129</v>
      </c>
      <c r="E1049" s="178"/>
      <c r="F1049" s="177"/>
      <c r="G1049" s="177"/>
      <c r="H1049" s="179">
        <f>H1028+H1047+H1048</f>
        <v>10280926</v>
      </c>
      <c r="I1049" s="179">
        <f>I1028+I1047+I1048</f>
        <v>14652298</v>
      </c>
      <c r="J1049" s="178"/>
      <c r="K1049" s="177"/>
      <c r="L1049" s="177"/>
      <c r="M1049" s="179">
        <f>M1028+M1047+M1048</f>
        <v>15131884</v>
      </c>
    </row>
    <row r="1050" spans="1:13" hidden="1"/>
    <row r="1051" spans="1:13" hidden="1">
      <c r="A1051" s="133" t="s">
        <v>491</v>
      </c>
      <c r="C1051" s="135"/>
      <c r="D1051" s="135"/>
      <c r="E1051" s="135"/>
      <c r="F1051" s="193"/>
      <c r="G1051" s="193"/>
      <c r="J1051" s="135"/>
      <c r="K1051" s="193"/>
      <c r="L1051" s="193"/>
    </row>
    <row r="1052" spans="1:13" hidden="1">
      <c r="A1052" s="235" t="s">
        <v>300</v>
      </c>
      <c r="C1052" s="135"/>
      <c r="D1052" s="135"/>
      <c r="E1052" s="135"/>
      <c r="J1052" s="135"/>
    </row>
    <row r="1053" spans="1:13" hidden="1">
      <c r="A1053" s="136" t="s">
        <v>301</v>
      </c>
      <c r="B1053" s="220"/>
      <c r="C1053" s="135">
        <v>0</v>
      </c>
      <c r="D1053" s="135"/>
      <c r="E1053" s="135"/>
      <c r="F1053" s="138">
        <v>137</v>
      </c>
      <c r="G1053" s="138"/>
      <c r="H1053" s="139">
        <f t="shared" ref="H1053:I1055" si="233">ROUND($F1053*C1053,0)</f>
        <v>0</v>
      </c>
      <c r="I1053" s="139">
        <f t="shared" si="233"/>
        <v>0</v>
      </c>
      <c r="J1053" s="135"/>
      <c r="K1053" s="138">
        <v>139</v>
      </c>
      <c r="L1053" s="138"/>
      <c r="M1053" s="139">
        <f>ROUND($K1053*D1053,0)</f>
        <v>0</v>
      </c>
    </row>
    <row r="1054" spans="1:13" hidden="1">
      <c r="A1054" s="136" t="s">
        <v>109</v>
      </c>
      <c r="C1054" s="135">
        <v>0</v>
      </c>
      <c r="D1054" s="135"/>
      <c r="E1054" s="135"/>
      <c r="F1054" s="138">
        <v>-0.5</v>
      </c>
      <c r="G1054" s="138"/>
      <c r="H1054" s="139">
        <f t="shared" si="233"/>
        <v>0</v>
      </c>
      <c r="I1054" s="139">
        <f t="shared" si="233"/>
        <v>0</v>
      </c>
      <c r="J1054" s="135"/>
      <c r="K1054" s="138">
        <v>-0.5</v>
      </c>
      <c r="L1054" s="138"/>
      <c r="M1054" s="139">
        <f>ROUND($K1054*D1054,0)</f>
        <v>0</v>
      </c>
    </row>
    <row r="1055" spans="1:13" hidden="1">
      <c r="A1055" s="136" t="s">
        <v>303</v>
      </c>
      <c r="B1055" s="220"/>
      <c r="C1055" s="135">
        <v>0</v>
      </c>
      <c r="D1055" s="135"/>
      <c r="E1055" s="135"/>
      <c r="F1055" s="138">
        <v>5.75</v>
      </c>
      <c r="G1055" s="138"/>
      <c r="H1055" s="139">
        <f t="shared" si="233"/>
        <v>0</v>
      </c>
      <c r="I1055" s="139">
        <f t="shared" si="233"/>
        <v>0</v>
      </c>
      <c r="J1055" s="135"/>
      <c r="K1055" s="138">
        <v>5.92</v>
      </c>
      <c r="L1055" s="138"/>
      <c r="M1055" s="139">
        <f>ROUND($K1055*D1055,0)</f>
        <v>0</v>
      </c>
    </row>
    <row r="1056" spans="1:13" hidden="1">
      <c r="A1056" s="136" t="s">
        <v>304</v>
      </c>
      <c r="B1056" s="220"/>
      <c r="C1056" s="135"/>
      <c r="D1056" s="135"/>
      <c r="E1056" s="135"/>
      <c r="F1056" s="190"/>
      <c r="G1056" s="190"/>
      <c r="H1056" s="139"/>
      <c r="I1056" s="139"/>
      <c r="J1056" s="135"/>
      <c r="K1056" s="190"/>
      <c r="L1056" s="190"/>
      <c r="M1056" s="139"/>
    </row>
    <row r="1057" spans="1:13" hidden="1">
      <c r="A1057" s="136" t="s">
        <v>305</v>
      </c>
      <c r="B1057" s="220"/>
      <c r="C1057" s="135"/>
      <c r="D1057" s="135"/>
      <c r="E1057" s="135"/>
      <c r="F1057" s="237"/>
      <c r="G1057" s="237"/>
      <c r="H1057" s="139"/>
      <c r="I1057" s="139"/>
      <c r="J1057" s="135"/>
      <c r="K1057" s="237"/>
      <c r="L1057" s="237"/>
      <c r="M1057" s="139"/>
    </row>
    <row r="1058" spans="1:13" hidden="1">
      <c r="A1058" s="136" t="s">
        <v>306</v>
      </c>
      <c r="B1058" s="220"/>
      <c r="C1058" s="135">
        <v>0</v>
      </c>
      <c r="D1058" s="135"/>
      <c r="E1058" s="135"/>
      <c r="F1058" s="237">
        <v>0.9</v>
      </c>
      <c r="G1058" s="237"/>
      <c r="H1058" s="139">
        <f>ROUND($F1058*C1058,0)</f>
        <v>0</v>
      </c>
      <c r="I1058" s="139">
        <f>ROUND($F1058*D1058,0)</f>
        <v>0</v>
      </c>
      <c r="J1058" s="135"/>
      <c r="K1058" s="237">
        <v>0.72</v>
      </c>
      <c r="L1058" s="237"/>
      <c r="M1058" s="139">
        <f>ROUND($K1058*D1058,0)</f>
        <v>0</v>
      </c>
    </row>
    <row r="1059" spans="1:13" hidden="1">
      <c r="A1059" s="136" t="s">
        <v>307</v>
      </c>
      <c r="B1059" s="220"/>
      <c r="C1059" s="135">
        <v>0</v>
      </c>
      <c r="D1059" s="135"/>
      <c r="E1059" s="135"/>
      <c r="F1059" s="237">
        <v>0.8</v>
      </c>
      <c r="G1059" s="237"/>
      <c r="H1059" s="139">
        <f>ROUND($F1059*C1059,0)</f>
        <v>0</v>
      </c>
      <c r="I1059" s="139">
        <f>ROUND($F1059*D1059,0)</f>
        <v>0</v>
      </c>
      <c r="J1059" s="135"/>
      <c r="K1059" s="237">
        <v>0.64</v>
      </c>
      <c r="L1059" s="237"/>
      <c r="M1059" s="139">
        <f>ROUND($K1059*D1059,0)</f>
        <v>0</v>
      </c>
    </row>
    <row r="1060" spans="1:13" hidden="1">
      <c r="A1060" s="136" t="s">
        <v>308</v>
      </c>
      <c r="B1060" s="220"/>
      <c r="C1060" s="135"/>
      <c r="D1060" s="135"/>
      <c r="E1060" s="135"/>
      <c r="F1060" s="238"/>
      <c r="G1060" s="238"/>
      <c r="H1060" s="139"/>
      <c r="I1060" s="139"/>
      <c r="J1060" s="135"/>
      <c r="K1060" s="238"/>
      <c r="L1060" s="238"/>
      <c r="M1060" s="139"/>
    </row>
    <row r="1061" spans="1:13" hidden="1">
      <c r="A1061" s="136" t="s">
        <v>306</v>
      </c>
      <c r="B1061" s="220"/>
      <c r="C1061" s="135">
        <v>0</v>
      </c>
      <c r="D1061" s="135"/>
      <c r="E1061" s="135"/>
      <c r="F1061" s="238">
        <v>0.45</v>
      </c>
      <c r="G1061" s="238"/>
      <c r="H1061" s="139">
        <f>ROUND($F1061*C1061,0)</f>
        <v>0</v>
      </c>
      <c r="I1061" s="139">
        <f>ROUND($F1061*D1061,0)</f>
        <v>0</v>
      </c>
      <c r="J1061" s="135"/>
      <c r="K1061" s="237">
        <v>0.36</v>
      </c>
      <c r="L1061" s="238"/>
      <c r="M1061" s="139">
        <f>ROUND($K1061*D1061,0)</f>
        <v>0</v>
      </c>
    </row>
    <row r="1062" spans="1:13" hidden="1">
      <c r="A1062" s="136" t="s">
        <v>307</v>
      </c>
      <c r="B1062" s="220"/>
      <c r="C1062" s="135">
        <v>0</v>
      </c>
      <c r="D1062" s="135"/>
      <c r="E1062" s="135"/>
      <c r="F1062" s="238">
        <v>0.4</v>
      </c>
      <c r="G1062" s="238"/>
      <c r="H1062" s="139">
        <f>ROUND($F1062*C1062,0)</f>
        <v>0</v>
      </c>
      <c r="I1062" s="139">
        <f>ROUND($F1062*D1062,0)</f>
        <v>0</v>
      </c>
      <c r="J1062" s="135"/>
      <c r="K1062" s="237">
        <v>0.32</v>
      </c>
      <c r="L1062" s="238"/>
      <c r="M1062" s="139">
        <f>ROUND($K1062*D1062,0)</f>
        <v>0</v>
      </c>
    </row>
    <row r="1063" spans="1:13" hidden="1">
      <c r="A1063" s="136" t="s">
        <v>309</v>
      </c>
      <c r="B1063" s="220"/>
      <c r="C1063" s="135"/>
      <c r="D1063" s="135"/>
      <c r="E1063" s="135"/>
      <c r="F1063" s="138"/>
      <c r="G1063" s="138"/>
      <c r="H1063" s="139"/>
      <c r="I1063" s="139"/>
      <c r="J1063" s="135"/>
      <c r="K1063" s="138"/>
      <c r="L1063" s="138"/>
      <c r="M1063" s="139"/>
    </row>
    <row r="1064" spans="1:13" hidden="1">
      <c r="A1064" s="136" t="s">
        <v>306</v>
      </c>
      <c r="B1064" s="220"/>
      <c r="C1064" s="135">
        <v>0</v>
      </c>
      <c r="D1064" s="135"/>
      <c r="E1064" s="135"/>
      <c r="F1064" s="138">
        <v>41.89</v>
      </c>
      <c r="G1064" s="138"/>
      <c r="H1064" s="139">
        <f>ROUND($F1064*C1064,0)</f>
        <v>0</v>
      </c>
      <c r="I1064" s="139">
        <f>ROUND($F1064*D1064,0)</f>
        <v>0</v>
      </c>
      <c r="J1064" s="135"/>
      <c r="K1064" s="237">
        <v>42.26</v>
      </c>
      <c r="L1064" s="138"/>
      <c r="M1064" s="139">
        <f>ROUND($K1064*D1064,0)</f>
        <v>0</v>
      </c>
    </row>
    <row r="1065" spans="1:13" hidden="1">
      <c r="A1065" s="136" t="s">
        <v>307</v>
      </c>
      <c r="B1065" s="220"/>
      <c r="C1065" s="135">
        <v>0</v>
      </c>
      <c r="D1065" s="135"/>
      <c r="E1065" s="135"/>
      <c r="F1065" s="138">
        <v>37.07</v>
      </c>
      <c r="G1065" s="138"/>
      <c r="H1065" s="139">
        <f>ROUND($F1065*C1065,0)</f>
        <v>0</v>
      </c>
      <c r="I1065" s="139">
        <f>ROUND($F1065*D1065,0)</f>
        <v>0</v>
      </c>
      <c r="J1065" s="135"/>
      <c r="K1065" s="237">
        <v>38.54</v>
      </c>
      <c r="L1065" s="138"/>
      <c r="M1065" s="139">
        <f>ROUND($K1065*D1065,0)</f>
        <v>0</v>
      </c>
    </row>
    <row r="1066" spans="1:13" hidden="1">
      <c r="A1066" s="235" t="s">
        <v>310</v>
      </c>
      <c r="C1066" s="135"/>
      <c r="D1066" s="135"/>
      <c r="E1066" s="135"/>
      <c r="J1066" s="135"/>
    </row>
    <row r="1067" spans="1:13" hidden="1">
      <c r="A1067" s="136" t="s">
        <v>301</v>
      </c>
      <c r="C1067" s="135">
        <v>0</v>
      </c>
      <c r="D1067" s="135"/>
      <c r="E1067" s="135"/>
      <c r="F1067" s="138">
        <v>621</v>
      </c>
      <c r="G1067" s="138"/>
      <c r="H1067" s="139">
        <f t="shared" ref="H1067:I1069" si="234">ROUND($F1067*C1067,0)</f>
        <v>0</v>
      </c>
      <c r="I1067" s="139">
        <f t="shared" si="234"/>
        <v>0</v>
      </c>
      <c r="J1067" s="135"/>
      <c r="K1067" s="138">
        <v>623</v>
      </c>
      <c r="L1067" s="138"/>
      <c r="M1067" s="139">
        <f>ROUND($K1067*D1067,0)</f>
        <v>0</v>
      </c>
    </row>
    <row r="1068" spans="1:13" hidden="1">
      <c r="A1068" s="136" t="s">
        <v>109</v>
      </c>
      <c r="C1068" s="135">
        <v>0</v>
      </c>
      <c r="D1068" s="135"/>
      <c r="E1068" s="135"/>
      <c r="F1068" s="138">
        <v>-0.5</v>
      </c>
      <c r="G1068" s="138"/>
      <c r="H1068" s="139">
        <f t="shared" si="234"/>
        <v>0</v>
      </c>
      <c r="I1068" s="139">
        <f t="shared" si="234"/>
        <v>0</v>
      </c>
      <c r="J1068" s="135"/>
      <c r="K1068" s="138">
        <v>-0.5</v>
      </c>
      <c r="L1068" s="138"/>
      <c r="M1068" s="139">
        <f>ROUND($K1068*D1068,0)</f>
        <v>0</v>
      </c>
    </row>
    <row r="1069" spans="1:13" hidden="1">
      <c r="A1069" s="136" t="s">
        <v>303</v>
      </c>
      <c r="C1069" s="135">
        <v>0</v>
      </c>
      <c r="D1069" s="135"/>
      <c r="E1069" s="135"/>
      <c r="F1069" s="138">
        <v>4.58</v>
      </c>
      <c r="G1069" s="138"/>
      <c r="H1069" s="139">
        <f t="shared" si="234"/>
        <v>0</v>
      </c>
      <c r="I1069" s="139">
        <f t="shared" si="234"/>
        <v>0</v>
      </c>
      <c r="J1069" s="135"/>
      <c r="K1069" s="138">
        <v>4.71</v>
      </c>
      <c r="L1069" s="138"/>
      <c r="M1069" s="139">
        <f>ROUND($K1069*D1069,0)</f>
        <v>0</v>
      </c>
    </row>
    <row r="1070" spans="1:13" hidden="1">
      <c r="A1070" s="136" t="s">
        <v>304</v>
      </c>
      <c r="C1070" s="135"/>
      <c r="D1070" s="135"/>
      <c r="E1070" s="135"/>
      <c r="F1070" s="138"/>
      <c r="G1070" s="138"/>
      <c r="H1070" s="139"/>
      <c r="I1070" s="139"/>
      <c r="J1070" s="135"/>
      <c r="K1070" s="138"/>
      <c r="L1070" s="138"/>
      <c r="M1070" s="139"/>
    </row>
    <row r="1071" spans="1:13" hidden="1">
      <c r="A1071" s="136" t="s">
        <v>305</v>
      </c>
      <c r="C1071" s="135"/>
      <c r="D1071" s="135"/>
      <c r="E1071" s="135"/>
      <c r="F1071" s="237"/>
      <c r="G1071" s="237"/>
      <c r="H1071" s="139"/>
      <c r="I1071" s="139"/>
      <c r="J1071" s="135"/>
      <c r="K1071" s="237"/>
      <c r="L1071" s="237"/>
      <c r="M1071" s="139"/>
    </row>
    <row r="1072" spans="1:13" hidden="1">
      <c r="A1072" s="136" t="s">
        <v>306</v>
      </c>
      <c r="B1072" s="220"/>
      <c r="C1072" s="135">
        <v>0</v>
      </c>
      <c r="D1072" s="135"/>
      <c r="E1072" s="135"/>
      <c r="F1072" s="237">
        <v>0.88</v>
      </c>
      <c r="G1072" s="237"/>
      <c r="H1072" s="139">
        <f>ROUND($F1072*C1072,0)</f>
        <v>0</v>
      </c>
      <c r="I1072" s="139">
        <f>ROUND($F1072*D1072,0)</f>
        <v>0</v>
      </c>
      <c r="J1072" s="135"/>
      <c r="K1072" s="237">
        <v>0.73</v>
      </c>
      <c r="L1072" s="237"/>
      <c r="M1072" s="139">
        <f>ROUND($K1072*D1072,0)</f>
        <v>0</v>
      </c>
    </row>
    <row r="1073" spans="1:13" hidden="1">
      <c r="A1073" s="136" t="s">
        <v>307</v>
      </c>
      <c r="B1073" s="220"/>
      <c r="C1073" s="135">
        <v>0</v>
      </c>
      <c r="D1073" s="135"/>
      <c r="E1073" s="135"/>
      <c r="F1073" s="237">
        <v>0.78</v>
      </c>
      <c r="G1073" s="237"/>
      <c r="H1073" s="139">
        <f>ROUND($F1073*C1073,0)</f>
        <v>0</v>
      </c>
      <c r="I1073" s="139">
        <f>ROUND($F1073*D1073,0)</f>
        <v>0</v>
      </c>
      <c r="J1073" s="135"/>
      <c r="K1073" s="237">
        <v>0.64</v>
      </c>
      <c r="L1073" s="237"/>
      <c r="M1073" s="139">
        <f>ROUND($K1073*D1073,0)</f>
        <v>0</v>
      </c>
    </row>
    <row r="1074" spans="1:13" hidden="1">
      <c r="A1074" s="136" t="s">
        <v>308</v>
      </c>
      <c r="C1074" s="135"/>
      <c r="D1074" s="135"/>
      <c r="E1074" s="135"/>
      <c r="F1074" s="238"/>
      <c r="G1074" s="238"/>
      <c r="H1074" s="139"/>
      <c r="I1074" s="139"/>
      <c r="J1074" s="135"/>
      <c r="K1074" s="238"/>
      <c r="L1074" s="238"/>
      <c r="M1074" s="139"/>
    </row>
    <row r="1075" spans="1:13" hidden="1">
      <c r="A1075" s="136" t="s">
        <v>306</v>
      </c>
      <c r="B1075" s="220"/>
      <c r="C1075" s="135">
        <v>0</v>
      </c>
      <c r="D1075" s="135"/>
      <c r="E1075" s="135"/>
      <c r="F1075" s="238">
        <v>0.44</v>
      </c>
      <c r="G1075" s="238"/>
      <c r="H1075" s="139">
        <f>ROUND($F1075*C1075,0)</f>
        <v>0</v>
      </c>
      <c r="I1075" s="139">
        <f>ROUND($F1075*D1075,0)</f>
        <v>0</v>
      </c>
      <c r="J1075" s="135"/>
      <c r="K1075" s="237">
        <v>0.37</v>
      </c>
      <c r="L1075" s="238"/>
      <c r="M1075" s="139">
        <f>ROUND($K1075*D1075,0)</f>
        <v>0</v>
      </c>
    </row>
    <row r="1076" spans="1:13" hidden="1">
      <c r="A1076" s="136" t="s">
        <v>307</v>
      </c>
      <c r="B1076" s="220"/>
      <c r="C1076" s="135">
        <v>0</v>
      </c>
      <c r="D1076" s="135"/>
      <c r="E1076" s="135"/>
      <c r="F1076" s="238">
        <v>0.39</v>
      </c>
      <c r="G1076" s="238"/>
      <c r="H1076" s="139">
        <f>ROUND($F1076*C1076,0)</f>
        <v>0</v>
      </c>
      <c r="I1076" s="139">
        <f>ROUND($F1076*D1076,0)</f>
        <v>0</v>
      </c>
      <c r="J1076" s="135"/>
      <c r="K1076" s="237">
        <v>0.32</v>
      </c>
      <c r="L1076" s="238"/>
      <c r="M1076" s="139">
        <f>ROUND($K1076*D1076,0)</f>
        <v>0</v>
      </c>
    </row>
    <row r="1077" spans="1:13" hidden="1">
      <c r="A1077" s="136" t="s">
        <v>309</v>
      </c>
      <c r="C1077" s="135"/>
      <c r="D1077" s="135"/>
      <c r="E1077" s="135"/>
      <c r="F1077" s="138"/>
      <c r="G1077" s="138"/>
      <c r="H1077" s="139"/>
      <c r="I1077" s="139"/>
      <c r="J1077" s="135"/>
      <c r="K1077" s="138"/>
      <c r="L1077" s="138"/>
      <c r="M1077" s="139"/>
    </row>
    <row r="1078" spans="1:13" hidden="1">
      <c r="A1078" s="136" t="s">
        <v>306</v>
      </c>
      <c r="B1078" s="220"/>
      <c r="C1078" s="135">
        <v>0</v>
      </c>
      <c r="D1078" s="135"/>
      <c r="E1078" s="135"/>
      <c r="F1078" s="138">
        <v>39.56</v>
      </c>
      <c r="G1078" s="138"/>
      <c r="H1078" s="139">
        <f>ROUND($F1078*C1078,0)</f>
        <v>0</v>
      </c>
      <c r="I1078" s="139">
        <f>ROUND($F1078*D1078,0)</f>
        <v>0</v>
      </c>
      <c r="J1078" s="135"/>
      <c r="K1078" s="237">
        <v>40</v>
      </c>
      <c r="L1078" s="138"/>
      <c r="M1078" s="139">
        <f>ROUND($K1078*D1078,0)</f>
        <v>0</v>
      </c>
    </row>
    <row r="1079" spans="1:13" hidden="1">
      <c r="A1079" s="136" t="s">
        <v>307</v>
      </c>
      <c r="B1079" s="220"/>
      <c r="C1079" s="135">
        <v>0</v>
      </c>
      <c r="D1079" s="135"/>
      <c r="E1079" s="135"/>
      <c r="F1079" s="138">
        <v>35.01</v>
      </c>
      <c r="G1079" s="138"/>
      <c r="H1079" s="139">
        <f>ROUND($F1079*C1079,0)</f>
        <v>0</v>
      </c>
      <c r="I1079" s="139">
        <f>ROUND($F1079*D1079,0)</f>
        <v>0</v>
      </c>
      <c r="J1079" s="135"/>
      <c r="K1079" s="237">
        <v>36.28</v>
      </c>
      <c r="L1079" s="138"/>
      <c r="M1079" s="139">
        <f>ROUND($K1079*D1079,0)</f>
        <v>0</v>
      </c>
    </row>
    <row r="1080" spans="1:13" hidden="1">
      <c r="A1080" s="235" t="s">
        <v>311</v>
      </c>
      <c r="C1080" s="135"/>
      <c r="D1080" s="135"/>
      <c r="E1080" s="135"/>
      <c r="J1080" s="135"/>
    </row>
    <row r="1081" spans="1:13" hidden="1">
      <c r="A1081" s="136" t="s">
        <v>301</v>
      </c>
      <c r="C1081" s="135">
        <v>36</v>
      </c>
      <c r="D1081" s="135">
        <v>36</v>
      </c>
      <c r="E1081" s="135"/>
      <c r="F1081" s="138">
        <v>696</v>
      </c>
      <c r="G1081" s="138"/>
      <c r="H1081" s="139">
        <f t="shared" ref="H1081:I1083" si="235">ROUND($F1081*C1081,0)</f>
        <v>25056</v>
      </c>
      <c r="I1081" s="139">
        <f t="shared" si="235"/>
        <v>25056</v>
      </c>
      <c r="J1081" s="135"/>
      <c r="K1081" s="138">
        <v>829</v>
      </c>
      <c r="L1081" s="138"/>
      <c r="M1081" s="139">
        <f>ROUND($K1081*D1081,0)</f>
        <v>29844</v>
      </c>
    </row>
    <row r="1082" spans="1:13" hidden="1">
      <c r="A1082" s="136" t="s">
        <v>109</v>
      </c>
      <c r="C1082" s="135">
        <v>36</v>
      </c>
      <c r="D1082" s="135">
        <v>25.023355779832894</v>
      </c>
      <c r="E1082" s="135"/>
      <c r="F1082" s="138">
        <v>-0.5</v>
      </c>
      <c r="G1082" s="138"/>
      <c r="H1082" s="139">
        <f t="shared" si="235"/>
        <v>-18</v>
      </c>
      <c r="I1082" s="139">
        <f t="shared" si="235"/>
        <v>-13</v>
      </c>
      <c r="J1082" s="135"/>
      <c r="K1082" s="138">
        <v>-0.5</v>
      </c>
      <c r="L1082" s="138"/>
      <c r="M1082" s="139">
        <f>ROUND($K1082*D1082,0)</f>
        <v>-13</v>
      </c>
    </row>
    <row r="1083" spans="1:13" hidden="1">
      <c r="A1083" s="136" t="s">
        <v>303</v>
      </c>
      <c r="C1083" s="135">
        <v>222000</v>
      </c>
      <c r="D1083" s="135">
        <f>ROUND($C1083*D$1115/$C$1115,0)</f>
        <v>115670</v>
      </c>
      <c r="E1083" s="135"/>
      <c r="F1083" s="138">
        <v>2.7</v>
      </c>
      <c r="G1083" s="138"/>
      <c r="H1083" s="139">
        <f t="shared" si="235"/>
        <v>599400</v>
      </c>
      <c r="I1083" s="139">
        <f t="shared" si="235"/>
        <v>312309</v>
      </c>
      <c r="J1083" s="135"/>
      <c r="K1083" s="138">
        <v>2.9</v>
      </c>
      <c r="L1083" s="138"/>
      <c r="M1083" s="139">
        <f>ROUND($K1083*D1083,0)</f>
        <v>335443</v>
      </c>
    </row>
    <row r="1084" spans="1:13" hidden="1">
      <c r="A1084" s="136" t="s">
        <v>304</v>
      </c>
      <c r="C1084" s="135"/>
      <c r="D1084" s="135"/>
      <c r="E1084" s="135"/>
      <c r="F1084" s="190"/>
      <c r="G1084" s="190"/>
      <c r="H1084" s="139"/>
      <c r="I1084" s="139"/>
      <c r="J1084" s="135"/>
      <c r="K1084" s="190"/>
      <c r="L1084" s="190"/>
      <c r="M1084" s="139"/>
    </row>
    <row r="1085" spans="1:13" hidden="1">
      <c r="A1085" s="136" t="s">
        <v>305</v>
      </c>
      <c r="C1085" s="135"/>
      <c r="D1085" s="135"/>
      <c r="E1085" s="135"/>
      <c r="F1085" s="237"/>
      <c r="G1085" s="237"/>
      <c r="H1085" s="139"/>
      <c r="I1085" s="139"/>
      <c r="J1085" s="135"/>
      <c r="K1085" s="237"/>
      <c r="L1085" s="237"/>
      <c r="M1085" s="139"/>
    </row>
    <row r="1086" spans="1:13" hidden="1">
      <c r="A1086" s="136" t="s">
        <v>306</v>
      </c>
      <c r="B1086" s="220"/>
      <c r="C1086" s="135">
        <v>1093951</v>
      </c>
      <c r="D1086" s="135">
        <f>ROUND($C1086*D$1115/$C$1115,0)</f>
        <v>569990</v>
      </c>
      <c r="E1086" s="135"/>
      <c r="F1086" s="237">
        <v>0.78</v>
      </c>
      <c r="G1086" s="237"/>
      <c r="H1086" s="139">
        <f>ROUND($F1086*C1086,0)</f>
        <v>853282</v>
      </c>
      <c r="I1086" s="139">
        <f>ROUND($F1086*D1086,0)</f>
        <v>444592</v>
      </c>
      <c r="J1086" s="135"/>
      <c r="K1086" s="237">
        <v>0.68</v>
      </c>
      <c r="L1086" s="237"/>
      <c r="M1086" s="139">
        <f>ROUND($K1086*D1086,0)</f>
        <v>387593</v>
      </c>
    </row>
    <row r="1087" spans="1:13" hidden="1">
      <c r="A1087" s="136" t="s">
        <v>307</v>
      </c>
      <c r="B1087" s="220"/>
      <c r="C1087" s="135">
        <v>1476179</v>
      </c>
      <c r="D1087" s="135">
        <f>ROUND($C1087*D$1115/$C$1115,0)</f>
        <v>769146</v>
      </c>
      <c r="E1087" s="135"/>
      <c r="F1087" s="237">
        <v>0.69</v>
      </c>
      <c r="G1087" s="237"/>
      <c r="H1087" s="139">
        <f>ROUND($F1087*C1087,0)</f>
        <v>1018564</v>
      </c>
      <c r="I1087" s="139">
        <f>ROUND($F1087*D1087,0)</f>
        <v>530711</v>
      </c>
      <c r="J1087" s="135"/>
      <c r="K1087" s="237">
        <v>0.6</v>
      </c>
      <c r="L1087" s="237"/>
      <c r="M1087" s="139">
        <f>ROUND($K1087*D1087,0)</f>
        <v>461488</v>
      </c>
    </row>
    <row r="1088" spans="1:13" hidden="1">
      <c r="A1088" s="136" t="s">
        <v>308</v>
      </c>
      <c r="C1088" s="135"/>
      <c r="D1088" s="135"/>
      <c r="E1088" s="135"/>
      <c r="F1088" s="238"/>
      <c r="G1088" s="238"/>
      <c r="H1088" s="139"/>
      <c r="I1088" s="139"/>
      <c r="J1088" s="135"/>
      <c r="K1088" s="238"/>
      <c r="L1088" s="238"/>
      <c r="M1088" s="139"/>
    </row>
    <row r="1089" spans="1:13" hidden="1">
      <c r="A1089" s="136" t="s">
        <v>306</v>
      </c>
      <c r="B1089" s="220"/>
      <c r="C1089" s="135">
        <v>0</v>
      </c>
      <c r="D1089" s="135">
        <f>ROUND($C1089*D$1115/$C$1115,0)</f>
        <v>0</v>
      </c>
      <c r="E1089" s="135"/>
      <c r="F1089" s="238">
        <v>0.39</v>
      </c>
      <c r="G1089" s="238"/>
      <c r="H1089" s="139">
        <f>ROUND($F1089*C1089,0)</f>
        <v>0</v>
      </c>
      <c r="I1089" s="139">
        <f>ROUND($F1089*D1089,0)</f>
        <v>0</v>
      </c>
      <c r="J1089" s="135"/>
      <c r="K1089" s="237">
        <v>0.34</v>
      </c>
      <c r="L1089" s="238"/>
      <c r="M1089" s="139">
        <f>ROUND($K1089*D1089,0)</f>
        <v>0</v>
      </c>
    </row>
    <row r="1090" spans="1:13" hidden="1">
      <c r="A1090" s="136" t="s">
        <v>307</v>
      </c>
      <c r="B1090" s="220"/>
      <c r="C1090" s="135">
        <v>0</v>
      </c>
      <c r="D1090" s="135">
        <f>ROUND($C1090*D$1115/$C$1115,0)</f>
        <v>0</v>
      </c>
      <c r="E1090" s="135"/>
      <c r="F1090" s="238">
        <v>0.34499999999999997</v>
      </c>
      <c r="G1090" s="238"/>
      <c r="H1090" s="139">
        <f>ROUND($F1090*C1090,0)</f>
        <v>0</v>
      </c>
      <c r="I1090" s="139">
        <f>ROUND($F1090*D1090,0)</f>
        <v>0</v>
      </c>
      <c r="J1090" s="135"/>
      <c r="K1090" s="237">
        <v>0.3</v>
      </c>
      <c r="L1090" s="238"/>
      <c r="M1090" s="139">
        <f>ROUND($K1090*D1090,0)</f>
        <v>0</v>
      </c>
    </row>
    <row r="1091" spans="1:13" hidden="1">
      <c r="A1091" s="136" t="s">
        <v>309</v>
      </c>
      <c r="C1091" s="135"/>
      <c r="D1091" s="135"/>
      <c r="E1091" s="135"/>
      <c r="F1091" s="138"/>
      <c r="G1091" s="138"/>
      <c r="H1091" s="139"/>
      <c r="I1091" s="139"/>
      <c r="J1091" s="135"/>
      <c r="K1091" s="138"/>
      <c r="L1091" s="138"/>
      <c r="M1091" s="139"/>
    </row>
    <row r="1092" spans="1:13" hidden="1">
      <c r="A1092" s="136" t="s">
        <v>306</v>
      </c>
      <c r="B1092" s="220"/>
      <c r="C1092" s="135">
        <v>20</v>
      </c>
      <c r="D1092" s="135">
        <f>ROUND($C1092*D$1115/$C$1115,0)</f>
        <v>10</v>
      </c>
      <c r="E1092" s="135"/>
      <c r="F1092" s="138">
        <v>33.21</v>
      </c>
      <c r="G1092" s="138"/>
      <c r="H1092" s="139">
        <f>ROUND($F1092*C1092,0)</f>
        <v>664</v>
      </c>
      <c r="I1092" s="139">
        <f>ROUND($F1092*D1092,0)</f>
        <v>332</v>
      </c>
      <c r="J1092" s="135"/>
      <c r="K1092" s="237">
        <v>34.479999999999997</v>
      </c>
      <c r="L1092" s="138"/>
      <c r="M1092" s="139">
        <f>ROUND($K1092*D1092,0)</f>
        <v>345</v>
      </c>
    </row>
    <row r="1093" spans="1:13" hidden="1">
      <c r="A1093" s="136" t="s">
        <v>307</v>
      </c>
      <c r="B1093" s="220"/>
      <c r="C1093" s="135">
        <v>48</v>
      </c>
      <c r="D1093" s="135">
        <f>ROUND($C1093*D$1115/$C$1115,0)</f>
        <v>25</v>
      </c>
      <c r="E1093" s="135"/>
      <c r="F1093" s="138">
        <v>29.39</v>
      </c>
      <c r="G1093" s="138"/>
      <c r="H1093" s="139">
        <f>ROUND($F1093*C1093,0)</f>
        <v>1411</v>
      </c>
      <c r="I1093" s="139">
        <f>ROUND($F1093*D1093,0)</f>
        <v>735</v>
      </c>
      <c r="J1093" s="135"/>
      <c r="K1093" s="237">
        <v>31.06</v>
      </c>
      <c r="L1093" s="138"/>
      <c r="M1093" s="139">
        <f>ROUND($K1093*D1093,0)</f>
        <v>777</v>
      </c>
    </row>
    <row r="1094" spans="1:13" hidden="1">
      <c r="A1094" s="136" t="s">
        <v>312</v>
      </c>
      <c r="C1094" s="230"/>
      <c r="D1094" s="230"/>
      <c r="E1094" s="137"/>
      <c r="F1094" s="193"/>
      <c r="G1094" s="193"/>
      <c r="H1094" s="228">
        <f>SUM(H1053:H1093)</f>
        <v>2498359</v>
      </c>
      <c r="I1094" s="228">
        <f>SUM(I1053:I1093)</f>
        <v>1313722</v>
      </c>
      <c r="J1094" s="137"/>
      <c r="K1094" s="193"/>
      <c r="L1094" s="193"/>
      <c r="M1094" s="228">
        <f>SUM(M1053:M1093)</f>
        <v>1215477</v>
      </c>
    </row>
    <row r="1095" spans="1:13" hidden="1">
      <c r="A1095" s="235" t="s">
        <v>313</v>
      </c>
    </row>
    <row r="1096" spans="1:13" hidden="1">
      <c r="A1096" s="133" t="s">
        <v>317</v>
      </c>
      <c r="C1096" s="135"/>
      <c r="D1096" s="135"/>
      <c r="E1096" s="135"/>
      <c r="F1096" s="190"/>
      <c r="G1096" s="190"/>
      <c r="H1096" s="139"/>
      <c r="I1096" s="139"/>
      <c r="J1096" s="135"/>
      <c r="K1096" s="190"/>
      <c r="L1096" s="190"/>
      <c r="M1096" s="139"/>
    </row>
    <row r="1097" spans="1:13" hidden="1">
      <c r="A1097" s="136" t="s">
        <v>144</v>
      </c>
      <c r="C1097" s="135">
        <v>0</v>
      </c>
      <c r="D1097" s="135"/>
      <c r="E1097" s="135"/>
      <c r="F1097" s="190">
        <v>4.8099999999999996</v>
      </c>
      <c r="G1097" s="190"/>
      <c r="H1097" s="139">
        <f t="shared" ref="H1097:I1099" si="236">ROUND($F1097*C1097,0)</f>
        <v>0</v>
      </c>
      <c r="I1097" s="139">
        <f t="shared" si="236"/>
        <v>0</v>
      </c>
      <c r="J1097" s="135"/>
      <c r="K1097" s="190">
        <v>4.95</v>
      </c>
      <c r="L1097" s="190"/>
      <c r="M1097" s="139">
        <f>ROUND($K1097*D1097,0)</f>
        <v>0</v>
      </c>
    </row>
    <row r="1098" spans="1:13" hidden="1">
      <c r="A1098" s="136" t="s">
        <v>180</v>
      </c>
      <c r="C1098" s="135">
        <v>0</v>
      </c>
      <c r="D1098" s="135"/>
      <c r="E1098" s="135"/>
      <c r="F1098" s="190">
        <v>15.73</v>
      </c>
      <c r="G1098" s="190"/>
      <c r="H1098" s="139">
        <f t="shared" si="236"/>
        <v>0</v>
      </c>
      <c r="I1098" s="139">
        <f t="shared" si="236"/>
        <v>0</v>
      </c>
      <c r="J1098" s="135"/>
      <c r="K1098" s="190">
        <v>16.18</v>
      </c>
      <c r="L1098" s="190"/>
      <c r="M1098" s="139">
        <f>ROUND($K1098*D1098,0)</f>
        <v>0</v>
      </c>
    </row>
    <row r="1099" spans="1:13" hidden="1">
      <c r="A1099" s="136" t="s">
        <v>181</v>
      </c>
      <c r="C1099" s="135">
        <v>0</v>
      </c>
      <c r="D1099" s="135"/>
      <c r="E1099" s="135"/>
      <c r="F1099" s="190">
        <v>13.92</v>
      </c>
      <c r="G1099" s="190"/>
      <c r="H1099" s="139">
        <f t="shared" si="236"/>
        <v>0</v>
      </c>
      <c r="I1099" s="139">
        <f t="shared" si="236"/>
        <v>0</v>
      </c>
      <c r="J1099" s="135"/>
      <c r="K1099" s="190">
        <v>14.32</v>
      </c>
      <c r="L1099" s="190"/>
      <c r="M1099" s="139">
        <f>ROUND($K1099*D1099,0)</f>
        <v>0</v>
      </c>
    </row>
    <row r="1100" spans="1:13" hidden="1">
      <c r="A1100" s="136" t="s">
        <v>111</v>
      </c>
      <c r="C1100" s="135">
        <v>0</v>
      </c>
      <c r="D1100" s="135"/>
      <c r="E1100" s="135"/>
      <c r="F1100" s="193">
        <v>5.8281999999999998</v>
      </c>
      <c r="G1100" s="163" t="s">
        <v>112</v>
      </c>
      <c r="H1100" s="139">
        <f t="shared" ref="H1100:I1103" si="237">ROUND($F1100*C1100/100,0)</f>
        <v>0</v>
      </c>
      <c r="I1100" s="139">
        <f t="shared" si="237"/>
        <v>0</v>
      </c>
      <c r="J1100" s="135"/>
      <c r="K1100" s="193">
        <v>5.9962999999999997</v>
      </c>
      <c r="L1100" s="163" t="s">
        <v>112</v>
      </c>
      <c r="M1100" s="139">
        <f>ROUND($K1100*D1100/100,0)</f>
        <v>0</v>
      </c>
    </row>
    <row r="1101" spans="1:13" hidden="1">
      <c r="A1101" s="136" t="s">
        <v>114</v>
      </c>
      <c r="C1101" s="135">
        <v>0</v>
      </c>
      <c r="D1101" s="135"/>
      <c r="E1101" s="135"/>
      <c r="F1101" s="193">
        <v>2.9624000000000001</v>
      </c>
      <c r="G1101" s="163" t="s">
        <v>112</v>
      </c>
      <c r="H1101" s="139">
        <f t="shared" si="237"/>
        <v>0</v>
      </c>
      <c r="I1101" s="139">
        <f t="shared" si="237"/>
        <v>0</v>
      </c>
      <c r="J1101" s="135"/>
      <c r="K1101" s="193">
        <v>3.0478000000000001</v>
      </c>
      <c r="L1101" s="163" t="s">
        <v>112</v>
      </c>
      <c r="M1101" s="139">
        <f>ROUND($K1101*D1101/100,0)</f>
        <v>0</v>
      </c>
    </row>
    <row r="1102" spans="1:13" hidden="1">
      <c r="A1102" s="136" t="s">
        <v>183</v>
      </c>
      <c r="C1102" s="135">
        <v>0</v>
      </c>
      <c r="D1102" s="135"/>
      <c r="E1102" s="135"/>
      <c r="F1102" s="193">
        <v>5.1577000000000002</v>
      </c>
      <c r="G1102" s="163" t="s">
        <v>112</v>
      </c>
      <c r="H1102" s="139">
        <f t="shared" si="237"/>
        <v>0</v>
      </c>
      <c r="I1102" s="139">
        <f t="shared" si="237"/>
        <v>0</v>
      </c>
      <c r="J1102" s="135"/>
      <c r="K1102" s="193">
        <v>5.3064</v>
      </c>
      <c r="L1102" s="163" t="s">
        <v>112</v>
      </c>
      <c r="M1102" s="139">
        <f>ROUND($K1102*D1102/100,0)</f>
        <v>0</v>
      </c>
    </row>
    <row r="1103" spans="1:13" hidden="1">
      <c r="A1103" s="136" t="s">
        <v>185</v>
      </c>
      <c r="C1103" s="135">
        <v>0</v>
      </c>
      <c r="D1103" s="135"/>
      <c r="E1103" s="135"/>
      <c r="F1103" s="193">
        <v>2.6215999999999999</v>
      </c>
      <c r="G1103" s="163" t="s">
        <v>112</v>
      </c>
      <c r="H1103" s="139">
        <f t="shared" si="237"/>
        <v>0</v>
      </c>
      <c r="I1103" s="139">
        <f t="shared" si="237"/>
        <v>0</v>
      </c>
      <c r="J1103" s="135"/>
      <c r="K1103" s="193">
        <v>2.6972</v>
      </c>
      <c r="L1103" s="163" t="s">
        <v>112</v>
      </c>
      <c r="M1103" s="139">
        <f>ROUND($K1103*D1103/100,0)</f>
        <v>0</v>
      </c>
    </row>
    <row r="1104" spans="1:13" hidden="1">
      <c r="A1104" s="136" t="s">
        <v>150</v>
      </c>
      <c r="C1104" s="135">
        <v>0</v>
      </c>
      <c r="D1104" s="135"/>
      <c r="E1104" s="135"/>
      <c r="F1104" s="190">
        <v>-1.1299999999999999</v>
      </c>
      <c r="G1104" s="190"/>
      <c r="H1104" s="139">
        <f>ROUND($F1104*C1104,0)</f>
        <v>0</v>
      </c>
      <c r="I1104" s="139">
        <f>ROUND($F1104*D1104,0)</f>
        <v>0</v>
      </c>
      <c r="J1104" s="135"/>
      <c r="K1104" s="190">
        <v>-1.1299999999999999</v>
      </c>
      <c r="L1104" s="190"/>
      <c r="M1104" s="139">
        <f>ROUND($K1104*D1104,0)</f>
        <v>0</v>
      </c>
    </row>
    <row r="1105" spans="1:13" hidden="1">
      <c r="A1105" s="133" t="s">
        <v>473</v>
      </c>
      <c r="C1105" s="135"/>
      <c r="D1105" s="135"/>
      <c r="E1105" s="135"/>
      <c r="F1105" s="190"/>
      <c r="G1105" s="190"/>
      <c r="H1105" s="139"/>
      <c r="I1105" s="139"/>
      <c r="J1105" s="135"/>
      <c r="K1105" s="190"/>
      <c r="L1105" s="190"/>
      <c r="M1105" s="139"/>
    </row>
    <row r="1106" spans="1:13" hidden="1">
      <c r="A1106" s="136" t="s">
        <v>144</v>
      </c>
      <c r="C1106" s="135">
        <v>89639</v>
      </c>
      <c r="D1106" s="135">
        <f>ROUND($C1106*D$1115/$C$1115,0)</f>
        <v>46705</v>
      </c>
      <c r="E1106" s="135"/>
      <c r="F1106" s="190">
        <v>2.2799999999999998</v>
      </c>
      <c r="G1106" s="190"/>
      <c r="H1106" s="139">
        <f t="shared" ref="H1106:I1108" si="238">ROUND($F1106*C1106,0)</f>
        <v>204377</v>
      </c>
      <c r="I1106" s="139">
        <f t="shared" si="238"/>
        <v>106487</v>
      </c>
      <c r="J1106" s="135"/>
      <c r="K1106" s="190">
        <v>2.37</v>
      </c>
      <c r="L1106" s="190"/>
      <c r="M1106" s="139">
        <f>ROUND($K1106*D1106,0)</f>
        <v>110691</v>
      </c>
    </row>
    <row r="1107" spans="1:13" hidden="1">
      <c r="A1107" s="136" t="s">
        <v>180</v>
      </c>
      <c r="C1107" s="135">
        <v>27297</v>
      </c>
      <c r="D1107" s="135">
        <f>ROUND($C1107*D$1115/$C$1115,0)</f>
        <v>14223</v>
      </c>
      <c r="E1107" s="135"/>
      <c r="F1107" s="190">
        <v>14.33</v>
      </c>
      <c r="G1107" s="190"/>
      <c r="H1107" s="139">
        <f t="shared" si="238"/>
        <v>391166</v>
      </c>
      <c r="I1107" s="139">
        <f t="shared" si="238"/>
        <v>203816</v>
      </c>
      <c r="J1107" s="135"/>
      <c r="K1107" s="190">
        <v>14.87</v>
      </c>
      <c r="L1107" s="190"/>
      <c r="M1107" s="139">
        <f>ROUND($K1107*D1107,0)</f>
        <v>211496</v>
      </c>
    </row>
    <row r="1108" spans="1:13" hidden="1">
      <c r="A1108" s="136" t="s">
        <v>181</v>
      </c>
      <c r="C1108" s="135">
        <v>61644</v>
      </c>
      <c r="D1108" s="135">
        <f>ROUND($C1108*D$1115/$C$1115,0)</f>
        <v>32119</v>
      </c>
      <c r="E1108" s="135"/>
      <c r="F1108" s="190">
        <v>12.68</v>
      </c>
      <c r="G1108" s="190"/>
      <c r="H1108" s="139">
        <f t="shared" si="238"/>
        <v>781646</v>
      </c>
      <c r="I1108" s="139">
        <f t="shared" si="238"/>
        <v>407269</v>
      </c>
      <c r="J1108" s="135"/>
      <c r="K1108" s="190">
        <v>13.16</v>
      </c>
      <c r="L1108" s="190"/>
      <c r="M1108" s="139">
        <f>ROUND($K1108*D1108,0)</f>
        <v>422686</v>
      </c>
    </row>
    <row r="1109" spans="1:13" hidden="1">
      <c r="A1109" s="136" t="s">
        <v>111</v>
      </c>
      <c r="C1109" s="135">
        <v>9735853</v>
      </c>
      <c r="D1109" s="135">
        <f>ROUND($C1109*D$1115/($C$1115-$C$1114),0)</f>
        <v>5073976</v>
      </c>
      <c r="E1109" s="135"/>
      <c r="F1109" s="198">
        <v>5.1477000000000004</v>
      </c>
      <c r="G1109" s="163" t="s">
        <v>112</v>
      </c>
      <c r="H1109" s="139">
        <f t="shared" ref="H1109:I1112" si="239">ROUND($F1109*C1109/100,0)</f>
        <v>501173</v>
      </c>
      <c r="I1109" s="139">
        <f t="shared" si="239"/>
        <v>261193</v>
      </c>
      <c r="J1109" s="135"/>
      <c r="K1109" s="198">
        <v>5.3414000000000001</v>
      </c>
      <c r="L1109" s="163" t="s">
        <v>112</v>
      </c>
      <c r="M1109" s="139">
        <f>ROUND($K1109*D1109/100,0)</f>
        <v>271021</v>
      </c>
    </row>
    <row r="1110" spans="1:13" hidden="1">
      <c r="A1110" s="136" t="s">
        <v>114</v>
      </c>
      <c r="C1110" s="135">
        <v>36671832</v>
      </c>
      <c r="D1110" s="135">
        <f t="shared" ref="D1110:D1112" si="240">ROUND($C1110*D$1115/($C$1115-$C$1114),0)</f>
        <v>19112037</v>
      </c>
      <c r="E1110" s="135"/>
      <c r="F1110" s="198">
        <v>2.6164999999999998</v>
      </c>
      <c r="G1110" s="163" t="s">
        <v>112</v>
      </c>
      <c r="H1110" s="139">
        <f t="shared" si="239"/>
        <v>959518</v>
      </c>
      <c r="I1110" s="139">
        <f t="shared" si="239"/>
        <v>500066</v>
      </c>
      <c r="J1110" s="135"/>
      <c r="K1110" s="198">
        <v>2.7149000000000001</v>
      </c>
      <c r="L1110" s="163" t="s">
        <v>112</v>
      </c>
      <c r="M1110" s="139">
        <f>ROUND($K1110*D1110/100,0)</f>
        <v>518873</v>
      </c>
    </row>
    <row r="1111" spans="1:13" hidden="1">
      <c r="A1111" s="136" t="s">
        <v>183</v>
      </c>
      <c r="C1111" s="135">
        <v>15243649</v>
      </c>
      <c r="D1111" s="135">
        <f t="shared" si="240"/>
        <v>7944440</v>
      </c>
      <c r="E1111" s="135"/>
      <c r="F1111" s="198">
        <v>4.5555000000000003</v>
      </c>
      <c r="G1111" s="163" t="s">
        <v>112</v>
      </c>
      <c r="H1111" s="139">
        <f t="shared" si="239"/>
        <v>694424</v>
      </c>
      <c r="I1111" s="139">
        <f t="shared" si="239"/>
        <v>361909</v>
      </c>
      <c r="J1111" s="135"/>
      <c r="K1111" s="198">
        <v>4.7268999999999997</v>
      </c>
      <c r="L1111" s="163" t="s">
        <v>112</v>
      </c>
      <c r="M1111" s="139">
        <f>ROUND($K1111*D1111/100,0)</f>
        <v>375526</v>
      </c>
    </row>
    <row r="1112" spans="1:13" hidden="1">
      <c r="A1112" s="136" t="s">
        <v>185</v>
      </c>
      <c r="C1112" s="135">
        <v>57149575</v>
      </c>
      <c r="D1112" s="214">
        <f t="shared" si="240"/>
        <v>29784298</v>
      </c>
      <c r="E1112" s="214"/>
      <c r="F1112" s="239">
        <v>2.3155000000000001</v>
      </c>
      <c r="G1112" s="163" t="s">
        <v>112</v>
      </c>
      <c r="H1112" s="217">
        <f t="shared" si="239"/>
        <v>1323298</v>
      </c>
      <c r="I1112" s="217">
        <f t="shared" si="239"/>
        <v>689655</v>
      </c>
      <c r="J1112" s="214"/>
      <c r="K1112" s="239">
        <v>2.4026000000000001</v>
      </c>
      <c r="L1112" s="163" t="s">
        <v>112</v>
      </c>
      <c r="M1112" s="217">
        <f>ROUND($K1112*D1112/100,0)</f>
        <v>715598</v>
      </c>
    </row>
    <row r="1113" spans="1:13" hidden="1">
      <c r="A1113" s="136" t="s">
        <v>312</v>
      </c>
      <c r="C1113" s="135"/>
      <c r="D1113" s="135"/>
      <c r="E1113" s="135"/>
      <c r="F1113" s="198"/>
      <c r="G1113" s="163"/>
      <c r="H1113" s="139">
        <f>SUM(H1097:H1112)</f>
        <v>4855602</v>
      </c>
      <c r="I1113" s="139">
        <f>SUM(I1097:I1112)</f>
        <v>2530395</v>
      </c>
      <c r="J1113" s="135"/>
      <c r="K1113" s="198"/>
      <c r="L1113" s="163"/>
      <c r="M1113" s="139">
        <f>SUM(M1097:M1112)</f>
        <v>2625891</v>
      </c>
    </row>
    <row r="1114" spans="1:13" hidden="1">
      <c r="A1114" s="172" t="s">
        <v>125</v>
      </c>
      <c r="B1114" s="173"/>
      <c r="C1114" s="135">
        <v>28679</v>
      </c>
      <c r="D1114" s="135"/>
      <c r="E1114" s="135"/>
      <c r="F1114" s="174"/>
      <c r="G1114" s="13"/>
      <c r="H1114" s="139">
        <v>16646</v>
      </c>
      <c r="I1114" s="139"/>
      <c r="J1114" s="135"/>
      <c r="K1114" s="174"/>
      <c r="L1114" s="13"/>
      <c r="M1114" s="139"/>
    </row>
    <row r="1115" spans="1:13" ht="16.5" hidden="1" thickBot="1">
      <c r="A1115" s="176" t="s">
        <v>316</v>
      </c>
      <c r="B1115" s="177"/>
      <c r="C1115" s="178">
        <f>SUM(C1100:C1103,C1109:C1112,C1114)</f>
        <v>118829588</v>
      </c>
      <c r="D1115" s="178">
        <v>61914751</v>
      </c>
      <c r="E1115" s="178"/>
      <c r="F1115" s="177"/>
      <c r="G1115" s="177"/>
      <c r="H1115" s="179">
        <f>H1094+H1113+H1114</f>
        <v>7370607</v>
      </c>
      <c r="I1115" s="179">
        <f>I1094+I1113+I1114</f>
        <v>3844117</v>
      </c>
      <c r="J1115" s="178"/>
      <c r="K1115" s="177"/>
      <c r="L1115" s="177"/>
      <c r="M1115" s="179">
        <f>M1094+M1113+M1114</f>
        <v>3841368</v>
      </c>
    </row>
    <row r="1116" spans="1:13" hidden="1"/>
    <row r="1117" spans="1:13" ht="18.75">
      <c r="A1117" s="240" t="s">
        <v>318</v>
      </c>
      <c r="C1117" s="135"/>
      <c r="D1117" s="135"/>
      <c r="E1117" s="135"/>
      <c r="F1117" s="193"/>
      <c r="G1117" s="193"/>
      <c r="J1117" s="135"/>
      <c r="K1117" s="193"/>
      <c r="L1117" s="193"/>
    </row>
    <row r="1118" spans="1:13">
      <c r="A1118" s="172" t="s">
        <v>319</v>
      </c>
      <c r="C1118" s="135"/>
      <c r="D1118" s="135"/>
      <c r="E1118" s="135"/>
      <c r="J1118" s="135"/>
    </row>
    <row r="1119" spans="1:13">
      <c r="A1119" s="172" t="s">
        <v>320</v>
      </c>
      <c r="B1119" s="220"/>
      <c r="C1119" s="236"/>
      <c r="D1119" s="135"/>
      <c r="E1119" s="135"/>
      <c r="F1119" s="241">
        <v>55</v>
      </c>
      <c r="G1119" s="138"/>
      <c r="H1119" s="139">
        <f t="shared" ref="H1119:I1121" si="241">ROUND($F1119*C1119,0)</f>
        <v>0</v>
      </c>
      <c r="I1119" s="139">
        <f t="shared" si="241"/>
        <v>0</v>
      </c>
      <c r="J1119" s="135"/>
      <c r="K1119" s="138">
        <v>56</v>
      </c>
      <c r="L1119" s="138"/>
      <c r="M1119" s="139">
        <f>ROUND($K1119*D1119,0)</f>
        <v>0</v>
      </c>
    </row>
    <row r="1120" spans="1:13">
      <c r="A1120" s="172" t="s">
        <v>321</v>
      </c>
      <c r="B1120" s="220"/>
      <c r="C1120" s="236"/>
      <c r="D1120" s="135"/>
      <c r="E1120" s="135"/>
      <c r="F1120" s="241">
        <v>72</v>
      </c>
      <c r="G1120" s="138"/>
      <c r="H1120" s="139">
        <f t="shared" si="241"/>
        <v>0</v>
      </c>
      <c r="I1120" s="139">
        <f t="shared" si="241"/>
        <v>0</v>
      </c>
      <c r="J1120" s="135"/>
      <c r="K1120" s="138">
        <v>74</v>
      </c>
      <c r="L1120" s="138"/>
      <c r="M1120" s="139">
        <f>ROUND($K1120*D1120,0)</f>
        <v>0</v>
      </c>
    </row>
    <row r="1121" spans="1:13">
      <c r="A1121" s="172" t="s">
        <v>322</v>
      </c>
      <c r="B1121" s="220"/>
      <c r="C1121" s="236">
        <v>36</v>
      </c>
      <c r="D1121" s="135">
        <v>36</v>
      </c>
      <c r="E1121" s="135"/>
      <c r="F1121" s="242">
        <v>266</v>
      </c>
      <c r="G1121" s="190"/>
      <c r="H1121" s="139">
        <f t="shared" si="241"/>
        <v>9576</v>
      </c>
      <c r="I1121" s="139">
        <f t="shared" si="241"/>
        <v>9576</v>
      </c>
      <c r="J1121" s="135"/>
      <c r="K1121" s="138">
        <v>282</v>
      </c>
      <c r="L1121" s="190"/>
      <c r="M1121" s="139">
        <f>ROUND($K1121*D1121,0)</f>
        <v>10152</v>
      </c>
    </row>
    <row r="1122" spans="1:13">
      <c r="A1122" s="172" t="s">
        <v>323</v>
      </c>
      <c r="B1122" s="220"/>
      <c r="C1122" s="236"/>
      <c r="D1122" s="135"/>
      <c r="E1122" s="135"/>
      <c r="F1122" s="241"/>
      <c r="G1122" s="237"/>
      <c r="H1122" s="139"/>
      <c r="I1122" s="139"/>
      <c r="J1122" s="135"/>
      <c r="K1122" s="241"/>
      <c r="L1122" s="237"/>
      <c r="M1122" s="139"/>
    </row>
    <row r="1123" spans="1:13">
      <c r="A1123" s="172" t="s">
        <v>324</v>
      </c>
      <c r="B1123" s="220"/>
      <c r="C1123" s="236">
        <v>12</v>
      </c>
      <c r="D1123" s="135">
        <f>$C1123/$C$1121*D$1121</f>
        <v>12</v>
      </c>
      <c r="E1123" s="135"/>
      <c r="F1123" s="241">
        <v>113</v>
      </c>
      <c r="G1123" s="237"/>
      <c r="H1123" s="139">
        <f t="shared" ref="H1123:I1125" si="242">ROUND($F1123*C1123,0)</f>
        <v>1356</v>
      </c>
      <c r="I1123" s="139">
        <f t="shared" si="242"/>
        <v>1356</v>
      </c>
      <c r="J1123" s="135"/>
      <c r="K1123" s="138">
        <v>118</v>
      </c>
      <c r="L1123" s="237"/>
      <c r="M1123" s="139">
        <f>ROUND($K1123*D1123,0)</f>
        <v>1416</v>
      </c>
    </row>
    <row r="1124" spans="1:13" s="243" customFormat="1">
      <c r="A1124" s="172" t="s">
        <v>325</v>
      </c>
      <c r="B1124" s="220"/>
      <c r="C1124" s="236">
        <v>36</v>
      </c>
      <c r="D1124" s="135">
        <f>$C1124/$C$1121*D$1121</f>
        <v>36</v>
      </c>
      <c r="E1124" s="135"/>
      <c r="F1124" s="241">
        <v>154</v>
      </c>
      <c r="G1124" s="237"/>
      <c r="H1124" s="139">
        <f t="shared" si="242"/>
        <v>5544</v>
      </c>
      <c r="I1124" s="139">
        <f t="shared" si="242"/>
        <v>5544</v>
      </c>
      <c r="J1124" s="135"/>
      <c r="K1124" s="138">
        <v>161</v>
      </c>
      <c r="L1124" s="237"/>
      <c r="M1124" s="139">
        <f>ROUND($K1124*D1124,0)</f>
        <v>5796</v>
      </c>
    </row>
    <row r="1125" spans="1:13" s="243" customFormat="1">
      <c r="A1125" s="136" t="s">
        <v>109</v>
      </c>
      <c r="B1125" s="114"/>
      <c r="C1125" s="135"/>
      <c r="D1125" s="135">
        <v>25.023355779832894</v>
      </c>
      <c r="E1125" s="135"/>
      <c r="F1125" s="138">
        <v>-0.5</v>
      </c>
      <c r="G1125" s="138"/>
      <c r="H1125" s="139">
        <f t="shared" si="242"/>
        <v>0</v>
      </c>
      <c r="I1125" s="139">
        <f t="shared" si="242"/>
        <v>-13</v>
      </c>
      <c r="J1125" s="135"/>
      <c r="K1125" s="138">
        <v>-0.5</v>
      </c>
      <c r="L1125" s="138"/>
      <c r="M1125" s="139">
        <f>ROUND($K1125*D1125,0)</f>
        <v>-13</v>
      </c>
    </row>
    <row r="1126" spans="1:13" s="243" customFormat="1">
      <c r="A1126" s="172" t="s">
        <v>326</v>
      </c>
      <c r="B1126" s="220"/>
      <c r="C1126" s="236"/>
      <c r="D1126" s="135"/>
      <c r="E1126" s="135"/>
      <c r="F1126" s="242"/>
      <c r="G1126" s="238"/>
      <c r="H1126" s="139"/>
      <c r="I1126" s="139"/>
      <c r="J1126" s="135"/>
      <c r="K1126" s="242"/>
      <c r="L1126" s="238"/>
      <c r="M1126" s="139"/>
    </row>
    <row r="1127" spans="1:13" s="243" customFormat="1">
      <c r="A1127" s="172" t="s">
        <v>327</v>
      </c>
      <c r="B1127" s="220"/>
      <c r="C1127" s="236"/>
      <c r="D1127" s="135"/>
      <c r="E1127" s="135"/>
      <c r="F1127" s="241">
        <v>7.52</v>
      </c>
      <c r="G1127" s="237"/>
      <c r="H1127" s="139">
        <f t="shared" ref="H1127:I1131" si="243">ROUND($F1127*C1127,0)</f>
        <v>0</v>
      </c>
      <c r="I1127" s="139">
        <f t="shared" si="243"/>
        <v>0</v>
      </c>
      <c r="J1127" s="135"/>
      <c r="K1127" s="138">
        <v>8.67</v>
      </c>
      <c r="L1127" s="237"/>
      <c r="M1127" s="139">
        <f>ROUND($K1127*D1127,0)</f>
        <v>0</v>
      </c>
    </row>
    <row r="1128" spans="1:13" s="243" customFormat="1">
      <c r="A1128" s="172" t="s">
        <v>328</v>
      </c>
      <c r="B1128" s="220"/>
      <c r="C1128" s="236"/>
      <c r="D1128" s="135"/>
      <c r="E1128" s="135"/>
      <c r="F1128" s="241">
        <v>6.56</v>
      </c>
      <c r="G1128" s="237"/>
      <c r="H1128" s="139">
        <f t="shared" si="243"/>
        <v>0</v>
      </c>
      <c r="I1128" s="139">
        <f t="shared" si="243"/>
        <v>0</v>
      </c>
      <c r="J1128" s="135"/>
      <c r="K1128" s="138">
        <v>7.84</v>
      </c>
      <c r="L1128" s="237"/>
      <c r="M1128" s="139">
        <f>ROUND($K1128*D1128,0)</f>
        <v>0</v>
      </c>
    </row>
    <row r="1129" spans="1:13" s="243" customFormat="1">
      <c r="A1129" s="172" t="s">
        <v>329</v>
      </c>
      <c r="B1129" s="220"/>
      <c r="C1129" s="236"/>
      <c r="D1129" s="135"/>
      <c r="E1129" s="135"/>
      <c r="F1129" s="241">
        <v>8.3699999999999992</v>
      </c>
      <c r="G1129" s="138"/>
      <c r="H1129" s="139">
        <f t="shared" si="243"/>
        <v>0</v>
      </c>
      <c r="I1129" s="139">
        <f t="shared" si="243"/>
        <v>0</v>
      </c>
      <c r="J1129" s="135"/>
      <c r="K1129" s="138">
        <v>9.9600000000000009</v>
      </c>
      <c r="L1129" s="138"/>
      <c r="M1129" s="139">
        <f>ROUND($K1129*D1129,0)</f>
        <v>0</v>
      </c>
    </row>
    <row r="1130" spans="1:13" s="243" customFormat="1">
      <c r="A1130" s="172" t="s">
        <v>330</v>
      </c>
      <c r="B1130" s="220"/>
      <c r="C1130" s="236"/>
      <c r="D1130" s="135"/>
      <c r="E1130" s="135"/>
      <c r="F1130" s="241">
        <v>7.24</v>
      </c>
      <c r="G1130" s="237"/>
      <c r="H1130" s="139">
        <f t="shared" si="243"/>
        <v>0</v>
      </c>
      <c r="I1130" s="139">
        <f t="shared" si="243"/>
        <v>0</v>
      </c>
      <c r="J1130" s="135"/>
      <c r="K1130" s="138">
        <v>9.33</v>
      </c>
      <c r="L1130" s="237"/>
      <c r="M1130" s="139">
        <f>ROUND($K1130*D1130,0)</f>
        <v>0</v>
      </c>
    </row>
    <row r="1131" spans="1:13" s="243" customFormat="1">
      <c r="A1131" s="172" t="s">
        <v>322</v>
      </c>
      <c r="B1131" s="220"/>
      <c r="C1131" s="236">
        <v>221576</v>
      </c>
      <c r="D1131" s="135">
        <f>$C1131*D$1150/$C$1150</f>
        <v>331031.77717170806</v>
      </c>
      <c r="E1131" s="135"/>
      <c r="F1131" s="241">
        <v>4.3499999999999996</v>
      </c>
      <c r="G1131" s="237"/>
      <c r="H1131" s="139">
        <f t="shared" si="243"/>
        <v>963856</v>
      </c>
      <c r="I1131" s="139">
        <f t="shared" si="243"/>
        <v>1439988</v>
      </c>
      <c r="J1131" s="135"/>
      <c r="K1131" s="138">
        <v>4.99</v>
      </c>
      <c r="L1131" s="237"/>
      <c r="M1131" s="139">
        <f>ROUND($K1131*D1131,0)</f>
        <v>1651849</v>
      </c>
    </row>
    <row r="1132" spans="1:13" s="243" customFormat="1">
      <c r="A1132" s="172" t="s">
        <v>331</v>
      </c>
      <c r="B1132" s="114"/>
      <c r="C1132" s="236"/>
      <c r="D1132" s="135"/>
      <c r="E1132" s="135"/>
      <c r="F1132" s="242"/>
      <c r="G1132" s="114"/>
      <c r="H1132" s="114"/>
      <c r="I1132" s="114"/>
      <c r="J1132" s="135"/>
      <c r="K1132" s="242"/>
      <c r="L1132" s="114"/>
      <c r="M1132" s="114"/>
    </row>
    <row r="1133" spans="1:13" s="243" customFormat="1">
      <c r="A1133" s="172" t="s">
        <v>332</v>
      </c>
      <c r="B1133" s="114"/>
      <c r="C1133" s="236"/>
      <c r="D1133" s="135"/>
      <c r="E1133" s="135"/>
      <c r="F1133" s="241"/>
      <c r="G1133" s="138"/>
      <c r="H1133" s="139"/>
      <c r="I1133" s="139"/>
      <c r="J1133" s="135"/>
      <c r="K1133" s="241"/>
      <c r="L1133" s="138"/>
      <c r="M1133" s="139"/>
    </row>
    <row r="1134" spans="1:13" s="243" customFormat="1">
      <c r="A1134" s="172" t="s">
        <v>333</v>
      </c>
      <c r="B1134" s="114"/>
      <c r="C1134" s="236"/>
      <c r="D1134" s="135"/>
      <c r="E1134" s="135"/>
      <c r="F1134" s="241">
        <v>0.56999999999999995</v>
      </c>
      <c r="G1134" s="138"/>
      <c r="H1134" s="139">
        <f>ROUND($F1134*C1134,0)</f>
        <v>0</v>
      </c>
      <c r="I1134" s="139">
        <f>ROUND($F1134*D1134,0)</f>
        <v>0</v>
      </c>
      <c r="J1134" s="135"/>
      <c r="K1134" s="138">
        <v>0.43</v>
      </c>
      <c r="L1134" s="138"/>
      <c r="M1134" s="139">
        <f>ROUND($K1134*D1134,0)</f>
        <v>0</v>
      </c>
    </row>
    <row r="1135" spans="1:13" s="243" customFormat="1">
      <c r="A1135" s="172" t="s">
        <v>334</v>
      </c>
      <c r="B1135" s="114"/>
      <c r="C1135" s="236"/>
      <c r="D1135" s="135"/>
      <c r="E1135" s="135"/>
      <c r="F1135" s="241">
        <v>0.48</v>
      </c>
      <c r="G1135" s="138"/>
      <c r="H1135" s="139">
        <f>ROUND($F1135*C1135,0)</f>
        <v>0</v>
      </c>
      <c r="I1135" s="139">
        <f>ROUND($F1135*D1135,0)</f>
        <v>0</v>
      </c>
      <c r="J1135" s="135"/>
      <c r="K1135" s="138">
        <v>0.36</v>
      </c>
      <c r="L1135" s="138"/>
      <c r="M1135" s="139">
        <f>ROUND($K1135*D1135,0)</f>
        <v>0</v>
      </c>
    </row>
    <row r="1136" spans="1:13" s="243" customFormat="1">
      <c r="A1136" s="172" t="s">
        <v>335</v>
      </c>
      <c r="B1136" s="114"/>
      <c r="C1136" s="236"/>
      <c r="D1136" s="135"/>
      <c r="E1136" s="135"/>
      <c r="F1136" s="241"/>
      <c r="G1136" s="237"/>
      <c r="H1136" s="139"/>
      <c r="I1136" s="139"/>
      <c r="J1136" s="135"/>
      <c r="K1136" s="241"/>
      <c r="L1136" s="237"/>
      <c r="M1136" s="139"/>
    </row>
    <row r="1137" spans="1:13" s="243" customFormat="1">
      <c r="A1137" s="172" t="s">
        <v>333</v>
      </c>
      <c r="B1137" s="114"/>
      <c r="C1137" s="236"/>
      <c r="D1137" s="135"/>
      <c r="E1137" s="135"/>
      <c r="F1137" s="241">
        <v>0.56999999999999995</v>
      </c>
      <c r="G1137" s="237"/>
      <c r="H1137" s="139">
        <f>ROUND($F1137*C1137,0)</f>
        <v>0</v>
      </c>
      <c r="I1137" s="139">
        <f>ROUND($F1137*D1137,0)</f>
        <v>0</v>
      </c>
      <c r="J1137" s="135"/>
      <c r="K1137" s="138">
        <v>0.43</v>
      </c>
      <c r="L1137" s="237"/>
      <c r="M1137" s="139">
        <f>ROUND($K1137*D1137,0)</f>
        <v>0</v>
      </c>
    </row>
    <row r="1138" spans="1:13" s="243" customFormat="1">
      <c r="A1138" s="172" t="s">
        <v>334</v>
      </c>
      <c r="B1138" s="114"/>
      <c r="C1138" s="236"/>
      <c r="D1138" s="135"/>
      <c r="E1138" s="135"/>
      <c r="F1138" s="241">
        <v>0.47</v>
      </c>
      <c r="G1138" s="237"/>
      <c r="H1138" s="139">
        <f>ROUND($F1138*C1138,0)</f>
        <v>0</v>
      </c>
      <c r="I1138" s="139">
        <f>ROUND($F1138*D1138,0)</f>
        <v>0</v>
      </c>
      <c r="J1138" s="135"/>
      <c r="K1138" s="138">
        <v>0.35</v>
      </c>
      <c r="L1138" s="237"/>
      <c r="M1138" s="139">
        <f>ROUND($K1138*D1138,0)</f>
        <v>0</v>
      </c>
    </row>
    <row r="1139" spans="1:13" s="243" customFormat="1">
      <c r="A1139" s="172" t="s">
        <v>336</v>
      </c>
      <c r="B1139" s="114"/>
      <c r="C1139" s="236"/>
      <c r="D1139" s="135"/>
      <c r="E1139" s="135"/>
      <c r="F1139" s="242"/>
      <c r="G1139" s="238"/>
      <c r="H1139" s="139"/>
      <c r="I1139" s="139"/>
      <c r="J1139" s="135"/>
      <c r="K1139" s="242"/>
      <c r="L1139" s="238"/>
      <c r="M1139" s="139"/>
    </row>
    <row r="1140" spans="1:13" s="243" customFormat="1">
      <c r="A1140" s="172" t="s">
        <v>333</v>
      </c>
      <c r="B1140" s="114"/>
      <c r="C1140" s="236"/>
      <c r="D1140" s="135"/>
      <c r="E1140" s="135"/>
      <c r="F1140" s="241">
        <v>0.72</v>
      </c>
      <c r="G1140" s="237"/>
      <c r="H1140" s="139">
        <f>ROUND($F1140*C1140,0)</f>
        <v>0</v>
      </c>
      <c r="I1140" s="139">
        <f>ROUND($F1140*D1140,0)</f>
        <v>0</v>
      </c>
      <c r="J1140" s="135"/>
      <c r="K1140" s="138">
        <v>0.53</v>
      </c>
      <c r="L1140" s="237"/>
      <c r="M1140" s="139">
        <f>ROUND($K1140*D1140,0)</f>
        <v>0</v>
      </c>
    </row>
    <row r="1141" spans="1:13" s="243" customFormat="1">
      <c r="A1141" s="172" t="s">
        <v>334</v>
      </c>
      <c r="B1141" s="114"/>
      <c r="C1141" s="236"/>
      <c r="D1141" s="135"/>
      <c r="E1141" s="135"/>
      <c r="F1141" s="241">
        <v>0.61</v>
      </c>
      <c r="G1141" s="237"/>
      <c r="H1141" s="139">
        <f>ROUND($F1141*C1141,0)</f>
        <v>0</v>
      </c>
      <c r="I1141" s="139">
        <f>ROUND($F1141*D1141,0)</f>
        <v>0</v>
      </c>
      <c r="J1141" s="135"/>
      <c r="K1141" s="138">
        <v>0.44</v>
      </c>
      <c r="L1141" s="237"/>
      <c r="M1141" s="139">
        <f>ROUND($K1141*D1141,0)</f>
        <v>0</v>
      </c>
    </row>
    <row r="1142" spans="1:13" s="243" customFormat="1">
      <c r="A1142" s="172" t="s">
        <v>337</v>
      </c>
      <c r="B1142" s="114"/>
      <c r="C1142" s="236"/>
      <c r="D1142" s="135"/>
      <c r="E1142" s="135"/>
      <c r="F1142" s="241"/>
      <c r="G1142" s="138"/>
      <c r="H1142" s="139"/>
      <c r="I1142" s="139"/>
      <c r="J1142" s="135"/>
      <c r="K1142" s="241"/>
      <c r="L1142" s="138"/>
      <c r="M1142" s="139"/>
    </row>
    <row r="1143" spans="1:13" s="243" customFormat="1">
      <c r="A1143" s="172" t="s">
        <v>333</v>
      </c>
      <c r="B1143" s="114"/>
      <c r="C1143" s="236"/>
      <c r="D1143" s="135"/>
      <c r="E1143" s="135"/>
      <c r="F1143" s="241">
        <v>0.71</v>
      </c>
      <c r="G1143" s="237"/>
      <c r="H1143" s="139">
        <f>ROUND($F1143*C1143,0)</f>
        <v>0</v>
      </c>
      <c r="I1143" s="139">
        <f>ROUND($F1143*D1143,0)</f>
        <v>0</v>
      </c>
      <c r="J1143" s="135"/>
      <c r="K1143" s="138">
        <v>0.51</v>
      </c>
      <c r="L1143" s="237"/>
      <c r="M1143" s="139">
        <f>ROUND($K1143*D1143,0)</f>
        <v>0</v>
      </c>
    </row>
    <row r="1144" spans="1:13" s="243" customFormat="1">
      <c r="A1144" s="172" t="s">
        <v>334</v>
      </c>
      <c r="B1144" s="114"/>
      <c r="C1144" s="236"/>
      <c r="D1144" s="135"/>
      <c r="E1144" s="135"/>
      <c r="F1144" s="241">
        <v>0.59</v>
      </c>
      <c r="G1144" s="237"/>
      <c r="H1144" s="139">
        <f>ROUND($F1144*C1144,0)</f>
        <v>0</v>
      </c>
      <c r="I1144" s="139">
        <f>ROUND($F1144*D1144,0)</f>
        <v>0</v>
      </c>
      <c r="J1144" s="135"/>
      <c r="K1144" s="138">
        <v>0.42</v>
      </c>
      <c r="L1144" s="237"/>
      <c r="M1144" s="139">
        <f>ROUND($K1144*D1144,0)</f>
        <v>0</v>
      </c>
    </row>
    <row r="1145" spans="1:13" s="243" customFormat="1">
      <c r="A1145" s="172" t="s">
        <v>338</v>
      </c>
      <c r="B1145" s="114"/>
      <c r="C1145" s="236"/>
      <c r="D1145" s="135"/>
      <c r="E1145" s="135"/>
      <c r="F1145" s="242"/>
      <c r="G1145" s="114"/>
      <c r="H1145" s="114"/>
      <c r="I1145" s="114"/>
      <c r="J1145" s="135"/>
      <c r="K1145" s="242"/>
      <c r="L1145" s="114"/>
      <c r="M1145" s="114"/>
    </row>
    <row r="1146" spans="1:13" s="243" customFormat="1">
      <c r="A1146" s="172" t="s">
        <v>333</v>
      </c>
      <c r="B1146" s="114"/>
      <c r="C1146" s="236">
        <v>1185785</v>
      </c>
      <c r="D1146" s="135">
        <f>$C1146*D$1150/$C$1150</f>
        <v>1771547.9830557182</v>
      </c>
      <c r="E1146" s="135"/>
      <c r="F1146" s="241">
        <v>0.71</v>
      </c>
      <c r="G1146" s="138"/>
      <c r="H1146" s="139">
        <f>ROUND($F1146*C1146,0)</f>
        <v>841907</v>
      </c>
      <c r="I1146" s="139">
        <f>ROUND($F1146*D1146,0)</f>
        <v>1257799</v>
      </c>
      <c r="J1146" s="135"/>
      <c r="K1146" s="138">
        <v>0.6</v>
      </c>
      <c r="L1146" s="138"/>
      <c r="M1146" s="139">
        <f>ROUND($K1146*D1146,0)</f>
        <v>1062929</v>
      </c>
    </row>
    <row r="1147" spans="1:13" s="243" customFormat="1">
      <c r="A1147" s="172" t="s">
        <v>334</v>
      </c>
      <c r="B1147" s="114"/>
      <c r="C1147" s="236">
        <v>982939</v>
      </c>
      <c r="D1147" s="135">
        <f>$C1147*D$1150/$C$1150</f>
        <v>1468498.5920017581</v>
      </c>
      <c r="E1147" s="135"/>
      <c r="F1147" s="241">
        <v>0.61</v>
      </c>
      <c r="G1147" s="138"/>
      <c r="H1147" s="139">
        <f>ROUND($F1147*C1147,0)</f>
        <v>599593</v>
      </c>
      <c r="I1147" s="139">
        <f>ROUND($F1147*D1147,0)</f>
        <v>895784</v>
      </c>
      <c r="J1147" s="135"/>
      <c r="K1147" s="138">
        <v>0.52</v>
      </c>
      <c r="L1147" s="138"/>
      <c r="M1147" s="139">
        <f>ROUND($K1147*D1147,0)</f>
        <v>763619</v>
      </c>
    </row>
    <row r="1148" spans="1:13" s="243" customFormat="1">
      <c r="A1148" s="136" t="s">
        <v>339</v>
      </c>
      <c r="B1148" s="114"/>
      <c r="C1148" s="135">
        <v>110915000</v>
      </c>
      <c r="D1148" s="135">
        <f>C1148</f>
        <v>110915000</v>
      </c>
      <c r="E1148" s="135"/>
      <c r="F1148" s="244"/>
      <c r="G1148" s="163"/>
      <c r="H1148" s="139"/>
      <c r="I1148" s="139"/>
      <c r="J1148" s="135"/>
      <c r="K1148" s="244"/>
      <c r="L1148" s="163"/>
      <c r="M1148" s="139"/>
    </row>
    <row r="1149" spans="1:13" s="243" customFormat="1">
      <c r="A1149" s="136" t="s">
        <v>340</v>
      </c>
      <c r="B1149" s="114"/>
      <c r="C1149" s="135">
        <v>0</v>
      </c>
      <c r="D1149" s="135">
        <v>54790625.000000007</v>
      </c>
      <c r="E1149" s="135"/>
      <c r="F1149" s="244"/>
      <c r="G1149" s="163"/>
      <c r="H1149" s="139"/>
      <c r="I1149" s="139"/>
      <c r="J1149" s="135"/>
      <c r="K1149" s="244"/>
      <c r="L1149" s="163"/>
      <c r="M1149" s="139"/>
    </row>
    <row r="1150" spans="1:13">
      <c r="A1150" s="136" t="s">
        <v>341</v>
      </c>
      <c r="C1150" s="230">
        <f>SUM(C1148:C1149)</f>
        <v>110915000</v>
      </c>
      <c r="D1150" s="230">
        <f>SUM(D1148:D1149)</f>
        <v>165705625</v>
      </c>
      <c r="E1150" s="137"/>
      <c r="F1150" s="193"/>
      <c r="G1150" s="193"/>
      <c r="H1150" s="228">
        <f>SUM(H1119:H1148)</f>
        <v>2421832</v>
      </c>
      <c r="I1150" s="228">
        <f>SUM(I1119:I1149)</f>
        <v>3610034</v>
      </c>
      <c r="J1150" s="137"/>
      <c r="K1150" s="193"/>
      <c r="L1150" s="193"/>
      <c r="M1150" s="228">
        <f t="shared" ref="M1150" si="244">SUM(M1119:M1149)</f>
        <v>3495748</v>
      </c>
    </row>
    <row r="1151" spans="1:13">
      <c r="A1151" s="245" t="s">
        <v>342</v>
      </c>
    </row>
    <row r="1152" spans="1:13">
      <c r="A1152" s="133" t="s">
        <v>343</v>
      </c>
      <c r="C1152" s="135"/>
      <c r="D1152" s="135"/>
      <c r="E1152" s="135"/>
      <c r="F1152" s="190"/>
      <c r="G1152" s="190"/>
      <c r="H1152" s="139"/>
      <c r="I1152" s="139"/>
      <c r="J1152" s="135"/>
      <c r="K1152" s="190"/>
      <c r="L1152" s="190"/>
      <c r="M1152" s="139"/>
    </row>
    <row r="1153" spans="1:13">
      <c r="A1153" s="172" t="s">
        <v>344</v>
      </c>
      <c r="C1153" s="135">
        <v>66944</v>
      </c>
      <c r="D1153" s="135">
        <f>$C1153*D$1160/$C$1160</f>
        <v>6241.8644327852708</v>
      </c>
      <c r="E1153" s="135"/>
      <c r="F1153" s="246">
        <v>2.2799999999999998</v>
      </c>
      <c r="G1153" s="246"/>
      <c r="H1153" s="139">
        <f t="shared" ref="H1153:I1155" si="245">ROUND($F1153*C1153,0)</f>
        <v>152632</v>
      </c>
      <c r="I1153" s="139">
        <f t="shared" si="245"/>
        <v>14231</v>
      </c>
      <c r="J1153" s="135"/>
      <c r="K1153" s="190">
        <v>2.37</v>
      </c>
      <c r="L1153" s="246"/>
      <c r="M1153" s="139">
        <f>ROUND($K1153*D1153,0)</f>
        <v>14793</v>
      </c>
    </row>
    <row r="1154" spans="1:13">
      <c r="A1154" s="136" t="s">
        <v>345</v>
      </c>
      <c r="C1154" s="135">
        <v>30457</v>
      </c>
      <c r="D1154" s="135">
        <f t="shared" ref="D1154:D1159" si="246">$C1154*D$1160/$C$1160</f>
        <v>2839.8133518962268</v>
      </c>
      <c r="E1154" s="135"/>
      <c r="F1154" s="246">
        <v>14.33</v>
      </c>
      <c r="G1154" s="246"/>
      <c r="H1154" s="139">
        <f t="shared" si="245"/>
        <v>436449</v>
      </c>
      <c r="I1154" s="139">
        <f t="shared" si="245"/>
        <v>40695</v>
      </c>
      <c r="J1154" s="135"/>
      <c r="K1154" s="190">
        <v>14.87</v>
      </c>
      <c r="L1154" s="246"/>
      <c r="M1154" s="139">
        <f>ROUND($K1154*D1154,0)</f>
        <v>42228</v>
      </c>
    </row>
    <row r="1155" spans="1:13">
      <c r="A1155" s="136" t="s">
        <v>346</v>
      </c>
      <c r="C1155" s="135">
        <v>32991</v>
      </c>
      <c r="D1155" s="135">
        <f t="shared" si="246"/>
        <v>3076.0837341960278</v>
      </c>
      <c r="E1155" s="135"/>
      <c r="F1155" s="246">
        <v>12.68</v>
      </c>
      <c r="G1155" s="246"/>
      <c r="H1155" s="139">
        <f t="shared" si="245"/>
        <v>418326</v>
      </c>
      <c r="I1155" s="139">
        <f t="shared" si="245"/>
        <v>39005</v>
      </c>
      <c r="J1155" s="135"/>
      <c r="K1155" s="190">
        <v>13.16</v>
      </c>
      <c r="L1155" s="246"/>
      <c r="M1155" s="139">
        <f>ROUND($K1155*D1155,0)</f>
        <v>40481</v>
      </c>
    </row>
    <row r="1156" spans="1:13">
      <c r="A1156" s="136" t="s">
        <v>347</v>
      </c>
      <c r="C1156" s="135">
        <v>10320583</v>
      </c>
      <c r="D1156" s="135">
        <f t="shared" si="246"/>
        <v>962292.06431208632</v>
      </c>
      <c r="E1156" s="135"/>
      <c r="F1156" s="244">
        <v>5.1477000000000004</v>
      </c>
      <c r="G1156" s="163" t="s">
        <v>112</v>
      </c>
      <c r="H1156" s="139">
        <f t="shared" ref="H1156:I1159" si="247">ROUND($F1156*C1156/100,0)</f>
        <v>531273</v>
      </c>
      <c r="I1156" s="139">
        <f t="shared" si="247"/>
        <v>49536</v>
      </c>
      <c r="J1156" s="135"/>
      <c r="K1156" s="198">
        <v>5.3414000000000001</v>
      </c>
      <c r="L1156" s="163" t="s">
        <v>112</v>
      </c>
      <c r="M1156" s="139">
        <f>ROUND($K1156*D1156/100,0)</f>
        <v>51400</v>
      </c>
    </row>
    <row r="1157" spans="1:13">
      <c r="A1157" s="136" t="s">
        <v>348</v>
      </c>
      <c r="C1157" s="135">
        <v>32543621</v>
      </c>
      <c r="D1157" s="135">
        <f t="shared" si="246"/>
        <v>3034370.0769888838</v>
      </c>
      <c r="E1157" s="135"/>
      <c r="F1157" s="244">
        <v>2.6164999999999998</v>
      </c>
      <c r="G1157" s="163" t="s">
        <v>112</v>
      </c>
      <c r="H1157" s="139">
        <f t="shared" si="247"/>
        <v>851504</v>
      </c>
      <c r="I1157" s="139">
        <f t="shared" si="247"/>
        <v>79394</v>
      </c>
      <c r="J1157" s="135"/>
      <c r="K1157" s="198">
        <v>2.7149000000000001</v>
      </c>
      <c r="L1157" s="163" t="s">
        <v>112</v>
      </c>
      <c r="M1157" s="139">
        <f>ROUND($K1157*D1157/100,0)</f>
        <v>82380</v>
      </c>
    </row>
    <row r="1158" spans="1:13">
      <c r="A1158" s="136" t="s">
        <v>349</v>
      </c>
      <c r="C1158" s="135">
        <v>9476892</v>
      </c>
      <c r="D1158" s="135">
        <f t="shared" si="246"/>
        <v>883626.24145774485</v>
      </c>
      <c r="E1158" s="135"/>
      <c r="F1158" s="244">
        <v>4.5555000000000003</v>
      </c>
      <c r="G1158" s="163" t="s">
        <v>112</v>
      </c>
      <c r="H1158" s="139">
        <f t="shared" si="247"/>
        <v>431720</v>
      </c>
      <c r="I1158" s="139">
        <f t="shared" si="247"/>
        <v>40254</v>
      </c>
      <c r="J1158" s="135"/>
      <c r="K1158" s="198">
        <v>4.7268999999999997</v>
      </c>
      <c r="L1158" s="163" t="s">
        <v>112</v>
      </c>
      <c r="M1158" s="139">
        <f>ROUND($K1158*D1158/100,0)</f>
        <v>41768</v>
      </c>
    </row>
    <row r="1159" spans="1:13">
      <c r="A1159" s="136" t="s">
        <v>350</v>
      </c>
      <c r="C1159" s="214">
        <v>36446787</v>
      </c>
      <c r="D1159" s="214">
        <f t="shared" si="246"/>
        <v>3398301.6172412853</v>
      </c>
      <c r="E1159" s="214"/>
      <c r="F1159" s="247">
        <v>2.3155000000000001</v>
      </c>
      <c r="G1159" s="163" t="s">
        <v>112</v>
      </c>
      <c r="H1159" s="217">
        <f t="shared" si="247"/>
        <v>843925</v>
      </c>
      <c r="I1159" s="217">
        <f t="shared" si="247"/>
        <v>78688</v>
      </c>
      <c r="J1159" s="214"/>
      <c r="K1159" s="239">
        <v>2.4026000000000001</v>
      </c>
      <c r="L1159" s="163" t="s">
        <v>112</v>
      </c>
      <c r="M1159" s="217">
        <f>ROUND($K1159*D1159/100,0)</f>
        <v>81648</v>
      </c>
    </row>
    <row r="1160" spans="1:13">
      <c r="A1160" s="136" t="s">
        <v>341</v>
      </c>
      <c r="C1160" s="135">
        <f>SUM(C1156:C1159)</f>
        <v>88787883</v>
      </c>
      <c r="D1160" s="135">
        <f>D1162-D1150</f>
        <v>8278590</v>
      </c>
      <c r="E1160" s="135"/>
      <c r="F1160" s="198"/>
      <c r="G1160" s="163"/>
      <c r="H1160" s="139">
        <f>SUM(H1153:H1159)</f>
        <v>3665829</v>
      </c>
      <c r="I1160" s="139">
        <f>SUM(I1153:I1159)</f>
        <v>341803</v>
      </c>
      <c r="J1160" s="135"/>
      <c r="K1160" s="198"/>
      <c r="L1160" s="163"/>
      <c r="M1160" s="139">
        <f>SUM(M1153:M1159)</f>
        <v>354698</v>
      </c>
    </row>
    <row r="1161" spans="1:13">
      <c r="A1161" s="172" t="s">
        <v>125</v>
      </c>
      <c r="B1161" s="173"/>
      <c r="C1161" s="135">
        <v>1522784</v>
      </c>
      <c r="D1161" s="135"/>
      <c r="E1161" s="135"/>
      <c r="F1161" s="174"/>
      <c r="G1161" s="13"/>
      <c r="H1161" s="139">
        <v>46158</v>
      </c>
      <c r="I1161" s="139"/>
      <c r="J1161" s="135"/>
      <c r="K1161" s="174"/>
      <c r="L1161" s="13"/>
      <c r="M1161" s="139"/>
    </row>
    <row r="1162" spans="1:13" ht="16.5" thickBot="1">
      <c r="A1162" s="136" t="s">
        <v>351</v>
      </c>
      <c r="C1162" s="248">
        <f>SUM(C1150,C1160:C1161)</f>
        <v>201225667</v>
      </c>
      <c r="D1162" s="248">
        <v>173984215</v>
      </c>
      <c r="E1162" s="248"/>
      <c r="F1162" s="249"/>
      <c r="H1162" s="250">
        <f>H1150+H1160+H1161</f>
        <v>6133819</v>
      </c>
      <c r="I1162" s="250">
        <f>I1150+I1160+I1161</f>
        <v>3951837</v>
      </c>
      <c r="J1162" s="248"/>
      <c r="K1162" s="249"/>
      <c r="M1162" s="250">
        <f>M1150+M1160+M1161</f>
        <v>3850446</v>
      </c>
    </row>
    <row r="1163" spans="1:13" ht="16.5" thickTop="1"/>
    <row r="1164" spans="1:13" ht="18.75">
      <c r="A1164" s="240" t="s">
        <v>352</v>
      </c>
      <c r="C1164" s="135"/>
      <c r="D1164" s="135"/>
      <c r="E1164" s="135"/>
      <c r="F1164" s="193"/>
      <c r="G1164" s="193"/>
      <c r="J1164" s="135"/>
      <c r="K1164" s="193"/>
      <c r="L1164" s="193"/>
    </row>
    <row r="1165" spans="1:13">
      <c r="A1165" s="172" t="s">
        <v>319</v>
      </c>
      <c r="C1165" s="135"/>
      <c r="D1165" s="135"/>
      <c r="E1165" s="135"/>
      <c r="J1165" s="135"/>
    </row>
    <row r="1166" spans="1:13">
      <c r="A1166" s="172" t="s">
        <v>320</v>
      </c>
      <c r="B1166" s="220"/>
      <c r="C1166" s="236">
        <v>168</v>
      </c>
      <c r="D1166" s="135">
        <v>180</v>
      </c>
      <c r="E1166" s="135"/>
      <c r="F1166" s="241">
        <v>55</v>
      </c>
      <c r="G1166" s="138"/>
      <c r="H1166" s="139">
        <f t="shared" ref="H1166:I1168" si="248">ROUND($F1166*C1166,0)</f>
        <v>9240</v>
      </c>
      <c r="I1166" s="139">
        <f t="shared" si="248"/>
        <v>9900</v>
      </c>
      <c r="J1166" s="135"/>
      <c r="K1166" s="241">
        <v>56</v>
      </c>
      <c r="L1166" s="138"/>
      <c r="M1166" s="139">
        <f>ROUND($K1166*D1166,0)</f>
        <v>10080</v>
      </c>
    </row>
    <row r="1167" spans="1:13">
      <c r="A1167" s="172" t="s">
        <v>321</v>
      </c>
      <c r="B1167" s="220"/>
      <c r="C1167" s="236"/>
      <c r="D1167" s="135"/>
      <c r="E1167" s="135"/>
      <c r="F1167" s="241">
        <v>72</v>
      </c>
      <c r="G1167" s="138"/>
      <c r="H1167" s="139">
        <f t="shared" si="248"/>
        <v>0</v>
      </c>
      <c r="I1167" s="139">
        <f t="shared" si="248"/>
        <v>0</v>
      </c>
      <c r="J1167" s="135"/>
      <c r="K1167" s="241">
        <v>74</v>
      </c>
      <c r="L1167" s="138"/>
      <c r="M1167" s="139">
        <f>ROUND($K1167*D1167,0)</f>
        <v>0</v>
      </c>
    </row>
    <row r="1168" spans="1:13">
      <c r="A1168" s="172" t="s">
        <v>322</v>
      </c>
      <c r="B1168" s="220"/>
      <c r="C1168" s="236"/>
      <c r="D1168" s="135"/>
      <c r="E1168" s="135"/>
      <c r="F1168" s="242">
        <v>266</v>
      </c>
      <c r="G1168" s="190"/>
      <c r="H1168" s="139">
        <f t="shared" si="248"/>
        <v>0</v>
      </c>
      <c r="I1168" s="139">
        <f t="shared" si="248"/>
        <v>0</v>
      </c>
      <c r="J1168" s="135"/>
      <c r="K1168" s="241">
        <v>282</v>
      </c>
      <c r="L1168" s="190"/>
      <c r="M1168" s="139">
        <f>ROUND($K1168*D1168,0)</f>
        <v>0</v>
      </c>
    </row>
    <row r="1169" spans="1:13">
      <c r="A1169" s="172" t="s">
        <v>323</v>
      </c>
      <c r="B1169" s="220"/>
      <c r="C1169" s="236"/>
      <c r="D1169" s="135"/>
      <c r="E1169" s="135"/>
      <c r="F1169" s="241"/>
      <c r="G1169" s="237"/>
      <c r="H1169" s="139"/>
      <c r="I1169" s="139"/>
      <c r="J1169" s="135"/>
      <c r="K1169" s="241"/>
      <c r="L1169" s="237"/>
      <c r="M1169" s="139"/>
    </row>
    <row r="1170" spans="1:13">
      <c r="A1170" s="172" t="s">
        <v>324</v>
      </c>
      <c r="B1170" s="220"/>
      <c r="C1170" s="236"/>
      <c r="D1170" s="135">
        <f>D1166</f>
        <v>180</v>
      </c>
      <c r="E1170" s="135"/>
      <c r="F1170" s="241">
        <v>113</v>
      </c>
      <c r="G1170" s="237"/>
      <c r="H1170" s="139">
        <f t="shared" ref="H1170:I1172" si="249">ROUND($F1170*C1170,0)</f>
        <v>0</v>
      </c>
      <c r="I1170" s="139">
        <f t="shared" si="249"/>
        <v>20340</v>
      </c>
      <c r="J1170" s="135"/>
      <c r="K1170" s="241">
        <v>118</v>
      </c>
      <c r="L1170" s="237"/>
      <c r="M1170" s="139">
        <f>ROUND($K1170*D1170,0)</f>
        <v>21240</v>
      </c>
    </row>
    <row r="1171" spans="1:13" s="243" customFormat="1">
      <c r="A1171" s="172" t="s">
        <v>325</v>
      </c>
      <c r="B1171" s="220"/>
      <c r="C1171" s="236"/>
      <c r="D1171" s="135">
        <f>D1166</f>
        <v>180</v>
      </c>
      <c r="E1171" s="135"/>
      <c r="F1171" s="241">
        <v>154</v>
      </c>
      <c r="G1171" s="237"/>
      <c r="H1171" s="139">
        <f t="shared" si="249"/>
        <v>0</v>
      </c>
      <c r="I1171" s="139">
        <f t="shared" si="249"/>
        <v>27720</v>
      </c>
      <c r="J1171" s="135"/>
      <c r="K1171" s="241">
        <v>161</v>
      </c>
      <c r="L1171" s="237"/>
      <c r="M1171" s="139">
        <f>ROUND($K1171*D1171,0)</f>
        <v>28980</v>
      </c>
    </row>
    <row r="1172" spans="1:13" s="243" customFormat="1">
      <c r="A1172" s="136" t="s">
        <v>109</v>
      </c>
      <c r="B1172" s="114"/>
      <c r="C1172" s="135"/>
      <c r="D1172" s="135">
        <v>125.11677889916446</v>
      </c>
      <c r="E1172" s="135"/>
      <c r="F1172" s="138">
        <v>-0.5</v>
      </c>
      <c r="G1172" s="138"/>
      <c r="H1172" s="139">
        <f t="shared" si="249"/>
        <v>0</v>
      </c>
      <c r="I1172" s="139">
        <f t="shared" si="249"/>
        <v>-63</v>
      </c>
      <c r="J1172" s="135"/>
      <c r="K1172" s="241">
        <v>-0.5</v>
      </c>
      <c r="L1172" s="138"/>
      <c r="M1172" s="139">
        <f>ROUND($K1172*D1172,0)</f>
        <v>-63</v>
      </c>
    </row>
    <row r="1173" spans="1:13" s="243" customFormat="1">
      <c r="A1173" s="172" t="s">
        <v>326</v>
      </c>
      <c r="B1173" s="220"/>
      <c r="C1173" s="236"/>
      <c r="D1173" s="135"/>
      <c r="E1173" s="135"/>
      <c r="F1173" s="242"/>
      <c r="G1173" s="238"/>
      <c r="H1173" s="139"/>
      <c r="I1173" s="139"/>
      <c r="J1173" s="135"/>
      <c r="K1173" s="242"/>
      <c r="L1173" s="238"/>
      <c r="M1173" s="139"/>
    </row>
    <row r="1174" spans="1:13" s="243" customFormat="1">
      <c r="A1174" s="172" t="s">
        <v>327</v>
      </c>
      <c r="B1174" s="220"/>
      <c r="C1174" s="236"/>
      <c r="D1174" s="135">
        <f>D1131/D1150*D1196</f>
        <v>38856.800895956374</v>
      </c>
      <c r="E1174" s="135"/>
      <c r="F1174" s="241">
        <v>7.52</v>
      </c>
      <c r="G1174" s="237"/>
      <c r="H1174" s="139">
        <f t="shared" ref="H1174:I1178" si="250">ROUND($F1174*C1174,0)</f>
        <v>0</v>
      </c>
      <c r="I1174" s="139">
        <f t="shared" si="250"/>
        <v>292203</v>
      </c>
      <c r="J1174" s="135"/>
      <c r="K1174" s="241">
        <v>8.67</v>
      </c>
      <c r="L1174" s="237"/>
      <c r="M1174" s="139">
        <f>ROUND($K1174*D1174,0)</f>
        <v>336888</v>
      </c>
    </row>
    <row r="1175" spans="1:13" s="243" customFormat="1">
      <c r="A1175" s="172" t="s">
        <v>328</v>
      </c>
      <c r="B1175" s="220"/>
      <c r="C1175" s="236"/>
      <c r="D1175" s="135"/>
      <c r="E1175" s="135"/>
      <c r="F1175" s="241">
        <v>6.56</v>
      </c>
      <c r="G1175" s="237"/>
      <c r="H1175" s="139">
        <f t="shared" si="250"/>
        <v>0</v>
      </c>
      <c r="I1175" s="139">
        <f t="shared" si="250"/>
        <v>0</v>
      </c>
      <c r="J1175" s="135"/>
      <c r="K1175" s="241">
        <v>7.84</v>
      </c>
      <c r="L1175" s="237"/>
      <c r="M1175" s="139">
        <f>ROUND($K1175*D1175,0)</f>
        <v>0</v>
      </c>
    </row>
    <row r="1176" spans="1:13" s="243" customFormat="1">
      <c r="A1176" s="172" t="s">
        <v>329</v>
      </c>
      <c r="B1176" s="220"/>
      <c r="C1176" s="236"/>
      <c r="D1176" s="135"/>
      <c r="E1176" s="135"/>
      <c r="F1176" s="241">
        <v>8.3699999999999992</v>
      </c>
      <c r="G1176" s="138"/>
      <c r="H1176" s="139">
        <f t="shared" si="250"/>
        <v>0</v>
      </c>
      <c r="I1176" s="139">
        <f t="shared" si="250"/>
        <v>0</v>
      </c>
      <c r="J1176" s="135"/>
      <c r="K1176" s="241">
        <v>9.9600000000000009</v>
      </c>
      <c r="L1176" s="138"/>
      <c r="M1176" s="139">
        <f>ROUND($K1176*D1176,0)</f>
        <v>0</v>
      </c>
    </row>
    <row r="1177" spans="1:13" s="243" customFormat="1">
      <c r="A1177" s="172" t="s">
        <v>330</v>
      </c>
      <c r="B1177" s="220"/>
      <c r="C1177" s="236"/>
      <c r="D1177" s="135"/>
      <c r="E1177" s="135"/>
      <c r="F1177" s="241">
        <v>7.24</v>
      </c>
      <c r="G1177" s="237"/>
      <c r="H1177" s="139">
        <f t="shared" si="250"/>
        <v>0</v>
      </c>
      <c r="I1177" s="139">
        <f t="shared" si="250"/>
        <v>0</v>
      </c>
      <c r="J1177" s="135"/>
      <c r="K1177" s="241">
        <v>9.33</v>
      </c>
      <c r="L1177" s="237"/>
      <c r="M1177" s="139">
        <f>ROUND($K1177*D1177,0)</f>
        <v>0</v>
      </c>
    </row>
    <row r="1178" spans="1:13" s="243" customFormat="1">
      <c r="A1178" s="172" t="s">
        <v>322</v>
      </c>
      <c r="B1178" s="220"/>
      <c r="C1178" s="236"/>
      <c r="D1178" s="135"/>
      <c r="E1178" s="135"/>
      <c r="F1178" s="241">
        <v>4.3499999999999996</v>
      </c>
      <c r="G1178" s="237"/>
      <c r="H1178" s="139">
        <f t="shared" si="250"/>
        <v>0</v>
      </c>
      <c r="I1178" s="139">
        <f t="shared" si="250"/>
        <v>0</v>
      </c>
      <c r="J1178" s="135"/>
      <c r="K1178" s="241">
        <v>4.99</v>
      </c>
      <c r="L1178" s="237"/>
      <c r="M1178" s="139">
        <f>ROUND($K1178*D1178,0)</f>
        <v>0</v>
      </c>
    </row>
    <row r="1179" spans="1:13" s="243" customFormat="1">
      <c r="A1179" s="172" t="s">
        <v>331</v>
      </c>
      <c r="B1179" s="114"/>
      <c r="C1179" s="236"/>
      <c r="D1179" s="135"/>
      <c r="E1179" s="135"/>
      <c r="F1179" s="242"/>
      <c r="G1179" s="114"/>
      <c r="H1179" s="114"/>
      <c r="I1179" s="114"/>
      <c r="J1179" s="135"/>
      <c r="K1179" s="242"/>
      <c r="L1179" s="114"/>
      <c r="M1179" s="114"/>
    </row>
    <row r="1180" spans="1:13" s="243" customFormat="1">
      <c r="A1180" s="172" t="s">
        <v>332</v>
      </c>
      <c r="B1180" s="114"/>
      <c r="C1180" s="236"/>
      <c r="E1180" s="135"/>
      <c r="F1180" s="241"/>
      <c r="G1180" s="138"/>
      <c r="H1180" s="139"/>
      <c r="I1180" s="139"/>
      <c r="J1180" s="135"/>
      <c r="K1180" s="241"/>
      <c r="L1180" s="138"/>
      <c r="M1180" s="139"/>
    </row>
    <row r="1181" spans="1:13" s="243" customFormat="1">
      <c r="A1181" s="172" t="s">
        <v>333</v>
      </c>
      <c r="B1181" s="114"/>
      <c r="C1181" s="236"/>
      <c r="D1181" s="135">
        <f>($D$1208/$C$1208*C1200-D1200)*(365-(2*52+8))/12</f>
        <v>348935.13426884153</v>
      </c>
      <c r="E1181" s="135"/>
      <c r="F1181" s="241">
        <v>0.56999999999999995</v>
      </c>
      <c r="G1181" s="138"/>
      <c r="H1181" s="139">
        <f>ROUND($F1181*C1181,0)</f>
        <v>0</v>
      </c>
      <c r="I1181" s="139">
        <f>ROUND($F1181*D1181,0)</f>
        <v>198893</v>
      </c>
      <c r="J1181" s="135"/>
      <c r="K1181" s="241">
        <v>0.43</v>
      </c>
      <c r="L1181" s="138"/>
      <c r="M1181" s="139">
        <f>ROUND($K1181*D1181,0)</f>
        <v>150042</v>
      </c>
    </row>
    <row r="1182" spans="1:13" s="243" customFormat="1">
      <c r="A1182" s="172" t="s">
        <v>334</v>
      </c>
      <c r="B1182" s="114"/>
      <c r="C1182" s="236"/>
      <c r="D1182" s="135">
        <f>($D$1208/$C$1208*C1201-D1201)*(365-(2*52+8))/12</f>
        <v>530312.1945788915</v>
      </c>
      <c r="E1182" s="135"/>
      <c r="F1182" s="241">
        <v>0.48</v>
      </c>
      <c r="G1182" s="138"/>
      <c r="H1182" s="139">
        <f>ROUND($F1182*C1182,0)</f>
        <v>0</v>
      </c>
      <c r="I1182" s="139">
        <f>ROUND($F1182*D1182,0)</f>
        <v>254550</v>
      </c>
      <c r="J1182" s="135"/>
      <c r="K1182" s="241">
        <v>0.36</v>
      </c>
      <c r="L1182" s="138"/>
      <c r="M1182" s="139">
        <f>ROUND($K1182*D1182,0)</f>
        <v>190912</v>
      </c>
    </row>
    <row r="1183" spans="1:13" s="243" customFormat="1">
      <c r="A1183" s="172" t="s">
        <v>335</v>
      </c>
      <c r="B1183" s="114"/>
      <c r="C1183" s="236"/>
      <c r="D1183" s="135"/>
      <c r="E1183" s="135"/>
      <c r="F1183" s="241"/>
      <c r="G1183" s="237"/>
      <c r="H1183" s="139"/>
      <c r="I1183" s="139"/>
      <c r="J1183" s="135"/>
      <c r="K1183" s="241"/>
      <c r="L1183" s="237"/>
      <c r="M1183" s="139"/>
    </row>
    <row r="1184" spans="1:13" s="243" customFormat="1">
      <c r="A1184" s="172" t="s">
        <v>333</v>
      </c>
      <c r="B1184" s="114"/>
      <c r="C1184" s="236"/>
      <c r="D1184" s="135"/>
      <c r="E1184" s="135"/>
      <c r="F1184" s="241">
        <v>0.56999999999999995</v>
      </c>
      <c r="G1184" s="237"/>
      <c r="H1184" s="139">
        <f>ROUND($F1184*C1184,0)</f>
        <v>0</v>
      </c>
      <c r="I1184" s="139">
        <f>ROUND($F1184*D1184,0)</f>
        <v>0</v>
      </c>
      <c r="J1184" s="135"/>
      <c r="K1184" s="241">
        <v>0.43</v>
      </c>
      <c r="L1184" s="237"/>
      <c r="M1184" s="139">
        <f>ROUND($K1184*D1184,0)</f>
        <v>0</v>
      </c>
    </row>
    <row r="1185" spans="1:13" s="243" customFormat="1">
      <c r="A1185" s="172" t="s">
        <v>334</v>
      </c>
      <c r="B1185" s="114"/>
      <c r="C1185" s="236"/>
      <c r="D1185" s="135"/>
      <c r="E1185" s="135"/>
      <c r="F1185" s="241">
        <v>0.47</v>
      </c>
      <c r="G1185" s="237"/>
      <c r="H1185" s="139">
        <f>ROUND($F1185*C1185,0)</f>
        <v>0</v>
      </c>
      <c r="I1185" s="139">
        <f>ROUND($F1185*D1185,0)</f>
        <v>0</v>
      </c>
      <c r="J1185" s="135"/>
      <c r="K1185" s="241">
        <v>0.35</v>
      </c>
      <c r="L1185" s="237"/>
      <c r="M1185" s="139">
        <f>ROUND($K1185*D1185,0)</f>
        <v>0</v>
      </c>
    </row>
    <row r="1186" spans="1:13" s="243" customFormat="1">
      <c r="A1186" s="172" t="s">
        <v>336</v>
      </c>
      <c r="B1186" s="114"/>
      <c r="C1186" s="236"/>
      <c r="D1186" s="135"/>
      <c r="E1186" s="135"/>
      <c r="F1186" s="242"/>
      <c r="G1186" s="238"/>
      <c r="H1186" s="139"/>
      <c r="I1186" s="139"/>
      <c r="J1186" s="135"/>
      <c r="K1186" s="242"/>
      <c r="L1186" s="238"/>
      <c r="M1186" s="139"/>
    </row>
    <row r="1187" spans="1:13" s="243" customFormat="1">
      <c r="A1187" s="172" t="s">
        <v>333</v>
      </c>
      <c r="B1187" s="114"/>
      <c r="C1187" s="236"/>
      <c r="D1187" s="135"/>
      <c r="E1187" s="135"/>
      <c r="F1187" s="241">
        <v>0.72</v>
      </c>
      <c r="G1187" s="237"/>
      <c r="H1187" s="139">
        <f>ROUND($F1187*C1187,0)</f>
        <v>0</v>
      </c>
      <c r="I1187" s="139">
        <f>ROUND($F1187*D1187,0)</f>
        <v>0</v>
      </c>
      <c r="J1187" s="135"/>
      <c r="K1187" s="241">
        <v>0.53</v>
      </c>
      <c r="L1187" s="237"/>
      <c r="M1187" s="139">
        <f>ROUND($K1187*D1187,0)</f>
        <v>0</v>
      </c>
    </row>
    <row r="1188" spans="1:13" s="243" customFormat="1">
      <c r="A1188" s="172" t="s">
        <v>334</v>
      </c>
      <c r="B1188" s="114"/>
      <c r="C1188" s="236"/>
      <c r="D1188" s="135"/>
      <c r="E1188" s="135"/>
      <c r="F1188" s="241">
        <v>0.61</v>
      </c>
      <c r="G1188" s="237"/>
      <c r="H1188" s="139">
        <f>ROUND($F1188*C1188,0)</f>
        <v>0</v>
      </c>
      <c r="I1188" s="139">
        <f>ROUND($F1188*D1188,0)</f>
        <v>0</v>
      </c>
      <c r="J1188" s="135"/>
      <c r="K1188" s="241">
        <v>0.44</v>
      </c>
      <c r="L1188" s="237"/>
      <c r="M1188" s="139">
        <f>ROUND($K1188*D1188,0)</f>
        <v>0</v>
      </c>
    </row>
    <row r="1189" spans="1:13" s="243" customFormat="1">
      <c r="A1189" s="172" t="s">
        <v>337</v>
      </c>
      <c r="B1189" s="114"/>
      <c r="C1189" s="236"/>
      <c r="D1189" s="135"/>
      <c r="E1189" s="135"/>
      <c r="F1189" s="241"/>
      <c r="G1189" s="138"/>
      <c r="H1189" s="139"/>
      <c r="I1189" s="139"/>
      <c r="J1189" s="135"/>
      <c r="K1189" s="241"/>
      <c r="L1189" s="138"/>
      <c r="M1189" s="139"/>
    </row>
    <row r="1190" spans="1:13" s="243" customFormat="1">
      <c r="A1190" s="172" t="s">
        <v>333</v>
      </c>
      <c r="B1190" s="114"/>
      <c r="C1190" s="236"/>
      <c r="D1190" s="135"/>
      <c r="E1190" s="135"/>
      <c r="F1190" s="241">
        <v>0.71</v>
      </c>
      <c r="G1190" s="237"/>
      <c r="H1190" s="139">
        <f>ROUND($F1190*C1190,0)</f>
        <v>0</v>
      </c>
      <c r="I1190" s="139">
        <f>ROUND($F1190*D1190,0)</f>
        <v>0</v>
      </c>
      <c r="J1190" s="135"/>
      <c r="K1190" s="241">
        <v>0.51</v>
      </c>
      <c r="L1190" s="237"/>
      <c r="M1190" s="139">
        <f>ROUND($K1190*D1190,0)</f>
        <v>0</v>
      </c>
    </row>
    <row r="1191" spans="1:13" s="243" customFormat="1">
      <c r="A1191" s="172" t="s">
        <v>334</v>
      </c>
      <c r="B1191" s="114"/>
      <c r="C1191" s="236"/>
      <c r="D1191" s="135"/>
      <c r="E1191" s="135"/>
      <c r="F1191" s="241">
        <v>0.59</v>
      </c>
      <c r="G1191" s="237"/>
      <c r="H1191" s="139">
        <f>ROUND($F1191*C1191,0)</f>
        <v>0</v>
      </c>
      <c r="I1191" s="139">
        <f>ROUND($F1191*D1191,0)</f>
        <v>0</v>
      </c>
      <c r="J1191" s="135"/>
      <c r="K1191" s="241">
        <v>0.42</v>
      </c>
      <c r="L1191" s="237"/>
      <c r="M1191" s="139">
        <f>ROUND($K1191*D1191,0)</f>
        <v>0</v>
      </c>
    </row>
    <row r="1192" spans="1:13" s="243" customFormat="1">
      <c r="A1192" s="172" t="s">
        <v>338</v>
      </c>
      <c r="B1192" s="114"/>
      <c r="C1192" s="236"/>
      <c r="D1192" s="135"/>
      <c r="E1192" s="135"/>
      <c r="F1192" s="242"/>
      <c r="G1192" s="114"/>
      <c r="H1192" s="114"/>
      <c r="I1192" s="114"/>
      <c r="J1192" s="135"/>
      <c r="K1192" s="242"/>
      <c r="L1192" s="114"/>
      <c r="M1192" s="114"/>
    </row>
    <row r="1193" spans="1:13" s="243" customFormat="1">
      <c r="A1193" s="172" t="s">
        <v>333</v>
      </c>
      <c r="B1193" s="114"/>
      <c r="C1193" s="236"/>
      <c r="D1193" s="135"/>
      <c r="E1193" s="135"/>
      <c r="F1193" s="241">
        <v>0.71</v>
      </c>
      <c r="G1193" s="138"/>
      <c r="H1193" s="139">
        <f>ROUND($F1193*C1193,0)</f>
        <v>0</v>
      </c>
      <c r="I1193" s="139">
        <f>ROUND($F1193*D1193,0)</f>
        <v>0</v>
      </c>
      <c r="J1193" s="135"/>
      <c r="K1193" s="241">
        <v>0.6</v>
      </c>
      <c r="L1193" s="138"/>
      <c r="M1193" s="139">
        <f>ROUND($K1193*D1193,0)</f>
        <v>0</v>
      </c>
    </row>
    <row r="1194" spans="1:13" s="243" customFormat="1">
      <c r="A1194" s="172" t="s">
        <v>334</v>
      </c>
      <c r="B1194" s="114"/>
      <c r="C1194" s="236"/>
      <c r="D1194" s="135"/>
      <c r="E1194" s="135"/>
      <c r="F1194" s="241">
        <v>0.61</v>
      </c>
      <c r="G1194" s="138"/>
      <c r="H1194" s="139">
        <f>ROUND($F1194*C1194,0)</f>
        <v>0</v>
      </c>
      <c r="I1194" s="139">
        <f>ROUND($F1194*D1194,0)</f>
        <v>0</v>
      </c>
      <c r="J1194" s="135"/>
      <c r="K1194" s="241">
        <v>0.52</v>
      </c>
      <c r="L1194" s="138"/>
      <c r="M1194" s="139">
        <f>ROUND($K1194*D1194,0)</f>
        <v>0</v>
      </c>
    </row>
    <row r="1195" spans="1:13" s="243" customFormat="1">
      <c r="A1195" s="136" t="s">
        <v>340</v>
      </c>
      <c r="B1195" s="114"/>
      <c r="C1195" s="135"/>
      <c r="D1195" s="135">
        <v>19450671.875000004</v>
      </c>
      <c r="E1195" s="135"/>
      <c r="F1195" s="244"/>
      <c r="G1195" s="163"/>
      <c r="H1195" s="139"/>
      <c r="I1195" s="139"/>
      <c r="J1195" s="135"/>
      <c r="K1195" s="244"/>
      <c r="L1195" s="163"/>
      <c r="M1195" s="139"/>
    </row>
    <row r="1196" spans="1:13">
      <c r="A1196" s="136" t="s">
        <v>341</v>
      </c>
      <c r="C1196" s="230">
        <f>C1195</f>
        <v>0</v>
      </c>
      <c r="D1196" s="230">
        <f>D1195</f>
        <v>19450671.875000004</v>
      </c>
      <c r="E1196" s="137"/>
      <c r="F1196" s="193"/>
      <c r="G1196" s="193"/>
      <c r="H1196" s="228">
        <f>SUM(H1166:H1195)</f>
        <v>9240</v>
      </c>
      <c r="I1196" s="228">
        <f>SUM(I1166:I1195)</f>
        <v>803543</v>
      </c>
      <c r="J1196" s="137"/>
      <c r="K1196" s="193"/>
      <c r="L1196" s="193"/>
      <c r="M1196" s="228">
        <f>SUM(M1166:M1195)</f>
        <v>738079</v>
      </c>
    </row>
    <row r="1197" spans="1:13">
      <c r="A1197" s="245" t="s">
        <v>342</v>
      </c>
    </row>
    <row r="1198" spans="1:13">
      <c r="A1198" s="133" t="s">
        <v>353</v>
      </c>
      <c r="C1198" s="135"/>
      <c r="D1198" s="135"/>
      <c r="E1198" s="135"/>
      <c r="F1198" s="190"/>
      <c r="G1198" s="190"/>
      <c r="H1198" s="139"/>
      <c r="I1198" s="139"/>
      <c r="J1198" s="135"/>
      <c r="K1198" s="190"/>
      <c r="L1198" s="190"/>
      <c r="M1198" s="139"/>
    </row>
    <row r="1199" spans="1:13">
      <c r="A1199" s="136" t="s">
        <v>144</v>
      </c>
      <c r="C1199" s="135">
        <v>63794</v>
      </c>
      <c r="D1199" s="135">
        <f>C1199/($C$1206-$C$1205)*($D$1206-$D$1205)</f>
        <v>26047.788072014733</v>
      </c>
      <c r="E1199" s="135"/>
      <c r="F1199" s="190">
        <v>3.99</v>
      </c>
      <c r="G1199" s="138"/>
      <c r="H1199" s="139">
        <f t="shared" ref="H1199:I1201" si="251">ROUND($F1199*C1199,0)</f>
        <v>254538</v>
      </c>
      <c r="I1199" s="139">
        <f t="shared" si="251"/>
        <v>103931</v>
      </c>
      <c r="J1199" s="135"/>
      <c r="K1199" s="190">
        <v>4.12</v>
      </c>
      <c r="L1199" s="138"/>
      <c r="M1199" s="139">
        <f>ROUND($K1199*D1199,0)</f>
        <v>107317</v>
      </c>
    </row>
    <row r="1200" spans="1:13">
      <c r="A1200" s="136" t="s">
        <v>145</v>
      </c>
      <c r="C1200" s="135">
        <v>25317.072343632299</v>
      </c>
      <c r="D1200" s="135">
        <f t="shared" ref="D1200:D1201" si="252">C1200/($C$1206-$C$1205)*($D$1206-$D$1205)</f>
        <v>10337.237593046359</v>
      </c>
      <c r="E1200" s="135"/>
      <c r="F1200" s="190">
        <v>13.27</v>
      </c>
      <c r="G1200" s="138"/>
      <c r="H1200" s="139">
        <f t="shared" si="251"/>
        <v>335958</v>
      </c>
      <c r="I1200" s="139">
        <f t="shared" si="251"/>
        <v>137175</v>
      </c>
      <c r="J1200" s="135"/>
      <c r="K1200" s="190">
        <v>13.71</v>
      </c>
      <c r="L1200" s="138"/>
      <c r="M1200" s="139">
        <f>ROUND($K1200*D1200,0)</f>
        <v>141724</v>
      </c>
    </row>
    <row r="1201" spans="1:13">
      <c r="A1201" s="136" t="s">
        <v>146</v>
      </c>
      <c r="C1201" s="135">
        <v>38476.928449744497</v>
      </c>
      <c r="D1201" s="135">
        <f t="shared" si="252"/>
        <v>15710.550802912796</v>
      </c>
      <c r="E1201" s="135"/>
      <c r="F1201" s="190">
        <v>11.74</v>
      </c>
      <c r="G1201" s="138"/>
      <c r="H1201" s="139">
        <f t="shared" si="251"/>
        <v>451719</v>
      </c>
      <c r="I1201" s="139">
        <f t="shared" si="251"/>
        <v>184442</v>
      </c>
      <c r="J1201" s="135"/>
      <c r="K1201" s="190">
        <v>12.13</v>
      </c>
      <c r="L1201" s="138"/>
      <c r="M1201" s="139">
        <f>ROUND($K1201*D1201,0)</f>
        <v>190569</v>
      </c>
    </row>
    <row r="1202" spans="1:13">
      <c r="A1202" s="136" t="s">
        <v>148</v>
      </c>
      <c r="C1202" s="135">
        <v>11583088</v>
      </c>
      <c r="D1202" s="135">
        <v>4278293.0546974754</v>
      </c>
      <c r="E1202" s="135"/>
      <c r="F1202" s="193">
        <v>3.8877999999999999</v>
      </c>
      <c r="G1202" s="163" t="s">
        <v>112</v>
      </c>
      <c r="H1202" s="139">
        <f>ROUND($F1202*C1202/100,0)</f>
        <v>450327</v>
      </c>
      <c r="I1202" s="139">
        <f>ROUND($F1202*D1202/100,0)</f>
        <v>166331</v>
      </c>
      <c r="J1202" s="135"/>
      <c r="K1202" s="193">
        <v>3.9350999999999998</v>
      </c>
      <c r="L1202" s="163" t="s">
        <v>112</v>
      </c>
      <c r="M1202" s="139">
        <f>ROUND($K1202*D1202/100,0)</f>
        <v>168355</v>
      </c>
    </row>
    <row r="1203" spans="1:13">
      <c r="A1203" s="136" t="s">
        <v>149</v>
      </c>
      <c r="C1203" s="135">
        <v>17806649</v>
      </c>
      <c r="D1203" s="135">
        <v>7721858.0703025237</v>
      </c>
      <c r="E1203" s="135"/>
      <c r="F1203" s="193">
        <v>3.4405000000000001</v>
      </c>
      <c r="G1203" s="163" t="s">
        <v>112</v>
      </c>
      <c r="H1203" s="139">
        <f>ROUND($F1203*C1203/100,0)</f>
        <v>612638</v>
      </c>
      <c r="I1203" s="139">
        <f>ROUND($F1203*D1203/100,0)</f>
        <v>265671</v>
      </c>
      <c r="J1203" s="135"/>
      <c r="K1203" s="193">
        <v>3.4823</v>
      </c>
      <c r="L1203" s="163" t="s">
        <v>112</v>
      </c>
      <c r="M1203" s="139">
        <f>ROUND($K1203*D1203/100,0)</f>
        <v>268898</v>
      </c>
    </row>
    <row r="1204" spans="1:13">
      <c r="A1204" s="136" t="s">
        <v>150</v>
      </c>
      <c r="C1204" s="135">
        <v>0</v>
      </c>
      <c r="D1204" s="135">
        <f>C1204/($C$1206-$C$1205)*($D$1206-$D$1205)</f>
        <v>0</v>
      </c>
      <c r="E1204" s="135"/>
      <c r="F1204" s="138">
        <v>-0.96</v>
      </c>
      <c r="G1204" s="138"/>
      <c r="H1204" s="139">
        <f>ROUND($F1204*C1204,0)</f>
        <v>0</v>
      </c>
      <c r="I1204" s="139">
        <f>ROUND($F1204*D1204,0)</f>
        <v>0</v>
      </c>
      <c r="J1204" s="135"/>
      <c r="K1204" s="138">
        <v>-0.96</v>
      </c>
      <c r="L1204" s="138"/>
      <c r="M1204" s="139">
        <f>ROUND($K1204*D1204,0)</f>
        <v>0</v>
      </c>
    </row>
    <row r="1205" spans="1:13">
      <c r="A1205" s="172" t="s">
        <v>123</v>
      </c>
      <c r="C1205" s="135">
        <v>0</v>
      </c>
      <c r="D1205" s="135">
        <f>C1205</f>
        <v>0</v>
      </c>
      <c r="E1205" s="135"/>
      <c r="F1205" s="193">
        <v>7.125</v>
      </c>
      <c r="G1205" s="163" t="s">
        <v>112</v>
      </c>
      <c r="H1205" s="139">
        <f>ROUND($F1205*C1205/100,0)</f>
        <v>0</v>
      </c>
      <c r="I1205" s="139">
        <f>ROUND($F1205*D1205/100,0)</f>
        <v>0</v>
      </c>
      <c r="J1205" s="135"/>
      <c r="K1205" s="193">
        <v>7.125</v>
      </c>
      <c r="L1205" s="163" t="s">
        <v>112</v>
      </c>
      <c r="M1205" s="139">
        <f>ROUND($K1205*D1205/100,0)</f>
        <v>0</v>
      </c>
    </row>
    <row r="1206" spans="1:13">
      <c r="A1206" s="136" t="s">
        <v>341</v>
      </c>
      <c r="C1206" s="214">
        <f>SUM(C1202:C1203,C1205)</f>
        <v>29389737</v>
      </c>
      <c r="D1206" s="214">
        <f>SUM(D1202:D1203,D1205)</f>
        <v>12000151.125</v>
      </c>
      <c r="E1206" s="214"/>
      <c r="F1206" s="239"/>
      <c r="G1206" s="216"/>
      <c r="H1206" s="217">
        <f>SUM(H1199:H1205)</f>
        <v>2105180</v>
      </c>
      <c r="I1206" s="217">
        <f>SUM(I1199:I1205)</f>
        <v>857550</v>
      </c>
      <c r="J1206" s="214"/>
      <c r="K1206" s="239"/>
      <c r="L1206" s="216"/>
      <c r="M1206" s="217">
        <f>SUM(M1199:M1205)</f>
        <v>876863</v>
      </c>
    </row>
    <row r="1207" spans="1:13">
      <c r="A1207" s="172" t="s">
        <v>125</v>
      </c>
      <c r="B1207" s="173"/>
      <c r="C1207" s="135">
        <v>224104</v>
      </c>
      <c r="D1207" s="135"/>
      <c r="E1207" s="135"/>
      <c r="F1207" s="174"/>
      <c r="G1207" s="13"/>
      <c r="H1207" s="139">
        <v>16034</v>
      </c>
      <c r="I1207" s="139"/>
      <c r="J1207" s="135"/>
      <c r="K1207" s="174"/>
      <c r="L1207" s="13"/>
      <c r="M1207" s="139"/>
    </row>
    <row r="1208" spans="1:13" ht="16.5" thickBot="1">
      <c r="A1208" s="176" t="s">
        <v>316</v>
      </c>
      <c r="B1208" s="177"/>
      <c r="C1208" s="178">
        <f>SUM(C1196,C1206:C1207)</f>
        <v>29613841</v>
      </c>
      <c r="D1208" s="178">
        <v>31450823</v>
      </c>
      <c r="E1208" s="178"/>
      <c r="F1208" s="177"/>
      <c r="G1208" s="177"/>
      <c r="H1208" s="179">
        <f>SUM(H1196,H1206:H1207)</f>
        <v>2130454</v>
      </c>
      <c r="I1208" s="179">
        <f>SUM(I1196,I1206:I1207)</f>
        <v>1661093</v>
      </c>
      <c r="J1208" s="178"/>
      <c r="K1208" s="177"/>
      <c r="L1208" s="177"/>
      <c r="M1208" s="179">
        <f>SUM(M1196,M1206:M1207)</f>
        <v>1614942</v>
      </c>
    </row>
    <row r="1209" spans="1:13" ht="16.5" thickTop="1"/>
    <row r="1210" spans="1:13" ht="18.75">
      <c r="A1210" s="240" t="s">
        <v>354</v>
      </c>
      <c r="C1210" s="135"/>
      <c r="D1210" s="135"/>
      <c r="E1210" s="135"/>
      <c r="F1210" s="193"/>
      <c r="G1210" s="193"/>
      <c r="J1210" s="135"/>
      <c r="K1210" s="193"/>
      <c r="L1210" s="193"/>
    </row>
    <row r="1211" spans="1:13">
      <c r="A1211" s="172" t="s">
        <v>319</v>
      </c>
      <c r="C1211" s="135"/>
      <c r="D1211" s="135"/>
      <c r="E1211" s="135"/>
      <c r="J1211" s="135"/>
    </row>
    <row r="1212" spans="1:13">
      <c r="A1212" s="172" t="s">
        <v>320</v>
      </c>
      <c r="B1212" s="220"/>
      <c r="C1212" s="236"/>
      <c r="D1212" s="135"/>
      <c r="E1212" s="135"/>
      <c r="F1212" s="241">
        <v>55</v>
      </c>
      <c r="G1212" s="138"/>
      <c r="H1212" s="139">
        <f t="shared" ref="H1212:I1214" si="253">ROUND($F1212*C1212,0)</f>
        <v>0</v>
      </c>
      <c r="I1212" s="139">
        <f t="shared" si="253"/>
        <v>0</v>
      </c>
      <c r="J1212" s="135"/>
      <c r="K1212" s="241">
        <v>56</v>
      </c>
      <c r="L1212" s="138"/>
      <c r="M1212" s="139">
        <f>ROUND($K1212*D1212,0)</f>
        <v>0</v>
      </c>
    </row>
    <row r="1213" spans="1:13">
      <c r="A1213" s="172" t="s">
        <v>321</v>
      </c>
      <c r="B1213" s="220"/>
      <c r="C1213" s="236">
        <v>64.233380281690103</v>
      </c>
      <c r="D1213" s="135">
        <v>72</v>
      </c>
      <c r="E1213" s="135"/>
      <c r="F1213" s="241">
        <v>72</v>
      </c>
      <c r="G1213" s="138"/>
      <c r="H1213" s="139">
        <f t="shared" si="253"/>
        <v>4625</v>
      </c>
      <c r="I1213" s="139">
        <f t="shared" si="253"/>
        <v>5184</v>
      </c>
      <c r="J1213" s="135"/>
      <c r="K1213" s="241">
        <v>74</v>
      </c>
      <c r="L1213" s="138"/>
      <c r="M1213" s="139">
        <f>ROUND($K1213*D1213,0)</f>
        <v>5328</v>
      </c>
    </row>
    <row r="1214" spans="1:13">
      <c r="A1214" s="172" t="s">
        <v>322</v>
      </c>
      <c r="B1214" s="220"/>
      <c r="C1214" s="236"/>
      <c r="D1214" s="135"/>
      <c r="E1214" s="135"/>
      <c r="F1214" s="242">
        <v>266</v>
      </c>
      <c r="G1214" s="190"/>
      <c r="H1214" s="139">
        <f t="shared" si="253"/>
        <v>0</v>
      </c>
      <c r="I1214" s="139">
        <f t="shared" si="253"/>
        <v>0</v>
      </c>
      <c r="J1214" s="135"/>
      <c r="K1214" s="241">
        <v>282</v>
      </c>
      <c r="L1214" s="190"/>
      <c r="M1214" s="139">
        <f>ROUND($K1214*D1214,0)</f>
        <v>0</v>
      </c>
    </row>
    <row r="1215" spans="1:13">
      <c r="A1215" s="172" t="s">
        <v>323</v>
      </c>
      <c r="B1215" s="220"/>
      <c r="C1215" s="236"/>
      <c r="D1215" s="135"/>
      <c r="E1215" s="135"/>
      <c r="F1215" s="241"/>
      <c r="G1215" s="237"/>
      <c r="H1215" s="139"/>
      <c r="I1215" s="139"/>
      <c r="J1215" s="135"/>
      <c r="K1215" s="241"/>
      <c r="L1215" s="237"/>
      <c r="M1215" s="139"/>
    </row>
    <row r="1216" spans="1:13">
      <c r="A1216" s="172" t="s">
        <v>324</v>
      </c>
      <c r="B1216" s="220"/>
      <c r="C1216" s="236"/>
      <c r="D1216" s="135">
        <f>D1213</f>
        <v>72</v>
      </c>
      <c r="E1216" s="135"/>
      <c r="F1216" s="241">
        <v>113</v>
      </c>
      <c r="G1216" s="237"/>
      <c r="H1216" s="139">
        <f t="shared" ref="H1216:I1218" si="254">ROUND($F1216*C1216,0)</f>
        <v>0</v>
      </c>
      <c r="I1216" s="139">
        <f t="shared" si="254"/>
        <v>8136</v>
      </c>
      <c r="J1216" s="135"/>
      <c r="K1216" s="241">
        <v>118</v>
      </c>
      <c r="L1216" s="237"/>
      <c r="M1216" s="139">
        <f>ROUND($K1216*D1216,0)</f>
        <v>8496</v>
      </c>
    </row>
    <row r="1217" spans="1:13" s="243" customFormat="1">
      <c r="A1217" s="172" t="s">
        <v>325</v>
      </c>
      <c r="B1217" s="220"/>
      <c r="C1217" s="236"/>
      <c r="D1217" s="135">
        <f>D1213</f>
        <v>72</v>
      </c>
      <c r="E1217" s="135"/>
      <c r="F1217" s="241">
        <v>154</v>
      </c>
      <c r="G1217" s="237"/>
      <c r="H1217" s="139">
        <f t="shared" si="254"/>
        <v>0</v>
      </c>
      <c r="I1217" s="139">
        <f t="shared" si="254"/>
        <v>11088</v>
      </c>
      <c r="J1217" s="135"/>
      <c r="K1217" s="241">
        <v>161</v>
      </c>
      <c r="L1217" s="237"/>
      <c r="M1217" s="139">
        <f>ROUND($K1217*D1217,0)</f>
        <v>11592</v>
      </c>
    </row>
    <row r="1218" spans="1:13" s="243" customFormat="1">
      <c r="A1218" s="136" t="s">
        <v>109</v>
      </c>
      <c r="B1218" s="114"/>
      <c r="C1218" s="135"/>
      <c r="D1218" s="135">
        <v>50.046711559665788</v>
      </c>
      <c r="E1218" s="135"/>
      <c r="F1218" s="138">
        <v>-0.5</v>
      </c>
      <c r="G1218" s="138"/>
      <c r="H1218" s="139">
        <f t="shared" si="254"/>
        <v>0</v>
      </c>
      <c r="I1218" s="139">
        <f t="shared" si="254"/>
        <v>-25</v>
      </c>
      <c r="J1218" s="135"/>
      <c r="K1218" s="241">
        <v>-0.5</v>
      </c>
      <c r="L1218" s="138"/>
      <c r="M1218" s="139">
        <f>ROUND($K1218*D1218,0)</f>
        <v>-25</v>
      </c>
    </row>
    <row r="1219" spans="1:13" s="243" customFormat="1">
      <c r="A1219" s="172" t="s">
        <v>326</v>
      </c>
      <c r="B1219" s="220"/>
      <c r="C1219" s="236"/>
      <c r="D1219" s="135"/>
      <c r="E1219" s="135"/>
      <c r="F1219" s="242"/>
      <c r="G1219" s="238"/>
      <c r="H1219" s="139"/>
      <c r="I1219" s="139"/>
      <c r="J1219" s="135"/>
      <c r="K1219" s="242"/>
      <c r="L1219" s="238"/>
      <c r="M1219" s="139"/>
    </row>
    <row r="1220" spans="1:13" s="243" customFormat="1">
      <c r="A1220" s="172" t="s">
        <v>327</v>
      </c>
      <c r="B1220" s="220"/>
      <c r="C1220" s="236"/>
      <c r="D1220" s="135"/>
      <c r="E1220" s="135"/>
      <c r="F1220" s="241">
        <v>7.52</v>
      </c>
      <c r="G1220" s="237"/>
      <c r="H1220" s="139">
        <f t="shared" ref="H1220:I1224" si="255">ROUND($F1220*C1220,0)</f>
        <v>0</v>
      </c>
      <c r="I1220" s="139">
        <f t="shared" si="255"/>
        <v>0</v>
      </c>
      <c r="J1220" s="135"/>
      <c r="K1220" s="241">
        <v>8.67</v>
      </c>
      <c r="L1220" s="237"/>
      <c r="M1220" s="139">
        <f>ROUND($K1220*D1220,0)</f>
        <v>0</v>
      </c>
    </row>
    <row r="1221" spans="1:13" s="243" customFormat="1">
      <c r="A1221" s="172" t="s">
        <v>328</v>
      </c>
      <c r="B1221" s="220"/>
      <c r="C1221" s="236"/>
      <c r="D1221" s="135"/>
      <c r="E1221" s="135"/>
      <c r="F1221" s="241">
        <v>6.56</v>
      </c>
      <c r="G1221" s="237"/>
      <c r="H1221" s="139">
        <f t="shared" si="255"/>
        <v>0</v>
      </c>
      <c r="I1221" s="139">
        <f t="shared" si="255"/>
        <v>0</v>
      </c>
      <c r="J1221" s="135"/>
      <c r="K1221" s="241">
        <v>7.84</v>
      </c>
      <c r="L1221" s="237"/>
      <c r="M1221" s="139">
        <f>ROUND($K1221*D1221,0)</f>
        <v>0</v>
      </c>
    </row>
    <row r="1222" spans="1:13" s="243" customFormat="1">
      <c r="A1222" s="172" t="s">
        <v>329</v>
      </c>
      <c r="B1222" s="220"/>
      <c r="C1222" s="236"/>
      <c r="D1222" s="135"/>
      <c r="E1222" s="135"/>
      <c r="F1222" s="241">
        <v>8.3699999999999992</v>
      </c>
      <c r="G1222" s="138"/>
      <c r="H1222" s="139">
        <f t="shared" si="255"/>
        <v>0</v>
      </c>
      <c r="I1222" s="139">
        <f t="shared" si="255"/>
        <v>0</v>
      </c>
      <c r="J1222" s="135"/>
      <c r="K1222" s="241">
        <v>9.9600000000000009</v>
      </c>
      <c r="L1222" s="138"/>
      <c r="M1222" s="139">
        <f>ROUND($K1222*D1222,0)</f>
        <v>0</v>
      </c>
    </row>
    <row r="1223" spans="1:13" s="243" customFormat="1">
      <c r="A1223" s="172" t="s">
        <v>330</v>
      </c>
      <c r="B1223" s="220"/>
      <c r="C1223" s="236"/>
      <c r="D1223" s="135">
        <f>D1131/D1150*D1242</f>
        <v>70598.976275751716</v>
      </c>
      <c r="E1223" s="135"/>
      <c r="F1223" s="241">
        <v>7.24</v>
      </c>
      <c r="G1223" s="237"/>
      <c r="H1223" s="139">
        <f t="shared" si="255"/>
        <v>0</v>
      </c>
      <c r="I1223" s="139">
        <f t="shared" si="255"/>
        <v>511137</v>
      </c>
      <c r="J1223" s="135"/>
      <c r="K1223" s="241">
        <v>9.33</v>
      </c>
      <c r="L1223" s="237"/>
      <c r="M1223" s="139">
        <f>ROUND($K1223*D1223,0)</f>
        <v>658688</v>
      </c>
    </row>
    <row r="1224" spans="1:13" s="243" customFormat="1">
      <c r="A1224" s="172" t="s">
        <v>322</v>
      </c>
      <c r="B1224" s="220"/>
      <c r="C1224" s="236"/>
      <c r="D1224" s="135"/>
      <c r="E1224" s="135"/>
      <c r="F1224" s="241">
        <v>4.3499999999999996</v>
      </c>
      <c r="G1224" s="237"/>
      <c r="H1224" s="139">
        <f t="shared" si="255"/>
        <v>0</v>
      </c>
      <c r="I1224" s="139">
        <f t="shared" si="255"/>
        <v>0</v>
      </c>
      <c r="J1224" s="135"/>
      <c r="K1224" s="241">
        <v>4.99</v>
      </c>
      <c r="L1224" s="237"/>
      <c r="M1224" s="139">
        <f>ROUND($K1224*D1224,0)</f>
        <v>0</v>
      </c>
    </row>
    <row r="1225" spans="1:13" s="243" customFormat="1">
      <c r="A1225" s="172" t="s">
        <v>331</v>
      </c>
      <c r="B1225" s="114"/>
      <c r="C1225" s="236"/>
      <c r="D1225" s="135"/>
      <c r="E1225" s="135"/>
      <c r="F1225" s="242"/>
      <c r="G1225" s="114"/>
      <c r="H1225" s="114"/>
      <c r="I1225" s="114"/>
      <c r="J1225" s="135"/>
      <c r="K1225" s="242"/>
      <c r="L1225" s="114"/>
      <c r="M1225" s="114"/>
    </row>
    <row r="1226" spans="1:13" s="243" customFormat="1">
      <c r="A1226" s="172" t="s">
        <v>332</v>
      </c>
      <c r="B1226" s="114"/>
      <c r="C1226" s="236"/>
      <c r="D1226" s="135"/>
      <c r="E1226" s="135"/>
      <c r="F1226" s="241"/>
      <c r="G1226" s="138"/>
      <c r="H1226" s="139"/>
      <c r="I1226" s="139"/>
      <c r="J1226" s="135"/>
      <c r="K1226" s="241"/>
      <c r="L1226" s="138"/>
      <c r="M1226" s="139"/>
    </row>
    <row r="1227" spans="1:13" s="243" customFormat="1">
      <c r="A1227" s="172" t="s">
        <v>333</v>
      </c>
      <c r="B1227" s="114"/>
      <c r="C1227" s="236"/>
      <c r="D1227" s="135"/>
      <c r="E1227" s="135"/>
      <c r="F1227" s="241">
        <v>0.56999999999999995</v>
      </c>
      <c r="G1227" s="138"/>
      <c r="H1227" s="139">
        <f>ROUND($F1227*C1227,0)</f>
        <v>0</v>
      </c>
      <c r="I1227" s="139">
        <f>ROUND($F1227*D1227,0)</f>
        <v>0</v>
      </c>
      <c r="J1227" s="135"/>
      <c r="K1227" s="241">
        <v>0.43</v>
      </c>
      <c r="L1227" s="138"/>
      <c r="M1227" s="139">
        <f>ROUND($K1227*D1227,0)</f>
        <v>0</v>
      </c>
    </row>
    <row r="1228" spans="1:13" s="243" customFormat="1">
      <c r="A1228" s="172" t="s">
        <v>334</v>
      </c>
      <c r="B1228" s="114"/>
      <c r="C1228" s="236"/>
      <c r="D1228" s="135"/>
      <c r="E1228" s="135"/>
      <c r="F1228" s="241">
        <v>0.48</v>
      </c>
      <c r="G1228" s="138"/>
      <c r="H1228" s="139">
        <f>ROUND($F1228*C1228,0)</f>
        <v>0</v>
      </c>
      <c r="I1228" s="139">
        <f>ROUND($F1228*D1228,0)</f>
        <v>0</v>
      </c>
      <c r="J1228" s="135"/>
      <c r="K1228" s="241">
        <v>0.36</v>
      </c>
      <c r="L1228" s="138"/>
      <c r="M1228" s="139">
        <f>ROUND($K1228*D1228,0)</f>
        <v>0</v>
      </c>
    </row>
    <row r="1229" spans="1:13" s="243" customFormat="1">
      <c r="A1229" s="172" t="s">
        <v>335</v>
      </c>
      <c r="B1229" s="114"/>
      <c r="C1229" s="236"/>
      <c r="D1229" s="135"/>
      <c r="E1229" s="135"/>
      <c r="F1229" s="241"/>
      <c r="G1229" s="237"/>
      <c r="H1229" s="139"/>
      <c r="I1229" s="139"/>
      <c r="J1229" s="135"/>
      <c r="K1229" s="241"/>
      <c r="L1229" s="237"/>
      <c r="M1229" s="139"/>
    </row>
    <row r="1230" spans="1:13" s="243" customFormat="1">
      <c r="A1230" s="172" t="s">
        <v>333</v>
      </c>
      <c r="B1230" s="114"/>
      <c r="C1230" s="236"/>
      <c r="D1230" s="135"/>
      <c r="E1230" s="135"/>
      <c r="F1230" s="241">
        <v>0.56999999999999995</v>
      </c>
      <c r="G1230" s="237"/>
      <c r="H1230" s="139">
        <f>ROUND($F1230*C1230,0)</f>
        <v>0</v>
      </c>
      <c r="I1230" s="139">
        <f>ROUND($F1230*D1230,0)</f>
        <v>0</v>
      </c>
      <c r="J1230" s="135"/>
      <c r="K1230" s="241">
        <v>0.43</v>
      </c>
      <c r="L1230" s="237"/>
      <c r="M1230" s="139">
        <f>ROUND($K1230*D1230,0)</f>
        <v>0</v>
      </c>
    </row>
    <row r="1231" spans="1:13" s="243" customFormat="1">
      <c r="A1231" s="172" t="s">
        <v>334</v>
      </c>
      <c r="B1231" s="114"/>
      <c r="C1231" s="236"/>
      <c r="D1231" s="135"/>
      <c r="E1231" s="135"/>
      <c r="F1231" s="241">
        <v>0.47</v>
      </c>
      <c r="G1231" s="237"/>
      <c r="H1231" s="139">
        <f>ROUND($F1231*C1231,0)</f>
        <v>0</v>
      </c>
      <c r="I1231" s="139">
        <f>ROUND($F1231*D1231,0)</f>
        <v>0</v>
      </c>
      <c r="J1231" s="135"/>
      <c r="K1231" s="241">
        <v>0.35</v>
      </c>
      <c r="L1231" s="237"/>
      <c r="M1231" s="139">
        <f>ROUND($K1231*D1231,0)</f>
        <v>0</v>
      </c>
    </row>
    <row r="1232" spans="1:13" s="243" customFormat="1">
      <c r="A1232" s="172" t="s">
        <v>336</v>
      </c>
      <c r="B1232" s="114"/>
      <c r="C1232" s="236"/>
      <c r="D1232" s="135"/>
      <c r="E1232" s="135"/>
      <c r="F1232" s="242"/>
      <c r="G1232" s="238"/>
      <c r="H1232" s="139"/>
      <c r="I1232" s="139"/>
      <c r="J1232" s="135"/>
      <c r="K1232" s="242"/>
      <c r="L1232" s="238"/>
      <c r="M1232" s="139"/>
    </row>
    <row r="1233" spans="1:13" s="243" customFormat="1">
      <c r="A1233" s="172" t="s">
        <v>333</v>
      </c>
      <c r="B1233" s="114"/>
      <c r="C1233" s="236"/>
      <c r="D1233" s="135"/>
      <c r="E1233" s="135"/>
      <c r="F1233" s="241">
        <v>0.72</v>
      </c>
      <c r="G1233" s="237"/>
      <c r="H1233" s="139">
        <f>ROUND($F1233*C1233,0)</f>
        <v>0</v>
      </c>
      <c r="I1233" s="139">
        <f>ROUND($F1233*D1233,0)</f>
        <v>0</v>
      </c>
      <c r="J1233" s="135"/>
      <c r="K1233" s="241">
        <v>0.53</v>
      </c>
      <c r="L1233" s="237"/>
      <c r="M1233" s="139">
        <f>ROUND($K1233*D1233,0)</f>
        <v>0</v>
      </c>
    </row>
    <row r="1234" spans="1:13" s="243" customFormat="1">
      <c r="A1234" s="172" t="s">
        <v>334</v>
      </c>
      <c r="B1234" s="114"/>
      <c r="C1234" s="236"/>
      <c r="D1234" s="135"/>
      <c r="E1234" s="135"/>
      <c r="F1234" s="241">
        <v>0.61</v>
      </c>
      <c r="G1234" s="237"/>
      <c r="H1234" s="139">
        <f>ROUND($F1234*C1234,0)</f>
        <v>0</v>
      </c>
      <c r="I1234" s="139">
        <f>ROUND($F1234*D1234,0)</f>
        <v>0</v>
      </c>
      <c r="J1234" s="135"/>
      <c r="K1234" s="241">
        <v>0.44</v>
      </c>
      <c r="L1234" s="237"/>
      <c r="M1234" s="139">
        <f>ROUND($K1234*D1234,0)</f>
        <v>0</v>
      </c>
    </row>
    <row r="1235" spans="1:13" s="243" customFormat="1">
      <c r="A1235" s="172" t="s">
        <v>337</v>
      </c>
      <c r="B1235" s="114"/>
      <c r="C1235" s="236"/>
      <c r="D1235" s="135"/>
      <c r="E1235" s="135"/>
      <c r="F1235" s="241"/>
      <c r="G1235" s="138"/>
      <c r="H1235" s="139"/>
      <c r="I1235" s="139"/>
      <c r="J1235" s="135"/>
      <c r="K1235" s="241"/>
      <c r="L1235" s="138"/>
      <c r="M1235" s="139"/>
    </row>
    <row r="1236" spans="1:13" s="243" customFormat="1">
      <c r="A1236" s="172" t="s">
        <v>333</v>
      </c>
      <c r="B1236" s="114"/>
      <c r="C1236" s="236"/>
      <c r="D1236" s="135">
        <f>($D$1255/$C$1255*C1246-D1246)*(365-(2*52+8))/12</f>
        <v>497453.26783678989</v>
      </c>
      <c r="E1236" s="135"/>
      <c r="F1236" s="241">
        <v>0.71</v>
      </c>
      <c r="G1236" s="237"/>
      <c r="H1236" s="139">
        <f>ROUND($F1236*C1236,0)</f>
        <v>0</v>
      </c>
      <c r="I1236" s="139">
        <f>ROUND($F1236*D1236,0)</f>
        <v>353192</v>
      </c>
      <c r="J1236" s="135"/>
      <c r="K1236" s="241">
        <v>0.51</v>
      </c>
      <c r="L1236" s="237"/>
      <c r="M1236" s="139">
        <f>ROUND($K1236*D1236,0)</f>
        <v>253701</v>
      </c>
    </row>
    <row r="1237" spans="1:13" s="243" customFormat="1">
      <c r="A1237" s="172" t="s">
        <v>334</v>
      </c>
      <c r="B1237" s="114"/>
      <c r="C1237" s="236"/>
      <c r="D1237" s="135">
        <f>($D$1255/$C$1255*C1247-D1247)*(365-(2*52+8))/12</f>
        <v>760398.27309171576</v>
      </c>
      <c r="E1237" s="135"/>
      <c r="F1237" s="241">
        <v>0.59</v>
      </c>
      <c r="G1237" s="237"/>
      <c r="H1237" s="139">
        <f>ROUND($F1237*C1237,0)</f>
        <v>0</v>
      </c>
      <c r="I1237" s="139">
        <f>ROUND($F1237*D1237,0)</f>
        <v>448635</v>
      </c>
      <c r="J1237" s="135"/>
      <c r="K1237" s="241">
        <v>0.42</v>
      </c>
      <c r="L1237" s="237"/>
      <c r="M1237" s="139">
        <f>ROUND($K1237*D1237,0)</f>
        <v>319367</v>
      </c>
    </row>
    <row r="1238" spans="1:13" s="243" customFormat="1">
      <c r="A1238" s="172" t="s">
        <v>338</v>
      </c>
      <c r="B1238" s="114"/>
      <c r="C1238" s="236"/>
      <c r="D1238" s="135"/>
      <c r="E1238" s="135"/>
      <c r="F1238" s="242"/>
      <c r="G1238" s="114"/>
      <c r="H1238" s="114"/>
      <c r="I1238" s="114"/>
      <c r="J1238" s="135"/>
      <c r="K1238" s="242"/>
      <c r="L1238" s="114"/>
      <c r="M1238" s="114"/>
    </row>
    <row r="1239" spans="1:13" s="243" customFormat="1">
      <c r="A1239" s="172" t="s">
        <v>333</v>
      </c>
      <c r="B1239" s="114"/>
      <c r="C1239" s="236"/>
      <c r="D1239" s="135"/>
      <c r="E1239" s="135"/>
      <c r="F1239" s="241">
        <v>0.71</v>
      </c>
      <c r="G1239" s="138"/>
      <c r="H1239" s="139">
        <f>ROUND($F1239*C1239,0)</f>
        <v>0</v>
      </c>
      <c r="I1239" s="139">
        <f>ROUND($F1239*D1239,0)</f>
        <v>0</v>
      </c>
      <c r="J1239" s="135"/>
      <c r="K1239" s="241">
        <v>0.6</v>
      </c>
      <c r="L1239" s="138"/>
      <c r="M1239" s="139">
        <f>ROUND($K1239*D1239,0)</f>
        <v>0</v>
      </c>
    </row>
    <row r="1240" spans="1:13" s="243" customFormat="1">
      <c r="A1240" s="172" t="s">
        <v>334</v>
      </c>
      <c r="B1240" s="114"/>
      <c r="C1240" s="236"/>
      <c r="D1240" s="135"/>
      <c r="E1240" s="135"/>
      <c r="F1240" s="241">
        <v>0.61</v>
      </c>
      <c r="G1240" s="138"/>
      <c r="H1240" s="139">
        <f>ROUND($F1240*C1240,0)</f>
        <v>0</v>
      </c>
      <c r="I1240" s="139">
        <f>ROUND($F1240*D1240,0)</f>
        <v>0</v>
      </c>
      <c r="J1240" s="135"/>
      <c r="K1240" s="241">
        <v>0.52</v>
      </c>
      <c r="L1240" s="138"/>
      <c r="M1240" s="139">
        <f>ROUND($K1240*D1240,0)</f>
        <v>0</v>
      </c>
    </row>
    <row r="1241" spans="1:13" s="243" customFormat="1">
      <c r="A1241" s="136" t="s">
        <v>340</v>
      </c>
      <c r="B1241" s="114"/>
      <c r="C1241" s="135"/>
      <c r="D1241" s="135">
        <v>35339953.125000007</v>
      </c>
      <c r="E1241" s="135"/>
      <c r="F1241" s="244"/>
      <c r="G1241" s="163"/>
      <c r="H1241" s="139"/>
      <c r="I1241" s="139"/>
      <c r="J1241" s="135"/>
      <c r="K1241" s="244"/>
      <c r="L1241" s="163"/>
      <c r="M1241" s="139"/>
    </row>
    <row r="1242" spans="1:13">
      <c r="A1242" s="136" t="s">
        <v>341</v>
      </c>
      <c r="C1242" s="230">
        <f>C1241</f>
        <v>0</v>
      </c>
      <c r="D1242" s="230">
        <f>D1241</f>
        <v>35339953.125000007</v>
      </c>
      <c r="E1242" s="137"/>
      <c r="F1242" s="193"/>
      <c r="G1242" s="193"/>
      <c r="H1242" s="228">
        <f>SUM(H1212:H1241)</f>
        <v>4625</v>
      </c>
      <c r="I1242" s="228">
        <f>SUM(I1212:I1241)</f>
        <v>1337347</v>
      </c>
      <c r="J1242" s="137"/>
      <c r="K1242" s="193"/>
      <c r="L1242" s="193"/>
      <c r="M1242" s="228">
        <f>SUM(M1212:M1241)</f>
        <v>1257147</v>
      </c>
    </row>
    <row r="1243" spans="1:13">
      <c r="A1243" s="245" t="s">
        <v>342</v>
      </c>
    </row>
    <row r="1244" spans="1:13">
      <c r="A1244" s="133" t="s">
        <v>355</v>
      </c>
      <c r="C1244" s="135"/>
      <c r="D1244" s="135"/>
      <c r="E1244" s="135"/>
      <c r="F1244" s="190"/>
      <c r="G1244" s="190"/>
      <c r="H1244" s="139"/>
      <c r="I1244" s="139"/>
      <c r="J1244" s="135"/>
      <c r="K1244" s="190"/>
      <c r="L1244" s="190"/>
      <c r="M1244" s="139"/>
    </row>
    <row r="1245" spans="1:13">
      <c r="A1245" s="136" t="s">
        <v>144</v>
      </c>
      <c r="C1245" s="135">
        <v>121095.634095634</v>
      </c>
      <c r="D1245" s="135">
        <f>C1245/$C$1253*$D$1253</f>
        <v>62059.878903145291</v>
      </c>
      <c r="E1245" s="135"/>
      <c r="F1245" s="138">
        <v>4.8099999999999996</v>
      </c>
      <c r="G1245" s="138"/>
      <c r="H1245" s="139">
        <f t="shared" ref="H1245:I1247" si="256">ROUND($F1245*C1245,0)</f>
        <v>582470</v>
      </c>
      <c r="I1245" s="139">
        <f t="shared" si="256"/>
        <v>298508</v>
      </c>
      <c r="J1245" s="135"/>
      <c r="K1245" s="138">
        <v>4.95</v>
      </c>
      <c r="L1245" s="138"/>
      <c r="M1245" s="139">
        <f>ROUND($K1245*D1245,0)</f>
        <v>307196</v>
      </c>
    </row>
    <row r="1246" spans="1:13">
      <c r="A1246" s="136" t="s">
        <v>180</v>
      </c>
      <c r="C1246" s="135">
        <v>45172.005085823301</v>
      </c>
      <c r="D1246" s="135">
        <f t="shared" ref="D1246:D1252" si="257">C1246/$C$1253*$D$1253</f>
        <v>23150.04323958142</v>
      </c>
      <c r="E1246" s="135"/>
      <c r="F1246" s="138">
        <v>15.73</v>
      </c>
      <c r="G1246" s="138"/>
      <c r="H1246" s="139">
        <f t="shared" si="256"/>
        <v>710556</v>
      </c>
      <c r="I1246" s="139">
        <f t="shared" si="256"/>
        <v>364150</v>
      </c>
      <c r="J1246" s="135"/>
      <c r="K1246" s="138">
        <v>16.18</v>
      </c>
      <c r="L1246" s="138"/>
      <c r="M1246" s="139">
        <f>ROUND($K1246*D1246,0)</f>
        <v>374568</v>
      </c>
    </row>
    <row r="1247" spans="1:13">
      <c r="A1247" s="136" t="s">
        <v>181</v>
      </c>
      <c r="C1247" s="135">
        <v>69049.128591953995</v>
      </c>
      <c r="D1247" s="135">
        <f t="shared" si="257"/>
        <v>35386.746935898584</v>
      </c>
      <c r="E1247" s="135"/>
      <c r="F1247" s="138">
        <v>13.92</v>
      </c>
      <c r="G1247" s="138"/>
      <c r="H1247" s="139">
        <f t="shared" si="256"/>
        <v>961164</v>
      </c>
      <c r="I1247" s="139">
        <f t="shared" si="256"/>
        <v>492584</v>
      </c>
      <c r="J1247" s="135"/>
      <c r="K1247" s="138">
        <v>14.32</v>
      </c>
      <c r="L1247" s="138"/>
      <c r="M1247" s="139">
        <f>ROUND($K1247*D1247,0)</f>
        <v>506738</v>
      </c>
    </row>
    <row r="1248" spans="1:13">
      <c r="A1248" s="136" t="s">
        <v>111</v>
      </c>
      <c r="C1248" s="135">
        <v>5468667</v>
      </c>
      <c r="D1248" s="135">
        <v>3256011.2597899702</v>
      </c>
      <c r="E1248" s="135"/>
      <c r="F1248" s="204">
        <v>5.8281999999999998</v>
      </c>
      <c r="G1248" s="163" t="s">
        <v>112</v>
      </c>
      <c r="H1248" s="139">
        <f t="shared" ref="H1248:I1251" si="258">ROUND($F1248*C1248/100,0)</f>
        <v>318725</v>
      </c>
      <c r="I1248" s="139">
        <f t="shared" si="258"/>
        <v>189767</v>
      </c>
      <c r="J1248" s="135"/>
      <c r="K1248" s="204">
        <v>5.9962999999999997</v>
      </c>
      <c r="L1248" s="163" t="s">
        <v>112</v>
      </c>
      <c r="M1248" s="139">
        <f>ROUND($K1248*D1248/100,0)</f>
        <v>195240</v>
      </c>
    </row>
    <row r="1249" spans="1:13">
      <c r="A1249" s="136" t="s">
        <v>114</v>
      </c>
      <c r="C1249" s="135">
        <v>19885808</v>
      </c>
      <c r="D1249" s="135">
        <v>8433253.2325451672</v>
      </c>
      <c r="E1249" s="135"/>
      <c r="F1249" s="204">
        <v>2.9624000000000001</v>
      </c>
      <c r="G1249" s="163" t="s">
        <v>112</v>
      </c>
      <c r="H1249" s="139">
        <f t="shared" si="258"/>
        <v>589097</v>
      </c>
      <c r="I1249" s="139">
        <f t="shared" si="258"/>
        <v>249827</v>
      </c>
      <c r="J1249" s="135"/>
      <c r="K1249" s="204">
        <v>3.0478000000000001</v>
      </c>
      <c r="L1249" s="163" t="s">
        <v>112</v>
      </c>
      <c r="M1249" s="139">
        <f>ROUND($K1249*D1249/100,0)</f>
        <v>257029</v>
      </c>
    </row>
    <row r="1250" spans="1:13">
      <c r="A1250" s="136" t="s">
        <v>183</v>
      </c>
      <c r="C1250" s="135">
        <v>8528733</v>
      </c>
      <c r="D1250" s="135">
        <v>5248824.0384272002</v>
      </c>
      <c r="E1250" s="135"/>
      <c r="F1250" s="204">
        <v>5.1577000000000002</v>
      </c>
      <c r="G1250" s="163" t="s">
        <v>112</v>
      </c>
      <c r="H1250" s="139">
        <f t="shared" si="258"/>
        <v>439886</v>
      </c>
      <c r="I1250" s="139">
        <f t="shared" si="258"/>
        <v>270719</v>
      </c>
      <c r="J1250" s="135"/>
      <c r="K1250" s="204">
        <v>5.3064</v>
      </c>
      <c r="L1250" s="163" t="s">
        <v>112</v>
      </c>
      <c r="M1250" s="139">
        <f>ROUND($K1250*D1250/100,0)</f>
        <v>278524</v>
      </c>
    </row>
    <row r="1251" spans="1:13">
      <c r="A1251" s="136" t="s">
        <v>185</v>
      </c>
      <c r="C1251" s="135">
        <v>32768392</v>
      </c>
      <c r="D1251" s="135">
        <v>17219957.344237652</v>
      </c>
      <c r="E1251" s="135"/>
      <c r="F1251" s="204">
        <v>2.6215999999999999</v>
      </c>
      <c r="G1251" s="163" t="s">
        <v>112</v>
      </c>
      <c r="H1251" s="139">
        <f t="shared" si="258"/>
        <v>859056</v>
      </c>
      <c r="I1251" s="139">
        <f t="shared" si="258"/>
        <v>451438</v>
      </c>
      <c r="J1251" s="135"/>
      <c r="K1251" s="204">
        <v>2.6972</v>
      </c>
      <c r="L1251" s="163" t="s">
        <v>112</v>
      </c>
      <c r="M1251" s="139">
        <f>ROUND($K1251*D1251/100,0)</f>
        <v>464457</v>
      </c>
    </row>
    <row r="1252" spans="1:13">
      <c r="A1252" s="136" t="s">
        <v>150</v>
      </c>
      <c r="C1252" s="135">
        <v>114221.13274336301</v>
      </c>
      <c r="D1252" s="135">
        <f t="shared" si="257"/>
        <v>58536.789696605279</v>
      </c>
      <c r="E1252" s="135"/>
      <c r="F1252" s="138">
        <v>-1.1299999999999999</v>
      </c>
      <c r="G1252" s="138"/>
      <c r="H1252" s="139">
        <f>ROUND($F1252*C1252,0)</f>
        <v>-129070</v>
      </c>
      <c r="I1252" s="139">
        <f>ROUND($F1252*D1252,0)</f>
        <v>-66147</v>
      </c>
      <c r="J1252" s="135"/>
      <c r="K1252" s="138">
        <v>-1.1299999999999999</v>
      </c>
      <c r="L1252" s="138"/>
      <c r="M1252" s="139">
        <f>ROUND($K1252*D1252,0)</f>
        <v>-66147</v>
      </c>
    </row>
    <row r="1253" spans="1:13">
      <c r="A1253" s="136" t="s">
        <v>341</v>
      </c>
      <c r="C1253" s="214">
        <f>SUM(C1248:C1251)</f>
        <v>66651600</v>
      </c>
      <c r="D1253" s="214">
        <f>SUM(D1248:D1251)</f>
        <v>34158045.874999985</v>
      </c>
      <c r="E1253" s="214"/>
      <c r="F1253" s="239"/>
      <c r="G1253" s="216"/>
      <c r="H1253" s="217">
        <f>SUM(H1245:H1252)</f>
        <v>4331884</v>
      </c>
      <c r="I1253" s="217">
        <f>SUM(I1245:I1252)</f>
        <v>2250846</v>
      </c>
      <c r="J1253" s="214"/>
      <c r="K1253" s="239"/>
      <c r="L1253" s="216"/>
      <c r="M1253" s="217">
        <f>SUM(M1245:M1252)</f>
        <v>2317605</v>
      </c>
    </row>
    <row r="1254" spans="1:13">
      <c r="A1254" s="172" t="s">
        <v>125</v>
      </c>
      <c r="B1254" s="173"/>
      <c r="C1254" s="135">
        <v>508235</v>
      </c>
      <c r="D1254" s="135"/>
      <c r="E1254" s="135"/>
      <c r="F1254" s="174"/>
      <c r="G1254" s="13"/>
      <c r="H1254" s="139">
        <v>32889</v>
      </c>
      <c r="I1254" s="139"/>
      <c r="J1254" s="135"/>
      <c r="K1254" s="174"/>
      <c r="L1254" s="13"/>
      <c r="M1254" s="139"/>
    </row>
    <row r="1255" spans="1:13" ht="16.5" thickBot="1">
      <c r="A1255" s="176" t="s">
        <v>316</v>
      </c>
      <c r="B1255" s="177"/>
      <c r="C1255" s="178">
        <f>SUM(C1253:C1254,C1242)</f>
        <v>67159835</v>
      </c>
      <c r="D1255" s="178">
        <v>69497999</v>
      </c>
      <c r="E1255" s="178"/>
      <c r="F1255" s="177"/>
      <c r="G1255" s="177"/>
      <c r="H1255" s="179">
        <f>H1242+H1253+H1254</f>
        <v>4369398</v>
      </c>
      <c r="I1255" s="179">
        <f>I1242+I1253+I1254</f>
        <v>3588193</v>
      </c>
      <c r="J1255" s="178"/>
      <c r="K1255" s="177"/>
      <c r="L1255" s="177"/>
      <c r="M1255" s="179">
        <f>M1242+M1253+M1254</f>
        <v>3574752</v>
      </c>
    </row>
    <row r="1256" spans="1:13" ht="16.5" thickTop="1"/>
    <row r="1257" spans="1:13">
      <c r="A1257" s="133" t="s">
        <v>356</v>
      </c>
      <c r="C1257" s="135"/>
      <c r="D1257" s="135"/>
      <c r="E1257" s="135"/>
      <c r="F1257" s="193"/>
      <c r="G1257" s="193"/>
      <c r="J1257" s="135"/>
      <c r="K1257" s="193"/>
      <c r="L1257" s="193"/>
    </row>
    <row r="1258" spans="1:13" ht="16.5" thickBot="1">
      <c r="A1258" s="176" t="s">
        <v>357</v>
      </c>
      <c r="B1258" s="177"/>
      <c r="C1258" s="178">
        <v>757303000</v>
      </c>
      <c r="D1258" s="178">
        <v>1236761957.7242603</v>
      </c>
      <c r="E1258" s="178"/>
      <c r="F1258" s="251"/>
      <c r="G1258" s="251"/>
      <c r="H1258" s="179">
        <v>18254383.376400001</v>
      </c>
      <c r="I1258" s="179">
        <v>16875427.752652895</v>
      </c>
      <c r="J1258" s="178"/>
      <c r="K1258" s="251"/>
      <c r="L1258" s="251"/>
      <c r="M1258" s="179">
        <f>I1258</f>
        <v>16875427.752652895</v>
      </c>
    </row>
    <row r="1259" spans="1:13" ht="16.5" thickTop="1">
      <c r="C1259" s="135"/>
      <c r="D1259" s="135"/>
      <c r="E1259" s="135"/>
      <c r="F1259" s="193"/>
      <c r="G1259" s="193"/>
      <c r="J1259" s="135"/>
      <c r="K1259" s="193"/>
      <c r="L1259" s="193"/>
    </row>
    <row r="1260" spans="1:13">
      <c r="A1260" s="133" t="s">
        <v>60</v>
      </c>
      <c r="C1260" s="135"/>
      <c r="D1260" s="135"/>
      <c r="E1260" s="135"/>
      <c r="J1260" s="135"/>
    </row>
    <row r="1261" spans="1:13">
      <c r="A1261" s="136" t="s">
        <v>143</v>
      </c>
      <c r="C1261" s="135">
        <v>12</v>
      </c>
      <c r="D1261" s="135">
        <v>12</v>
      </c>
      <c r="E1261" s="135"/>
      <c r="F1261" s="190">
        <v>0</v>
      </c>
      <c r="G1261" s="193"/>
      <c r="H1261" s="139">
        <f t="shared" ref="H1261:I1264" si="259">ROUND($F1261*C1261,0)</f>
        <v>0</v>
      </c>
      <c r="I1261" s="139">
        <f t="shared" si="259"/>
        <v>0</v>
      </c>
      <c r="J1261" s="135"/>
      <c r="K1261" s="190">
        <v>0</v>
      </c>
      <c r="L1261" s="193"/>
      <c r="M1261" s="139">
        <f>ROUND($K1261*D1261,0)</f>
        <v>0</v>
      </c>
    </row>
    <row r="1262" spans="1:13">
      <c r="A1262" s="136" t="s">
        <v>358</v>
      </c>
      <c r="C1262" s="135">
        <v>1176440</v>
      </c>
      <c r="D1262" s="135">
        <f t="shared" ref="D1262:D1264" si="260">ROUND($C1262*D$1269/$C$1269,0)</f>
        <v>1315074</v>
      </c>
      <c r="E1262" s="135"/>
      <c r="F1262" s="190">
        <v>3.41</v>
      </c>
      <c r="G1262" s="193"/>
      <c r="H1262" s="139">
        <f t="shared" si="259"/>
        <v>4011660</v>
      </c>
      <c r="I1262" s="139">
        <f t="shared" si="259"/>
        <v>4484402</v>
      </c>
      <c r="J1262" s="135"/>
      <c r="K1262" s="190">
        <v>3.53</v>
      </c>
      <c r="L1262" s="193"/>
      <c r="M1262" s="139">
        <f>ROUND($K1262*D1262,0)</f>
        <v>4642211</v>
      </c>
    </row>
    <row r="1263" spans="1:13">
      <c r="A1263" s="136" t="s">
        <v>359</v>
      </c>
      <c r="C1263" s="135">
        <v>365020</v>
      </c>
      <c r="D1263" s="135">
        <f t="shared" si="260"/>
        <v>408035</v>
      </c>
      <c r="E1263" s="135"/>
      <c r="F1263" s="238">
        <v>18.472999999999999</v>
      </c>
      <c r="G1263" s="193"/>
      <c r="H1263" s="139">
        <f t="shared" si="259"/>
        <v>6743014</v>
      </c>
      <c r="I1263" s="139">
        <f t="shared" si="259"/>
        <v>7537631</v>
      </c>
      <c r="J1263" s="135"/>
      <c r="K1263" s="238">
        <v>19.106999999999999</v>
      </c>
      <c r="L1263" s="193"/>
      <c r="M1263" s="139">
        <f>ROUND($K1263*D1263,0)</f>
        <v>7796325</v>
      </c>
    </row>
    <row r="1264" spans="1:13">
      <c r="A1264" s="136" t="s">
        <v>360</v>
      </c>
      <c r="C1264" s="135">
        <v>733970</v>
      </c>
      <c r="D1264" s="135">
        <f t="shared" si="260"/>
        <v>820462</v>
      </c>
      <c r="E1264" s="135"/>
      <c r="F1264" s="238">
        <v>16.347799999999999</v>
      </c>
      <c r="G1264" s="193"/>
      <c r="H1264" s="139">
        <f t="shared" si="259"/>
        <v>11998795</v>
      </c>
      <c r="I1264" s="139">
        <f t="shared" si="259"/>
        <v>13412749</v>
      </c>
      <c r="J1264" s="135"/>
      <c r="K1264" s="238">
        <v>16.908799999999999</v>
      </c>
      <c r="L1264" s="193"/>
      <c r="M1264" s="139">
        <f>ROUND($K1264*D1264,0)</f>
        <v>13873028</v>
      </c>
    </row>
    <row r="1265" spans="1:13">
      <c r="A1265" s="136" t="s">
        <v>361</v>
      </c>
      <c r="C1265" s="135">
        <v>34978000</v>
      </c>
      <c r="D1265" s="135">
        <v>42707942.596536614</v>
      </c>
      <c r="E1265" s="135"/>
      <c r="F1265" s="193">
        <v>3.7787999999999999</v>
      </c>
      <c r="G1265" s="163" t="s">
        <v>112</v>
      </c>
      <c r="H1265" s="253">
        <f t="shared" ref="H1265:I1268" si="261">ROUND($F1265*C1265/100,0)</f>
        <v>1321749</v>
      </c>
      <c r="I1265" s="253">
        <f t="shared" si="261"/>
        <v>1613848</v>
      </c>
      <c r="J1265" s="135"/>
      <c r="K1265" s="193">
        <v>3.9085000000000001</v>
      </c>
      <c r="L1265" s="163" t="s">
        <v>112</v>
      </c>
      <c r="M1265" s="253">
        <f>ROUND($K1265*D1265/100,0)</f>
        <v>1669240</v>
      </c>
    </row>
    <row r="1266" spans="1:13">
      <c r="A1266" s="136" t="s">
        <v>362</v>
      </c>
      <c r="C1266" s="135">
        <v>144384000</v>
      </c>
      <c r="D1266" s="135">
        <v>176292057.40346339</v>
      </c>
      <c r="E1266" s="135"/>
      <c r="F1266" s="193">
        <v>1.9207000000000001</v>
      </c>
      <c r="G1266" s="163" t="s">
        <v>112</v>
      </c>
      <c r="H1266" s="253">
        <f t="shared" si="261"/>
        <v>2773183</v>
      </c>
      <c r="I1266" s="253">
        <f t="shared" si="261"/>
        <v>3386042</v>
      </c>
      <c r="J1266" s="135"/>
      <c r="K1266" s="193">
        <v>1.9865999999999999</v>
      </c>
      <c r="L1266" s="163" t="s">
        <v>112</v>
      </c>
      <c r="M1266" s="253">
        <f>ROUND($K1266*D1266/100,0)</f>
        <v>3502218</v>
      </c>
    </row>
    <row r="1267" spans="1:13">
      <c r="A1267" s="136" t="s">
        <v>183</v>
      </c>
      <c r="C1267" s="135">
        <v>78393000</v>
      </c>
      <c r="D1267" s="135">
        <v>83999789.701375946</v>
      </c>
      <c r="E1267" s="135"/>
      <c r="F1267" s="193">
        <v>2.9260000000000002</v>
      </c>
      <c r="G1267" s="163" t="s">
        <v>112</v>
      </c>
      <c r="H1267" s="253">
        <f>ROUND($F1267*C1267/100,0)</f>
        <v>2293779</v>
      </c>
      <c r="I1267" s="253">
        <f t="shared" si="261"/>
        <v>2457834</v>
      </c>
      <c r="J1267" s="135"/>
      <c r="K1267" s="193">
        <v>3.0264000000000002</v>
      </c>
      <c r="L1267" s="163" t="s">
        <v>112</v>
      </c>
      <c r="M1267" s="253">
        <f>ROUND($K1267*D1267/100,0)</f>
        <v>2542170</v>
      </c>
    </row>
    <row r="1268" spans="1:13">
      <c r="A1268" s="136" t="s">
        <v>185</v>
      </c>
      <c r="C1268" s="214">
        <v>321039000</v>
      </c>
      <c r="D1268" s="226">
        <f>D1269-D1265-D1266-D1267</f>
        <v>344000210.29862404</v>
      </c>
      <c r="E1268" s="135"/>
      <c r="F1268" s="193">
        <v>1.8807</v>
      </c>
      <c r="G1268" s="163" t="s">
        <v>112</v>
      </c>
      <c r="H1268" s="228">
        <f t="shared" si="261"/>
        <v>6037780</v>
      </c>
      <c r="I1268" s="228">
        <f t="shared" si="261"/>
        <v>6469612</v>
      </c>
      <c r="J1268" s="135"/>
      <c r="K1268" s="193">
        <v>1.9440999999999999</v>
      </c>
      <c r="L1268" s="163" t="s">
        <v>112</v>
      </c>
      <c r="M1268" s="228">
        <f>ROUND($K1268*D1268/100,0)</f>
        <v>6687708</v>
      </c>
    </row>
    <row r="1269" spans="1:13" ht="16.5" thickBot="1">
      <c r="A1269" s="176" t="s">
        <v>127</v>
      </c>
      <c r="B1269" s="177"/>
      <c r="C1269" s="178">
        <f>SUM(C1265:C1268)</f>
        <v>578794000</v>
      </c>
      <c r="D1269" s="178">
        <v>647000000</v>
      </c>
      <c r="E1269" s="178"/>
      <c r="F1269" s="251"/>
      <c r="G1269" s="251"/>
      <c r="H1269" s="179">
        <f>SUM(H1261:H1268)</f>
        <v>35179960</v>
      </c>
      <c r="I1269" s="179">
        <f>SUM(I1261:I1268)</f>
        <v>39362118</v>
      </c>
      <c r="J1269" s="178"/>
      <c r="K1269" s="251"/>
      <c r="L1269" s="251"/>
      <c r="M1269" s="179">
        <f>SUM(M1261:M1268)</f>
        <v>40712900</v>
      </c>
    </row>
    <row r="1270" spans="1:13" ht="16.5" thickTop="1">
      <c r="C1270" s="135"/>
      <c r="D1270" s="135"/>
      <c r="E1270" s="135"/>
      <c r="H1270" s="193"/>
      <c r="I1270" s="193"/>
      <c r="J1270" s="135"/>
      <c r="M1270" s="193"/>
    </row>
    <row r="1271" spans="1:13">
      <c r="A1271" s="133" t="s">
        <v>363</v>
      </c>
      <c r="C1271" s="135"/>
      <c r="D1271" s="135"/>
      <c r="E1271" s="135"/>
      <c r="F1271" s="193"/>
      <c r="G1271" s="193"/>
      <c r="J1271" s="135"/>
      <c r="K1271" s="193"/>
      <c r="L1271" s="193"/>
    </row>
    <row r="1272" spans="1:13">
      <c r="A1272" s="136" t="s">
        <v>143</v>
      </c>
      <c r="C1272" s="135">
        <v>12</v>
      </c>
      <c r="D1272" s="135">
        <v>12</v>
      </c>
      <c r="E1272" s="135"/>
      <c r="F1272" s="190">
        <v>696</v>
      </c>
      <c r="H1272" s="139">
        <f t="shared" ref="H1272:I1275" si="262">ROUND($F1272*C1272,0)</f>
        <v>8352</v>
      </c>
      <c r="I1272" s="139">
        <f t="shared" si="262"/>
        <v>8352</v>
      </c>
      <c r="J1272" s="135"/>
      <c r="K1272" s="190">
        <v>399</v>
      </c>
      <c r="M1272" s="139">
        <f>ROUND($K1272*D1272,0)</f>
        <v>4788</v>
      </c>
    </row>
    <row r="1273" spans="1:13">
      <c r="A1273" s="136" t="s">
        <v>358</v>
      </c>
      <c r="C1273" s="135">
        <v>60402</v>
      </c>
      <c r="D1273" s="135">
        <f>ROUND($C1273*D$1280/$C$1280,0)</f>
        <v>557041</v>
      </c>
      <c r="E1273" s="135"/>
      <c r="F1273" s="190">
        <v>2.2799999999999998</v>
      </c>
      <c r="G1273" s="193"/>
      <c r="H1273" s="139">
        <f t="shared" si="262"/>
        <v>137717</v>
      </c>
      <c r="I1273" s="139">
        <f t="shared" si="262"/>
        <v>1270053</v>
      </c>
      <c r="J1273" s="135"/>
      <c r="K1273" s="190">
        <v>2.37</v>
      </c>
      <c r="L1273" s="193"/>
      <c r="M1273" s="139">
        <f>ROUND($K1273*D1273,0)</f>
        <v>1320187</v>
      </c>
    </row>
    <row r="1274" spans="1:13">
      <c r="A1274" s="136" t="s">
        <v>359</v>
      </c>
      <c r="C1274" s="135">
        <v>18296</v>
      </c>
      <c r="D1274" s="135">
        <f t="shared" ref="D1274" si="263">ROUND($C1274*D$1280/$C$1280,0)</f>
        <v>168730</v>
      </c>
      <c r="E1274" s="135"/>
      <c r="F1274" s="190">
        <v>10.58</v>
      </c>
      <c r="G1274" s="193"/>
      <c r="H1274" s="139">
        <f t="shared" si="262"/>
        <v>193572</v>
      </c>
      <c r="I1274" s="139">
        <f t="shared" si="262"/>
        <v>1785163</v>
      </c>
      <c r="J1274" s="135"/>
      <c r="K1274" s="190">
        <v>14.87</v>
      </c>
      <c r="L1274" s="193"/>
      <c r="M1274" s="139">
        <f>ROUND($K1274*D1274,0)</f>
        <v>2509015</v>
      </c>
    </row>
    <row r="1275" spans="1:13">
      <c r="A1275" s="136" t="s">
        <v>360</v>
      </c>
      <c r="C1275" s="135">
        <v>41764</v>
      </c>
      <c r="D1275" s="135">
        <f>ROUND($C1275*D$1280/$C$1280,0)</f>
        <v>385157</v>
      </c>
      <c r="E1275" s="135"/>
      <c r="F1275" s="190">
        <v>9.36</v>
      </c>
      <c r="G1275" s="193"/>
      <c r="H1275" s="139">
        <f t="shared" si="262"/>
        <v>390911</v>
      </c>
      <c r="I1275" s="139">
        <f t="shared" si="262"/>
        <v>3605070</v>
      </c>
      <c r="J1275" s="135"/>
      <c r="K1275" s="190">
        <v>13.16</v>
      </c>
      <c r="L1275" s="193"/>
      <c r="M1275" s="139">
        <f>ROUND($K1275*D1275,0)</f>
        <v>5068666</v>
      </c>
    </row>
    <row r="1276" spans="1:13">
      <c r="A1276" s="136" t="s">
        <v>361</v>
      </c>
      <c r="C1276" s="135">
        <v>2167529</v>
      </c>
      <c r="D1276" s="135">
        <v>23494531.451716397</v>
      </c>
      <c r="E1276" s="135"/>
      <c r="F1276" s="193">
        <v>5.1477000000000004</v>
      </c>
      <c r="G1276" s="163" t="s">
        <v>112</v>
      </c>
      <c r="H1276" s="253">
        <f t="shared" ref="H1276:I1279" si="264">ROUND($F1276*C1276/100,0)</f>
        <v>111578</v>
      </c>
      <c r="I1276" s="253">
        <f t="shared" si="264"/>
        <v>1209428</v>
      </c>
      <c r="J1276" s="135"/>
      <c r="K1276" s="198">
        <v>5.3414000000000001</v>
      </c>
      <c r="L1276" s="163" t="s">
        <v>112</v>
      </c>
      <c r="M1276" s="253">
        <f>ROUND($K1276*D1276/100,0)</f>
        <v>1254937</v>
      </c>
    </row>
    <row r="1277" spans="1:13">
      <c r="A1277" s="136" t="s">
        <v>362</v>
      </c>
      <c r="C1277" s="135">
        <v>8660400</v>
      </c>
      <c r="D1277" s="135">
        <v>93872811.014037043</v>
      </c>
      <c r="E1277" s="135"/>
      <c r="F1277" s="193">
        <v>2.6165000000000003</v>
      </c>
      <c r="G1277" s="163" t="s">
        <v>112</v>
      </c>
      <c r="H1277" s="253">
        <f t="shared" si="264"/>
        <v>226599</v>
      </c>
      <c r="I1277" s="253">
        <f t="shared" si="264"/>
        <v>2456182</v>
      </c>
      <c r="J1277" s="135"/>
      <c r="K1277" s="198">
        <v>2.7149000000000001</v>
      </c>
      <c r="L1277" s="163" t="s">
        <v>112</v>
      </c>
      <c r="M1277" s="253">
        <f>ROUND($K1277*D1277/100,0)</f>
        <v>2548553</v>
      </c>
    </row>
    <row r="1278" spans="1:13">
      <c r="A1278" s="136" t="s">
        <v>183</v>
      </c>
      <c r="C1278" s="135">
        <v>4959800</v>
      </c>
      <c r="D1278" s="135">
        <v>42169719.16894675</v>
      </c>
      <c r="E1278" s="135"/>
      <c r="F1278" s="193">
        <v>4.5554999999999994</v>
      </c>
      <c r="G1278" s="163" t="s">
        <v>112</v>
      </c>
      <c r="H1278" s="253">
        <f t="shared" si="264"/>
        <v>225944</v>
      </c>
      <c r="I1278" s="253">
        <f t="shared" si="264"/>
        <v>1921042</v>
      </c>
      <c r="J1278" s="135"/>
      <c r="K1278" s="198">
        <v>4.7268999999999997</v>
      </c>
      <c r="L1278" s="163" t="s">
        <v>112</v>
      </c>
      <c r="M1278" s="253">
        <f>ROUND($K1278*D1278/100,0)</f>
        <v>1993320</v>
      </c>
    </row>
    <row r="1279" spans="1:13">
      <c r="A1279" s="136" t="s">
        <v>185</v>
      </c>
      <c r="C1279" s="214">
        <v>19362160</v>
      </c>
      <c r="D1279" s="226">
        <f>D1280-D1276-D1277-D1278</f>
        <v>164622938.36529979</v>
      </c>
      <c r="E1279" s="135"/>
      <c r="F1279" s="193">
        <v>2.3154999999999997</v>
      </c>
      <c r="G1279" s="163" t="s">
        <v>112</v>
      </c>
      <c r="H1279" s="228">
        <f t="shared" si="264"/>
        <v>448331</v>
      </c>
      <c r="I1279" s="228">
        <f t="shared" si="264"/>
        <v>3811844</v>
      </c>
      <c r="J1279" s="135"/>
      <c r="K1279" s="198">
        <v>2.4026000000000001</v>
      </c>
      <c r="L1279" s="163" t="s">
        <v>112</v>
      </c>
      <c r="M1279" s="228">
        <f>ROUND($K1279*D1279/100,0)</f>
        <v>3955231</v>
      </c>
    </row>
    <row r="1280" spans="1:13" ht="16.5" thickBot="1">
      <c r="A1280" s="176" t="s">
        <v>127</v>
      </c>
      <c r="B1280" s="177"/>
      <c r="C1280" s="255">
        <f>SUM(C1276:C1279)</f>
        <v>35149889</v>
      </c>
      <c r="D1280" s="178">
        <v>324160000</v>
      </c>
      <c r="E1280" s="178"/>
      <c r="F1280" s="251"/>
      <c r="G1280" s="251"/>
      <c r="H1280" s="256">
        <f>SUM(H1272:H1279)</f>
        <v>1743004</v>
      </c>
      <c r="I1280" s="256">
        <f>SUM(I1272:I1279)</f>
        <v>16067134</v>
      </c>
      <c r="J1280" s="178"/>
      <c r="K1280" s="251"/>
      <c r="L1280" s="251"/>
      <c r="M1280" s="256">
        <f>SUM(M1272:M1279)</f>
        <v>18654697</v>
      </c>
    </row>
    <row r="1281" spans="1:13" ht="16.5" thickTop="1">
      <c r="A1281" s="136"/>
      <c r="C1281" s="135"/>
      <c r="D1281" s="135"/>
      <c r="E1281" s="135"/>
      <c r="F1281" s="234"/>
      <c r="G1281" s="234"/>
      <c r="H1281" s="139"/>
      <c r="I1281" s="139"/>
      <c r="J1281" s="135"/>
      <c r="K1281" s="234"/>
      <c r="L1281" s="234"/>
      <c r="M1281" s="139"/>
    </row>
    <row r="1282" spans="1:13">
      <c r="A1282" s="133" t="s">
        <v>61</v>
      </c>
      <c r="C1282" s="135"/>
      <c r="D1282" s="135"/>
      <c r="E1282" s="135"/>
      <c r="F1282" s="193"/>
      <c r="G1282" s="193"/>
      <c r="J1282" s="135"/>
      <c r="K1282" s="193"/>
      <c r="L1282" s="193"/>
    </row>
    <row r="1283" spans="1:13">
      <c r="A1283" s="136" t="s">
        <v>364</v>
      </c>
      <c r="C1283" s="135">
        <v>371593191</v>
      </c>
      <c r="D1283" s="135">
        <v>376680000</v>
      </c>
      <c r="E1283" s="135"/>
      <c r="F1283" s="198"/>
      <c r="G1283" s="163"/>
      <c r="H1283" s="139">
        <v>22497802.829999804</v>
      </c>
      <c r="I1283" s="139">
        <v>23725948.320000004</v>
      </c>
      <c r="J1283" s="135"/>
      <c r="K1283" s="198"/>
      <c r="L1283" s="163"/>
      <c r="M1283" s="139">
        <f>I1283</f>
        <v>23725948.320000004</v>
      </c>
    </row>
    <row r="1284" spans="1:13">
      <c r="A1284" s="136" t="s">
        <v>365</v>
      </c>
      <c r="C1284" s="135">
        <v>0</v>
      </c>
      <c r="D1284" s="135"/>
      <c r="E1284" s="135"/>
      <c r="F1284" s="198"/>
      <c r="G1284" s="163"/>
      <c r="H1284" s="139"/>
      <c r="I1284" s="139"/>
      <c r="J1284" s="135"/>
      <c r="K1284" s="198"/>
      <c r="L1284" s="163"/>
      <c r="M1284" s="139"/>
    </row>
    <row r="1285" spans="1:13">
      <c r="A1285" s="136" t="s">
        <v>366</v>
      </c>
      <c r="C1285" s="214">
        <v>791122988.00000012</v>
      </c>
      <c r="D1285" s="214">
        <v>962908000</v>
      </c>
      <c r="E1285" s="135"/>
      <c r="F1285" s="198"/>
      <c r="G1285" s="163"/>
      <c r="H1285" s="139">
        <v>72313496.139999986</v>
      </c>
      <c r="I1285" s="139">
        <v>80902526.148982793</v>
      </c>
      <c r="J1285" s="135"/>
      <c r="K1285" s="198"/>
      <c r="L1285" s="163"/>
      <c r="M1285" s="139">
        <f>I1285</f>
        <v>80902526.148982793</v>
      </c>
    </row>
    <row r="1286" spans="1:13" ht="16.5" thickBot="1">
      <c r="A1286" s="176" t="s">
        <v>357</v>
      </c>
      <c r="B1286" s="177"/>
      <c r="C1286" s="178">
        <f>SUM(C1283:C1285)</f>
        <v>1162716179</v>
      </c>
      <c r="D1286" s="178">
        <f>SUM(D1283:D1285)</f>
        <v>1339588000</v>
      </c>
      <c r="E1286" s="178"/>
      <c r="F1286" s="251"/>
      <c r="G1286" s="251"/>
      <c r="H1286" s="179">
        <f>SUM(H1283:H1285)</f>
        <v>94811298.96999979</v>
      </c>
      <c r="I1286" s="179">
        <f>SUM(I1283:I1285)</f>
        <v>104628474.4689828</v>
      </c>
      <c r="J1286" s="178"/>
      <c r="K1286" s="251"/>
      <c r="L1286" s="251"/>
      <c r="M1286" s="179">
        <f>SUM(M1283:M1285)</f>
        <v>104628474.4689828</v>
      </c>
    </row>
    <row r="1287" spans="1:13" ht="16.5" thickTop="1">
      <c r="C1287" s="135"/>
      <c r="D1287" s="135"/>
      <c r="E1287" s="135"/>
      <c r="F1287" s="193"/>
      <c r="G1287" s="193"/>
      <c r="J1287" s="135"/>
      <c r="K1287" s="193"/>
      <c r="L1287" s="193"/>
    </row>
    <row r="1288" spans="1:13">
      <c r="A1288" s="133" t="s">
        <v>367</v>
      </c>
      <c r="C1288" s="135"/>
      <c r="D1288" s="135"/>
      <c r="E1288" s="135"/>
      <c r="J1288" s="135"/>
    </row>
    <row r="1289" spans="1:13">
      <c r="A1289" s="136" t="s">
        <v>368</v>
      </c>
      <c r="C1289" s="135">
        <f>C1297+C1305</f>
        <v>33.068807339449499</v>
      </c>
      <c r="D1289" s="135">
        <f t="shared" ref="D1289" si="265">D1297+D1305</f>
        <v>48</v>
      </c>
      <c r="E1289" s="135"/>
      <c r="F1289" s="138">
        <v>2.1800000000000002</v>
      </c>
      <c r="G1289" s="138"/>
      <c r="H1289" s="139">
        <f>ROUND($F1289*C1289,0)</f>
        <v>72</v>
      </c>
      <c r="I1289" s="139">
        <f>ROUND($F1289*D1289,0)</f>
        <v>105</v>
      </c>
      <c r="J1289" s="135"/>
      <c r="K1289" s="138">
        <v>2.1800000000000002</v>
      </c>
      <c r="L1289" s="138"/>
      <c r="M1289" s="139">
        <f>ROUND($K1289*D1289,0)</f>
        <v>105</v>
      </c>
    </row>
    <row r="1290" spans="1:13">
      <c r="A1290" s="136" t="s">
        <v>369</v>
      </c>
      <c r="C1290" s="135">
        <f t="shared" ref="C1290:D1294" si="266">C1298+C1306</f>
        <v>211.844633543783</v>
      </c>
      <c r="D1290" s="135">
        <f t="shared" si="266"/>
        <v>208</v>
      </c>
      <c r="E1290" s="135"/>
      <c r="F1290" s="257">
        <v>2.1858</v>
      </c>
      <c r="G1290" s="163"/>
      <c r="H1290" s="217">
        <f>ROUND($F1290*C1290,0)</f>
        <v>463</v>
      </c>
      <c r="I1290" s="217">
        <f>ROUND($F1290*D1290,0)</f>
        <v>455</v>
      </c>
      <c r="J1290" s="135"/>
      <c r="K1290" s="257">
        <v>2.1858</v>
      </c>
      <c r="L1290" s="163"/>
      <c r="M1290" s="217">
        <f>ROUND($K1290*D1290,0)</f>
        <v>455</v>
      </c>
    </row>
    <row r="1291" spans="1:13">
      <c r="A1291" s="136" t="s">
        <v>370</v>
      </c>
      <c r="C1291" s="226">
        <f t="shared" si="266"/>
        <v>244.91344088323251</v>
      </c>
      <c r="D1291" s="135">
        <f t="shared" si="266"/>
        <v>256</v>
      </c>
      <c r="E1291" s="135"/>
      <c r="H1291" s="139">
        <f>SUM(H1289:H1290)</f>
        <v>535</v>
      </c>
      <c r="I1291" s="139">
        <f>SUM(I1289:I1290)</f>
        <v>560</v>
      </c>
      <c r="J1291" s="135"/>
      <c r="M1291" s="139">
        <f>SUM(M1289:M1290)</f>
        <v>560</v>
      </c>
    </row>
    <row r="1292" spans="1:13" ht="16.5" thickBot="1">
      <c r="A1292" s="136" t="s">
        <v>371</v>
      </c>
      <c r="C1292" s="258">
        <f t="shared" si="266"/>
        <v>7102.4897856137368</v>
      </c>
      <c r="D1292" s="137">
        <f t="shared" si="266"/>
        <v>7423</v>
      </c>
      <c r="E1292" s="137"/>
      <c r="J1292" s="137"/>
    </row>
    <row r="1293" spans="1:13" ht="16.5" thickTop="1">
      <c r="A1293" s="136" t="s">
        <v>173</v>
      </c>
      <c r="C1293" s="137">
        <f t="shared" si="266"/>
        <v>3</v>
      </c>
      <c r="D1293" s="137">
        <f t="shared" si="266"/>
        <v>4</v>
      </c>
      <c r="E1293" s="137"/>
      <c r="J1293" s="137"/>
    </row>
    <row r="1294" spans="1:13" ht="16.5" thickBot="1">
      <c r="A1294" s="176" t="s">
        <v>127</v>
      </c>
      <c r="B1294" s="177"/>
      <c r="C1294" s="203">
        <f t="shared" si="266"/>
        <v>7102.4897856137368</v>
      </c>
      <c r="D1294" s="203">
        <f>D1302+D1310</f>
        <v>7423</v>
      </c>
      <c r="E1294" s="203"/>
      <c r="F1294" s="222"/>
      <c r="G1294" s="222"/>
      <c r="H1294" s="222">
        <f>H1291</f>
        <v>535</v>
      </c>
      <c r="I1294" s="222">
        <f>I1291</f>
        <v>560</v>
      </c>
      <c r="J1294" s="203"/>
      <c r="K1294" s="222"/>
      <c r="L1294" s="222"/>
      <c r="M1294" s="222">
        <f>M1291</f>
        <v>560</v>
      </c>
    </row>
    <row r="1295" spans="1:13" ht="16.5" thickTop="1">
      <c r="C1295" s="135"/>
      <c r="D1295" s="135"/>
      <c r="E1295" s="135"/>
      <c r="F1295" s="193"/>
      <c r="G1295" s="193"/>
      <c r="J1295" s="135"/>
      <c r="K1295" s="193"/>
      <c r="L1295" s="193"/>
    </row>
    <row r="1296" spans="1:13" hidden="1">
      <c r="A1296" s="133" t="s">
        <v>372</v>
      </c>
      <c r="C1296" s="135"/>
      <c r="D1296" s="135"/>
      <c r="E1296" s="135"/>
      <c r="J1296" s="135"/>
    </row>
    <row r="1297" spans="1:13" hidden="1">
      <c r="A1297" s="136" t="s">
        <v>368</v>
      </c>
      <c r="C1297" s="135">
        <v>0</v>
      </c>
      <c r="D1297" s="135">
        <f>ROUND($C1297*(D$1300/$C$1300),0)</f>
        <v>0</v>
      </c>
      <c r="E1297" s="135"/>
      <c r="F1297" s="138">
        <v>2.1800000000000002</v>
      </c>
      <c r="G1297" s="138"/>
      <c r="H1297" s="139">
        <f>ROUND($F1297*C1297,0)</f>
        <v>0</v>
      </c>
      <c r="I1297" s="139">
        <f>ROUND($F1297*D1297,0)</f>
        <v>0</v>
      </c>
      <c r="J1297" s="135"/>
      <c r="K1297" s="138">
        <v>2.1800000000000002</v>
      </c>
      <c r="L1297" s="138"/>
      <c r="M1297" s="139">
        <f>ROUND($K1297*D1297,0)</f>
        <v>0</v>
      </c>
    </row>
    <row r="1298" spans="1:13" hidden="1">
      <c r="A1298" s="136" t="s">
        <v>369</v>
      </c>
      <c r="C1298" s="135">
        <v>211.844633543783</v>
      </c>
      <c r="D1298" s="214">
        <f>ROUND($C1298*(D$1300/$C$1300),0)</f>
        <v>208</v>
      </c>
      <c r="E1298" s="214"/>
      <c r="F1298" s="257">
        <v>2.1858</v>
      </c>
      <c r="G1298" s="163"/>
      <c r="H1298" s="217">
        <f>ROUND($F1298*C1298,0)</f>
        <v>463</v>
      </c>
      <c r="I1298" s="217">
        <f>ROUND($F1298*D1298,0)</f>
        <v>455</v>
      </c>
      <c r="J1298" s="214"/>
      <c r="K1298" s="257">
        <v>2.1858</v>
      </c>
      <c r="L1298" s="163"/>
      <c r="M1298" s="217">
        <f>ROUND($K1298*D1298,0)</f>
        <v>455</v>
      </c>
    </row>
    <row r="1299" spans="1:13" hidden="1">
      <c r="A1299" s="136" t="s">
        <v>370</v>
      </c>
      <c r="C1299" s="226">
        <f>SUM(C1297:C1298)</f>
        <v>211.844633543783</v>
      </c>
      <c r="D1299" s="135">
        <f>SUM(D1297:D1298)</f>
        <v>208</v>
      </c>
      <c r="E1299" s="135"/>
      <c r="H1299" s="139">
        <f>SUM(H1297:H1298)</f>
        <v>463</v>
      </c>
      <c r="I1299" s="139">
        <f>SUM(I1297:I1298)</f>
        <v>455</v>
      </c>
      <c r="J1299" s="135"/>
      <c r="M1299" s="139">
        <f>SUM(M1297:M1298)</f>
        <v>455</v>
      </c>
    </row>
    <row r="1300" spans="1:13" ht="16.5" hidden="1" thickBot="1">
      <c r="A1300" s="136" t="s">
        <v>371</v>
      </c>
      <c r="C1300" s="258">
        <v>6143.4943727697</v>
      </c>
      <c r="D1300" s="137">
        <v>6031</v>
      </c>
      <c r="E1300" s="137"/>
      <c r="J1300" s="137"/>
    </row>
    <row r="1301" spans="1:13" hidden="1">
      <c r="A1301" s="136" t="s">
        <v>173</v>
      </c>
      <c r="C1301" s="137">
        <v>2</v>
      </c>
      <c r="D1301" s="137">
        <v>2</v>
      </c>
      <c r="E1301" s="137"/>
      <c r="J1301" s="137"/>
    </row>
    <row r="1302" spans="1:13" ht="16.5" hidden="1" thickBot="1">
      <c r="A1302" s="176" t="s">
        <v>127</v>
      </c>
      <c r="B1302" s="177"/>
      <c r="C1302" s="203">
        <f>C1300</f>
        <v>6143.4943727697</v>
      </c>
      <c r="D1302" s="203">
        <f t="shared" ref="D1302" si="267">D1300</f>
        <v>6031</v>
      </c>
      <c r="E1302" s="203"/>
      <c r="F1302" s="222"/>
      <c r="G1302" s="222"/>
      <c r="H1302" s="222">
        <f>H1299</f>
        <v>463</v>
      </c>
      <c r="I1302" s="222">
        <f>I1299</f>
        <v>455</v>
      </c>
      <c r="J1302" s="203"/>
      <c r="K1302" s="222"/>
      <c r="L1302" s="222"/>
      <c r="M1302" s="222">
        <f>M1299</f>
        <v>455</v>
      </c>
    </row>
    <row r="1303" spans="1:13" hidden="1">
      <c r="C1303" s="135"/>
      <c r="D1303" s="135"/>
      <c r="E1303" s="135"/>
      <c r="F1303" s="193"/>
      <c r="G1303" s="193"/>
      <c r="J1303" s="135"/>
      <c r="K1303" s="193"/>
      <c r="L1303" s="193"/>
    </row>
    <row r="1304" spans="1:13" hidden="1">
      <c r="A1304" s="133" t="s">
        <v>373</v>
      </c>
      <c r="C1304" s="135"/>
      <c r="D1304" s="135"/>
      <c r="E1304" s="135"/>
      <c r="J1304" s="135"/>
    </row>
    <row r="1305" spans="1:13" hidden="1">
      <c r="A1305" s="136" t="s">
        <v>368</v>
      </c>
      <c r="C1305" s="135">
        <v>33.068807339449499</v>
      </c>
      <c r="D1305" s="135">
        <f>ROUND($C1305*(D$1308/$C$1308),0)</f>
        <v>48</v>
      </c>
      <c r="E1305" s="135"/>
      <c r="F1305" s="138">
        <v>2.1800000000000002</v>
      </c>
      <c r="G1305" s="138"/>
      <c r="H1305" s="139">
        <f>ROUND($F1305*C1305,0)</f>
        <v>72</v>
      </c>
      <c r="I1305" s="139">
        <f>ROUND($F1305*D1305,0)</f>
        <v>105</v>
      </c>
      <c r="J1305" s="135"/>
      <c r="K1305" s="138">
        <v>2.1800000000000002</v>
      </c>
      <c r="L1305" s="138"/>
      <c r="M1305" s="139">
        <f>ROUND($K1305*D1305,0)</f>
        <v>105</v>
      </c>
    </row>
    <row r="1306" spans="1:13" hidden="1">
      <c r="A1306" s="136" t="s">
        <v>369</v>
      </c>
      <c r="C1306" s="135">
        <v>0</v>
      </c>
      <c r="D1306" s="214">
        <f>ROUND($C1306*(D$1308/$C$1308),0)</f>
        <v>0</v>
      </c>
      <c r="E1306" s="214"/>
      <c r="F1306" s="257">
        <v>2.1858</v>
      </c>
      <c r="G1306" s="163"/>
      <c r="H1306" s="217">
        <f>ROUND($F1306*C1306,0)</f>
        <v>0</v>
      </c>
      <c r="I1306" s="217">
        <f>ROUND($F1306*D1306,0)</f>
        <v>0</v>
      </c>
      <c r="J1306" s="214"/>
      <c r="K1306" s="257">
        <v>2.1858</v>
      </c>
      <c r="L1306" s="163"/>
      <c r="M1306" s="217">
        <f>ROUND($K1306*D1306,0)</f>
        <v>0</v>
      </c>
    </row>
    <row r="1307" spans="1:13" hidden="1">
      <c r="A1307" s="136" t="s">
        <v>370</v>
      </c>
      <c r="C1307" s="226">
        <f>SUM(C1305:C1306)</f>
        <v>33.068807339449499</v>
      </c>
      <c r="D1307" s="135">
        <f>SUM(D1305:D1306)</f>
        <v>48</v>
      </c>
      <c r="E1307" s="135"/>
      <c r="H1307" s="139">
        <f>SUM(H1305:H1306)</f>
        <v>72</v>
      </c>
      <c r="I1307" s="139">
        <f>SUM(I1305:I1306)</f>
        <v>105</v>
      </c>
      <c r="J1307" s="135"/>
      <c r="M1307" s="139">
        <f>SUM(M1305:M1306)</f>
        <v>105</v>
      </c>
    </row>
    <row r="1308" spans="1:13" ht="16.5" hidden="1" thickBot="1">
      <c r="A1308" s="136" t="s">
        <v>371</v>
      </c>
      <c r="C1308" s="258">
        <v>958.99541284403699</v>
      </c>
      <c r="D1308" s="137">
        <v>1392</v>
      </c>
      <c r="E1308" s="137"/>
      <c r="J1308" s="137"/>
    </row>
    <row r="1309" spans="1:13" hidden="1">
      <c r="A1309" s="136" t="s">
        <v>173</v>
      </c>
      <c r="C1309" s="137">
        <v>1</v>
      </c>
      <c r="D1309" s="137">
        <v>2</v>
      </c>
      <c r="E1309" s="137"/>
      <c r="J1309" s="137"/>
    </row>
    <row r="1310" spans="1:13" ht="16.5" hidden="1" thickBot="1">
      <c r="A1310" s="176" t="s">
        <v>127</v>
      </c>
      <c r="B1310" s="177"/>
      <c r="C1310" s="203">
        <f>C1308</f>
        <v>958.99541284403699</v>
      </c>
      <c r="D1310" s="203">
        <f t="shared" ref="D1310" si="268">D1308</f>
        <v>1392</v>
      </c>
      <c r="E1310" s="203"/>
      <c r="F1310" s="222"/>
      <c r="G1310" s="222"/>
      <c r="H1310" s="222">
        <f>H1307</f>
        <v>72</v>
      </c>
      <c r="I1310" s="222">
        <f>I1307</f>
        <v>105</v>
      </c>
      <c r="J1310" s="203"/>
      <c r="K1310" s="222"/>
      <c r="L1310" s="222"/>
      <c r="M1310" s="222">
        <f>M1307</f>
        <v>105</v>
      </c>
    </row>
    <row r="1311" spans="1:13" hidden="1">
      <c r="C1311" s="135"/>
      <c r="D1311" s="135"/>
      <c r="E1311" s="135"/>
      <c r="J1311" s="135"/>
    </row>
    <row r="1312" spans="1:13">
      <c r="A1312" s="133" t="s">
        <v>374</v>
      </c>
      <c r="F1312" s="193"/>
      <c r="G1312" s="193"/>
      <c r="K1312" s="193"/>
      <c r="L1312" s="193"/>
    </row>
    <row r="1313" spans="1:13">
      <c r="A1313" s="136" t="s">
        <v>375</v>
      </c>
      <c r="C1313" s="259"/>
      <c r="D1313" s="259"/>
      <c r="E1313" s="259"/>
      <c r="F1313" s="193"/>
      <c r="G1313" s="193"/>
      <c r="H1313" s="139">
        <v>37136.720000000008</v>
      </c>
      <c r="I1313" s="139">
        <v>37136.720000000008</v>
      </c>
      <c r="J1313" s="259"/>
      <c r="K1313" s="193"/>
      <c r="L1313" s="193"/>
      <c r="M1313" s="139">
        <f>I1313</f>
        <v>37136.720000000008</v>
      </c>
    </row>
    <row r="1314" spans="1:13">
      <c r="A1314" s="136" t="s">
        <v>376</v>
      </c>
      <c r="C1314" s="259"/>
      <c r="D1314" s="259"/>
      <c r="E1314" s="259"/>
      <c r="F1314" s="193"/>
      <c r="G1314" s="193"/>
      <c r="H1314" s="139">
        <v>5958540.370000001</v>
      </c>
      <c r="I1314" s="139">
        <v>5958540.370000001</v>
      </c>
      <c r="J1314" s="259"/>
      <c r="K1314" s="193"/>
      <c r="L1314" s="193"/>
      <c r="M1314" s="139">
        <f t="shared" ref="M1314:M1317" si="269">I1314</f>
        <v>5958540.370000001</v>
      </c>
    </row>
    <row r="1315" spans="1:13">
      <c r="A1315" s="136" t="s">
        <v>377</v>
      </c>
      <c r="C1315" s="259"/>
      <c r="D1315" s="259"/>
      <c r="E1315" s="259"/>
      <c r="F1315" s="193"/>
      <c r="G1315" s="193"/>
      <c r="H1315" s="139">
        <v>877980.84</v>
      </c>
      <c r="I1315" s="139">
        <v>877980.84</v>
      </c>
      <c r="J1315" s="259"/>
      <c r="K1315" s="193"/>
      <c r="L1315" s="193"/>
      <c r="M1315" s="139">
        <f t="shared" si="269"/>
        <v>877980.84</v>
      </c>
    </row>
    <row r="1316" spans="1:13">
      <c r="A1316" s="136" t="s">
        <v>378</v>
      </c>
      <c r="C1316" s="259"/>
      <c r="D1316" s="259"/>
      <c r="E1316" s="259"/>
      <c r="F1316" s="193"/>
      <c r="G1316" s="193"/>
      <c r="H1316" s="139">
        <v>203156.84000000003</v>
      </c>
      <c r="I1316" s="139">
        <v>203156.84000000003</v>
      </c>
      <c r="J1316" s="259"/>
      <c r="K1316" s="193"/>
      <c r="L1316" s="193"/>
      <c r="M1316" s="139">
        <f t="shared" si="269"/>
        <v>203156.84000000003</v>
      </c>
    </row>
    <row r="1317" spans="1:13">
      <c r="A1317" s="136" t="s">
        <v>379</v>
      </c>
      <c r="C1317" s="259"/>
      <c r="D1317" s="259"/>
      <c r="E1317" s="259"/>
      <c r="F1317" s="193"/>
      <c r="G1317" s="193"/>
      <c r="H1317" s="217">
        <v>4661.6400000000003</v>
      </c>
      <c r="I1317" s="217">
        <v>4661.6400000000003</v>
      </c>
      <c r="J1317" s="259"/>
      <c r="K1317" s="193"/>
      <c r="L1317" s="193"/>
      <c r="M1317" s="217">
        <f t="shared" si="269"/>
        <v>4661.6400000000003</v>
      </c>
    </row>
    <row r="1318" spans="1:13" ht="16.5" thickBot="1">
      <c r="A1318" s="176" t="s">
        <v>380</v>
      </c>
      <c r="B1318" s="177"/>
      <c r="C1318" s="260"/>
      <c r="D1318" s="260"/>
      <c r="E1318" s="260"/>
      <c r="F1318" s="251"/>
      <c r="G1318" s="251"/>
      <c r="H1318" s="179">
        <f>SUM(H1313:H1317)</f>
        <v>7081476.4100000001</v>
      </c>
      <c r="I1318" s="179">
        <f>SUM(I1313:I1317)</f>
        <v>7081476.4100000001</v>
      </c>
      <c r="J1318" s="260"/>
      <c r="K1318" s="251"/>
      <c r="L1318" s="251"/>
      <c r="M1318" s="179">
        <f>SUM(M1313:M1317)</f>
        <v>7081476.4100000001</v>
      </c>
    </row>
    <row r="1319" spans="1:13" ht="16.5" thickTop="1">
      <c r="A1319" s="136"/>
      <c r="F1319" s="193"/>
      <c r="G1319" s="193"/>
      <c r="H1319" s="139"/>
      <c r="I1319" s="139"/>
      <c r="K1319" s="193"/>
      <c r="L1319" s="193"/>
      <c r="M1319" s="139"/>
    </row>
    <row r="1320" spans="1:13" ht="16.5" thickBot="1">
      <c r="A1320" s="232" t="s">
        <v>381</v>
      </c>
      <c r="B1320" s="177"/>
      <c r="C1320" s="260">
        <f>C26+C66+C81+C101+C47+C122+C178+C241+C325+C397+C438+C494+C508+C549+C597+C619+C648+C725+C734+C768+C805+C869+C983+C1162+C1208+C1255+C1269+C1280+C1286+C1258+C1294</f>
        <v>25917499352.651615</v>
      </c>
      <c r="D1320" s="260">
        <f>D26+D66+D81+D101+D47+D122+D178+D241+D325+D397+D438+D494+D508+D549+D597+D619+D648+D725+D734+D768+D805+D869+D983+D1162+D1208+D1255+D1269+D1280+D1286+D1258+D1294</f>
        <v>28826511503.800049</v>
      </c>
      <c r="E1320" s="260"/>
      <c r="F1320" s="177"/>
      <c r="G1320" s="177"/>
      <c r="H1320" s="179">
        <f>H26+H66+H81+H101+H47+H122+H178+H241+H325+H397+H438+H494+H508+H549+H597+H619+H648+H725+H734+H768+H805+H869+H983+H1162+H1208+H1255+H1269+H1280+H1286+H1258+H1294+H1318</f>
        <v>2183367073.540267</v>
      </c>
      <c r="I1320" s="179">
        <f>I26+I66+I81+I101+I47+I122+I178+I241+I325+I397+I438+I494+I508+I549+I597+I619+I648+I725+I734+I768+I805+I869+I983+I1162+I1208+I1255+I1269+I1280+I1286+I1258+I1294+I1318</f>
        <v>2356946872.6316357</v>
      </c>
      <c r="J1320" s="260"/>
      <c r="K1320" s="177"/>
      <c r="L1320" s="177"/>
      <c r="M1320" s="179">
        <f>M26+M66+M81+M101+M47+M122+M178+M241+M325+M397+M438+M494+M508+M549+M597+M619+M648+M725+M734+M768+M805+M869+M983+M1162+M1208+M1255+M1269+M1280+M1286+M1258+M1294+M1318</f>
        <v>2437688866.6316357</v>
      </c>
    </row>
    <row r="1321" spans="1:13" ht="16.5" thickTop="1">
      <c r="C1321" s="135"/>
    </row>
    <row r="1322" spans="1:13">
      <c r="D1322" s="135">
        <v>0</v>
      </c>
      <c r="E1322" s="135"/>
      <c r="J1322" s="135"/>
      <c r="M1322" s="164"/>
    </row>
    <row r="1323" spans="1:13">
      <c r="C1323" s="261"/>
      <c r="H1323" s="261"/>
      <c r="I1323" s="139"/>
      <c r="M1323" s="261"/>
    </row>
    <row r="1324" spans="1:13">
      <c r="C1324" s="261"/>
      <c r="I1324" s="139"/>
    </row>
  </sheetData>
  <printOptions horizontalCentered="1"/>
  <pageMargins left="1" right="0.5" top="1" bottom="0.55000000000000004" header="0.25" footer="0.25"/>
  <pageSetup scale="37" fitToHeight="88" orientation="portrait" r:id="rId1"/>
  <headerFooter alignWithMargins="0">
    <oddFooter>Page &amp;P of &amp;N</oddFooter>
  </headerFooter>
  <rowBreaks count="6" manualBreakCount="6">
    <brk id="108" max="16" man="1"/>
    <brk id="494" max="16" man="1"/>
    <brk id="648" max="16" man="1"/>
    <brk id="805" max="16" man="1"/>
    <brk id="1150" max="16" man="1"/>
    <brk id="125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Exhibit A(Rate Impact)</vt:lpstr>
      <vt:lpstr>Exhibit B(Rate Spread)</vt:lpstr>
      <vt:lpstr>Exhibit C(Rate Design)</vt:lpstr>
      <vt:lpstr>Exhibit D(Sch31-32 Rate)</vt:lpstr>
      <vt:lpstr>No exhibit&gt;&gt;</vt:lpstr>
      <vt:lpstr>Order(Exhibit B)</vt:lpstr>
      <vt:lpstr>'Exhibit A(Rate Impact)'!Print_Area</vt:lpstr>
      <vt:lpstr>'Exhibit B(Rate Spread)'!Print_Area</vt:lpstr>
      <vt:lpstr>'Exhibit C(Rate Design)'!Print_Area</vt:lpstr>
      <vt:lpstr>'Exhibit D(Sch31-32 Rate)'!Print_Area</vt:lpstr>
      <vt:lpstr>'Order(Exhibit B)'!Print_Area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James (PacifiCorp)</dc:creator>
  <cp:lastModifiedBy>Fred Nass</cp:lastModifiedBy>
  <dcterms:created xsi:type="dcterms:W3CDTF">2025-06-30T21:24:23Z</dcterms:created>
  <dcterms:modified xsi:type="dcterms:W3CDTF">2025-07-03T20:59:06Z</dcterms:modified>
</cp:coreProperties>
</file>